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codeName="ThisWorkbook"/>
  <xr:revisionPtr revIDLastSave="0" documentId="10_ncr:100000_{888500BA-F103-4BC6-BCFC-E8875C98F9B7}" xr6:coauthVersionLast="31" xr6:coauthVersionMax="41" xr10:uidLastSave="{00000000-0000-0000-0000-000000000000}"/>
  <workbookProtection workbookAlgorithmName="SHA-512" workbookHashValue="d1saBiYSN2asm4Ee8F4VQ3OzL7HWzMql9hMBI8p+uEPOfS4405UoB2QWJcE9EHeKhfk2x3nlzjxeVx+KFEN3nA==" workbookSaltValue="PLpbuQlxnce+HwVI+jhTGA==" workbookSpinCount="100000" lockStructure="1"/>
  <bookViews>
    <workbookView xWindow="-120" yWindow="-120" windowWidth="19300" windowHeight="8310" tabRatio="777" firstSheet="51" activeTab="51" xr2:uid="{00000000-000D-0000-FFFF-FFFF00000000}"/>
  </bookViews>
  <sheets>
    <sheet name="(2009-10a)" sheetId="33" state="hidden" r:id="rId1"/>
    <sheet name="(2009-10b)" sheetId="34" state="hidden" r:id="rId2"/>
    <sheet name="(2009-10c)" sheetId="35" state="hidden" r:id="rId3"/>
    <sheet name="(2009-10d)" sheetId="36" state="hidden" r:id="rId4"/>
    <sheet name="(2010-11a)" sheetId="29" state="hidden" r:id="rId5"/>
    <sheet name="(2010-11b)" sheetId="30" state="hidden" r:id="rId6"/>
    <sheet name="(2010-11c)" sheetId="31" state="hidden" r:id="rId7"/>
    <sheet name="(2010-11d)" sheetId="32" state="hidden" r:id="rId8"/>
    <sheet name="(2011-12a)" sheetId="25" state="hidden" r:id="rId9"/>
    <sheet name="(2011-12b)" sheetId="26" state="hidden" r:id="rId10"/>
    <sheet name="(2011-12c)" sheetId="27" state="hidden" r:id="rId11"/>
    <sheet name="(2011-12d)" sheetId="28" state="hidden" r:id="rId12"/>
    <sheet name="(2012-13a)" sheetId="21" state="hidden" r:id="rId13"/>
    <sheet name="(2012-13b)" sheetId="22" state="hidden" r:id="rId14"/>
    <sheet name="(2012-13c)" sheetId="23" state="hidden" r:id="rId15"/>
    <sheet name="(2012-13d)" sheetId="24" state="hidden" r:id="rId16"/>
    <sheet name="(2013-14a)" sheetId="17" state="hidden" r:id="rId17"/>
    <sheet name="(2013-14b)" sheetId="18" state="hidden" r:id="rId18"/>
    <sheet name="(2013-14c)" sheetId="19" state="hidden" r:id="rId19"/>
    <sheet name="(2013-14d)" sheetId="20" state="hidden" r:id="rId20"/>
    <sheet name="(2014-15a)" sheetId="1" state="hidden" r:id="rId21"/>
    <sheet name="(2014-15b)" sheetId="2" state="hidden" r:id="rId22"/>
    <sheet name="(2014-15c)" sheetId="3" state="hidden" r:id="rId23"/>
    <sheet name="(2014-15d)" sheetId="4" state="hidden" r:id="rId24"/>
    <sheet name="(2015-16a)" sheetId="5" state="hidden" r:id="rId25"/>
    <sheet name="(2015-16b)" sheetId="6" state="hidden" r:id="rId26"/>
    <sheet name="(2015-16c)" sheetId="7" state="hidden" r:id="rId27"/>
    <sheet name="(2015-16d)" sheetId="8" state="hidden" r:id="rId28"/>
    <sheet name="(2016-17a)" sheetId="40" state="hidden" r:id="rId29"/>
    <sheet name="(2016-17b)" sheetId="39" state="hidden" r:id="rId30"/>
    <sheet name="(2016-17c)" sheetId="38" state="hidden" r:id="rId31"/>
    <sheet name="(2016-17d)" sheetId="37" state="hidden" r:id="rId32"/>
    <sheet name="(2017-18a)" sheetId="42" state="hidden" r:id="rId33"/>
    <sheet name="(2017-18b)" sheetId="43" state="hidden" r:id="rId34"/>
    <sheet name="(2017-18c)" sheetId="44" state="hidden" r:id="rId35"/>
    <sheet name="(2017-18d)" sheetId="45" state="hidden" r:id="rId36"/>
    <sheet name="(2018-19a)" sheetId="48" state="hidden" r:id="rId37"/>
    <sheet name="(2018-19b)" sheetId="51" state="hidden" r:id="rId38"/>
    <sheet name="(2018-19c)" sheetId="50" state="hidden" r:id="rId39"/>
    <sheet name="(2018-19d)" sheetId="49" state="hidden" r:id="rId40"/>
    <sheet name="Macro" sheetId="46" state="hidden" r:id="rId41"/>
    <sheet name="raw" sheetId="54" state="hidden" r:id="rId42"/>
    <sheet name="YoY Comparison" sheetId="53" state="hidden" r:id="rId43"/>
    <sheet name="IRS" sheetId="55" state="hidden" r:id="rId44"/>
    <sheet name="FIRE0508a raw" sheetId="9" state="hidden" r:id="rId45"/>
    <sheet name="FIRE0508b raw" sheetId="10" state="hidden" r:id="rId46"/>
    <sheet name="FIRE0508c raw" sheetId="13" state="hidden" r:id="rId47"/>
    <sheet name="FIRE0508d raw" sheetId="15" state="hidden" r:id="rId48"/>
    <sheet name="Charts" sheetId="41" state="hidden" r:id="rId49"/>
    <sheet name="QA" sheetId="57" state="hidden" r:id="rId50"/>
    <sheet name="code" sheetId="56" state="hidden" r:id="rId51"/>
    <sheet name="FIRE0508a" sheetId="11" r:id="rId52"/>
    <sheet name="FIRE0508b" sheetId="12" r:id="rId53"/>
    <sheet name="FIRE0508c" sheetId="14" r:id="rId54"/>
    <sheet name="FIRE0508d" sheetId="16" r:id="rId55"/>
    <sheet name="FRS geographical categories" sheetId="52" r:id="rId56"/>
  </sheets>
  <definedNames>
    <definedName name="_xlnm._FilterDatabase" localSheetId="55" hidden="1">'FRS geographical categories'!$A$1:$C$46</definedName>
    <definedName name="_xlnm._FilterDatabase" localSheetId="41" hidden="1">raw!$A$1:$H$2701</definedName>
    <definedName name="_xlnm.Print_Area" localSheetId="0">'(2009-10a)'!$B$1:$F$63</definedName>
    <definedName name="_xlnm.Print_Area" localSheetId="1">'(2009-10b)'!$B$1:$J$65</definedName>
    <definedName name="_xlnm.Print_Area" localSheetId="2">'(2009-10c)'!$B$1:$F$62</definedName>
    <definedName name="_xlnm.Print_Area" localSheetId="3">'(2009-10d)'!$B$1:$F$62</definedName>
    <definedName name="_xlnm.Print_Area" localSheetId="4">'(2010-11a)'!$B$1:$F$62</definedName>
    <definedName name="_xlnm.Print_Area" localSheetId="5">'(2010-11b)'!$B$1:$J$63</definedName>
    <definedName name="_xlnm.Print_Area" localSheetId="6">'(2010-11c)'!$B$1:$F$61</definedName>
    <definedName name="_xlnm.Print_Area" localSheetId="7">'(2010-11d)'!$B$1:$F$61</definedName>
    <definedName name="_xlnm.Print_Area" localSheetId="8">'(2011-12a)'!$B$1:$F$62</definedName>
    <definedName name="_xlnm.Print_Area" localSheetId="9">'(2011-12b)'!$B$1:$J$63</definedName>
    <definedName name="_xlnm.Print_Area" localSheetId="10">'(2011-12c)'!$B$1:$F$61</definedName>
    <definedName name="_xlnm.Print_Area" localSheetId="11">'(2011-12d)'!$B$1:$F$61</definedName>
    <definedName name="_xlnm.Print_Area" localSheetId="12">'(2012-13a)'!$B$1:$F$62</definedName>
    <definedName name="_xlnm.Print_Area" localSheetId="13">'(2012-13b)'!$B$1:$J$63</definedName>
    <definedName name="_xlnm.Print_Area" localSheetId="14">'(2012-13c)'!$B$1:$F$61</definedName>
    <definedName name="_xlnm.Print_Area" localSheetId="15">'(2012-13d)'!$B$1:$F$61</definedName>
    <definedName name="_xlnm.Print_Area" localSheetId="16">'(2013-14a)'!$B$1:$F$62</definedName>
    <definedName name="_xlnm.Print_Area" localSheetId="17">'(2013-14b)'!$B$1:$J$63</definedName>
    <definedName name="_xlnm.Print_Area" localSheetId="18">'(2013-14c)'!$B$1:$F$61</definedName>
    <definedName name="_xlnm.Print_Area" localSheetId="19">'(2013-14d)'!$B$1:$F$61</definedName>
    <definedName name="_xlnm.Print_Area" localSheetId="20">'(2014-15a)'!$B$1:$F$62</definedName>
    <definedName name="_xlnm.Print_Area" localSheetId="21">'(2014-15b)'!$B$1:$J$63</definedName>
    <definedName name="_xlnm.Print_Area" localSheetId="22">'(2014-15c)'!$B$1:$F$61</definedName>
    <definedName name="_xlnm.Print_Area" localSheetId="23">'(2014-15d)'!$B$1:$F$61</definedName>
    <definedName name="_xlnm.Print_Area" localSheetId="24">'(2015-16a)'!$B$1:$F$62</definedName>
    <definedName name="_xlnm.Print_Area" localSheetId="25">'(2015-16b)'!$B$1:$J$63</definedName>
    <definedName name="_xlnm.Print_Area" localSheetId="26">'(2015-16c)'!$B$1:$F$61</definedName>
    <definedName name="_xlnm.Print_Area" localSheetId="27">'(2015-16d)'!$B$1:$F$61</definedName>
    <definedName name="_xlnm.Print_Area" localSheetId="28">'(2016-17a)'!$B$1:$F$62</definedName>
    <definedName name="_xlnm.Print_Area" localSheetId="29">'(2016-17b)'!$B$1:$J$63</definedName>
    <definedName name="_xlnm.Print_Area" localSheetId="30">'(2016-17c)'!$B$1:$F$61</definedName>
    <definedName name="_xlnm.Print_Area" localSheetId="31">'(2016-17d)'!$B$1:$F$61</definedName>
    <definedName name="_xlnm.Print_Area" localSheetId="32">'(2017-18a)'!$B$1:$F$62</definedName>
    <definedName name="_xlnm.Print_Area" localSheetId="33">'(2017-18b)'!$B$1:$J$63</definedName>
    <definedName name="_xlnm.Print_Area" localSheetId="34">'(2017-18c)'!$B$1:$F$61</definedName>
    <definedName name="_xlnm.Print_Area" localSheetId="35">'(2017-18d)'!$B$1:$F$61</definedName>
    <definedName name="qrychiefrepspecservrtaother" localSheetId="20">#REF!</definedName>
    <definedName name="qrychiefrepspecservrtaother" localSheetId="21">#REF!</definedName>
    <definedName name="qrychiefrepspecservrtaother" localSheetId="22">#REF!</definedName>
    <definedName name="qrychiefrepspecservrtaother" localSheetId="23">#REF!</definedName>
    <definedName name="qrychiefrepspecservrtaother" localSheetId="24">#REF!</definedName>
    <definedName name="qrychiefrepspecservrtaother" localSheetId="25">#REF!</definedName>
    <definedName name="qrychiefrepspecservrtaother" localSheetId="26">#REF!</definedName>
    <definedName name="qrychiefrepspecservrtaother" localSheetId="27">#REF!</definedName>
    <definedName name="qrychiefrepspecservrtaother" localSheetId="28">#REF!</definedName>
    <definedName name="qrychiefrepspecservrtaother" localSheetId="29">#REF!</definedName>
    <definedName name="qrychiefrepspecservrtaother" localSheetId="30">#REF!</definedName>
    <definedName name="qrychiefrepspecservrtaother" localSheetId="31">#REF!</definedName>
    <definedName name="qrychiefrepspecservrtaother" localSheetId="32">#REF!</definedName>
    <definedName name="qrychiefrepspecservrtaother" localSheetId="33">#REF!</definedName>
    <definedName name="qrychiefrepspecservrtaother" localSheetId="34">#REF!</definedName>
    <definedName name="qrychiefrepspecservrtaother" localSheetId="35">#REF!</definedName>
    <definedName name="qrychiefrepspecservrtaother" localSheetId="45">#REF!</definedName>
    <definedName name="qrychiefrepspecservrtaother" localSheetId="46">#REF!</definedName>
    <definedName name="qrychiefrepspecservrtaother" localSheetId="47">#REF!</definedName>
    <definedName name="qrychiefrepsuccretireresig" localSheetId="2">#REF!</definedName>
    <definedName name="qrychiefrepsuccretireresig" localSheetId="3">#REF!</definedName>
    <definedName name="qrychiefrepsuccretireresig" localSheetId="6">#REF!</definedName>
    <definedName name="qrychiefrepsuccretireresig" localSheetId="7">#REF!</definedName>
    <definedName name="qrychiefrepsuccretireresig" localSheetId="10">#REF!</definedName>
    <definedName name="qrychiefrepsuccretireresig" localSheetId="11">#REF!</definedName>
    <definedName name="qrychiefrepsuccretireresig" localSheetId="14">#REF!</definedName>
    <definedName name="qrychiefrepsuccretireresig" localSheetId="15">#REF!</definedName>
    <definedName name="qrychiefrepsuccretireresig" localSheetId="18">#REF!</definedName>
    <definedName name="qrychiefrepsuccretireresig" localSheetId="19">#REF!</definedName>
    <definedName name="qrychiefrepsuccretireresig" localSheetId="20">#REF!</definedName>
    <definedName name="qrychiefrepsuccretireresig" localSheetId="21">#REF!</definedName>
    <definedName name="qrychiefrepsuccretireresig" localSheetId="22">#REF!</definedName>
    <definedName name="qrychiefrepsuccretireresig" localSheetId="23">#REF!</definedName>
    <definedName name="qrychiefrepsuccretireresig" localSheetId="24">#REF!</definedName>
    <definedName name="qrychiefrepsuccretireresig" localSheetId="25">#REF!</definedName>
    <definedName name="qrychiefrepsuccretireresig" localSheetId="26">#REF!</definedName>
    <definedName name="qrychiefrepsuccretireresig" localSheetId="27">#REF!</definedName>
    <definedName name="qrychiefrepsuccretireresig" localSheetId="28">#REF!</definedName>
    <definedName name="qrychiefrepsuccretireresig" localSheetId="29">#REF!</definedName>
    <definedName name="qrychiefrepsuccretireresig" localSheetId="30">#REF!</definedName>
    <definedName name="qrychiefrepsuccretireresig" localSheetId="31">#REF!</definedName>
    <definedName name="qrychiefrepsuccretireresig" localSheetId="32">#REF!</definedName>
    <definedName name="qrychiefrepsuccretireresig" localSheetId="33">#REF!</definedName>
    <definedName name="qrychiefrepsuccretireresig" localSheetId="34">#REF!</definedName>
    <definedName name="qrychiefrepsuccretireresig" localSheetId="35">#REF!</definedName>
    <definedName name="qrychiefrepsuccretireresig" localSheetId="45">#REF!</definedName>
    <definedName name="qrychiefrepsuccretireresig" localSheetId="46">#REF!</definedName>
    <definedName name="qrychiefrepsuccretireresig" localSheetId="47">#REF!</definedName>
    <definedName name="qrychiefrepwteststr" localSheetId="2">#REF!</definedName>
    <definedName name="qrychiefrepwteststr" localSheetId="3">#REF!</definedName>
    <definedName name="qrychiefrepwteststr" localSheetId="6">#REF!</definedName>
    <definedName name="qrychiefrepwteststr" localSheetId="7">#REF!</definedName>
    <definedName name="qrychiefrepwteststr" localSheetId="10">#REF!</definedName>
    <definedName name="qrychiefrepwteststr" localSheetId="11">#REF!</definedName>
    <definedName name="qrychiefrepwteststr" localSheetId="14">#REF!</definedName>
    <definedName name="qrychiefrepwteststr" localSheetId="15">#REF!</definedName>
    <definedName name="qrychiefrepwteststr" localSheetId="18">#REF!</definedName>
    <definedName name="qrychiefrepwteststr" localSheetId="19">#REF!</definedName>
    <definedName name="qrychiefrepwteststr" localSheetId="20">#REF!</definedName>
    <definedName name="qrychiefrepwteststr" localSheetId="21">#REF!</definedName>
    <definedName name="qrychiefrepwteststr" localSheetId="22">#REF!</definedName>
    <definedName name="qrychiefrepwteststr" localSheetId="23">#REF!</definedName>
    <definedName name="qrychiefrepwteststr" localSheetId="24">#REF!</definedName>
    <definedName name="qrychiefrepwteststr" localSheetId="25">#REF!</definedName>
    <definedName name="qrychiefrepwteststr" localSheetId="26">#REF!</definedName>
    <definedName name="qrychiefrepwteststr" localSheetId="27">#REF!</definedName>
    <definedName name="qrychiefrepwteststr" localSheetId="28">#REF!</definedName>
    <definedName name="qrychiefrepwteststr" localSheetId="29">#REF!</definedName>
    <definedName name="qrychiefrepwteststr" localSheetId="30">#REF!</definedName>
    <definedName name="qrychiefrepwteststr" localSheetId="31">#REF!</definedName>
    <definedName name="qrychiefrepwteststr" localSheetId="32">#REF!</definedName>
    <definedName name="qrychiefrepwteststr" localSheetId="33">#REF!</definedName>
    <definedName name="qrychiefrepwteststr" localSheetId="34">#REF!</definedName>
    <definedName name="qrychiefrepwteststr" localSheetId="35">#REF!</definedName>
    <definedName name="qrychiefrepwteststr" localSheetId="45">#REF!</definedName>
    <definedName name="qrychiefrepwteststr" localSheetId="46">#REF!</definedName>
    <definedName name="qrychiefrepwteststr" localSheetId="47">#REF!</definedName>
    <definedName name="qrychiefrepwtgeneth" localSheetId="20">#REF!</definedName>
    <definedName name="qrychiefrepwtgeneth" localSheetId="21">#REF!</definedName>
    <definedName name="qrychiefrepwtgeneth" localSheetId="22">#REF!</definedName>
    <definedName name="qrychiefrepwtgeneth" localSheetId="23">#REF!</definedName>
    <definedName name="qrychiefrepwtgeneth" localSheetId="24">#REF!</definedName>
    <definedName name="qrychiefrepwtgeneth" localSheetId="25">#REF!</definedName>
    <definedName name="qrychiefrepwtgeneth" localSheetId="26">#REF!</definedName>
    <definedName name="qrychiefrepwtgeneth" localSheetId="27">#REF!</definedName>
    <definedName name="qrychiefrepwtgeneth" localSheetId="28">#REF!</definedName>
    <definedName name="qrychiefrepwtgeneth" localSheetId="29">#REF!</definedName>
    <definedName name="qrychiefrepwtgeneth" localSheetId="30">#REF!</definedName>
    <definedName name="qrychiefrepwtgeneth" localSheetId="31">#REF!</definedName>
    <definedName name="qrychiefrepwtgeneth" localSheetId="32">#REF!</definedName>
    <definedName name="qrychiefrepwtgeneth" localSheetId="33">#REF!</definedName>
    <definedName name="qrychiefrepwtgeneth" localSheetId="34">#REF!</definedName>
    <definedName name="qrychiefrepwtgeneth" localSheetId="35">#REF!</definedName>
    <definedName name="qrychiefrepwtgeneth" localSheetId="45">#REF!</definedName>
    <definedName name="qrychiefrepwtgeneth" localSheetId="46">#REF!</definedName>
    <definedName name="qrychiefrepwtgeneth" localSheetId="47">#REF!</definedName>
    <definedName name="qryffinjuries9900" localSheetId="20">#REF!</definedName>
    <definedName name="qryffinjuries9900" localSheetId="21">#REF!</definedName>
    <definedName name="qryffinjuries9900" localSheetId="22">#REF!</definedName>
    <definedName name="qryffinjuries9900" localSheetId="23">#REF!</definedName>
    <definedName name="qryffinjuries9900" localSheetId="24">#REF!</definedName>
    <definedName name="qryffinjuries9900" localSheetId="25">#REF!</definedName>
    <definedName name="qryffinjuries9900" localSheetId="26">#REF!</definedName>
    <definedName name="qryffinjuries9900" localSheetId="27">#REF!</definedName>
    <definedName name="qryffinjuries9900" localSheetId="28">#REF!</definedName>
    <definedName name="qryffinjuries9900" localSheetId="29">#REF!</definedName>
    <definedName name="qryffinjuries9900" localSheetId="30">#REF!</definedName>
    <definedName name="qryffinjuries9900" localSheetId="31">#REF!</definedName>
    <definedName name="qryffinjuries9900" localSheetId="32">#REF!</definedName>
    <definedName name="qryffinjuries9900" localSheetId="33">#REF!</definedName>
    <definedName name="qryffinjuries9900" localSheetId="34">#REF!</definedName>
    <definedName name="qryffinjuries9900" localSheetId="35">#REF!</definedName>
    <definedName name="qryffinjuries9900" localSheetId="45">#REF!</definedName>
    <definedName name="qryffinjuries9900" localSheetId="46">#REF!</definedName>
    <definedName name="qryffinjuries9900" localSheetId="47">#REF!</definedName>
    <definedName name="qryPI15" localSheetId="2">#REF!</definedName>
    <definedName name="qryPI15" localSheetId="3">#REF!</definedName>
    <definedName name="qryPI15" localSheetId="6">#REF!</definedName>
    <definedName name="qryPI15" localSheetId="7">#REF!</definedName>
    <definedName name="qryPI15" localSheetId="10">#REF!</definedName>
    <definedName name="qryPI15" localSheetId="11">#REF!</definedName>
    <definedName name="qryPI15" localSheetId="14">#REF!</definedName>
    <definedName name="qryPI15" localSheetId="15">#REF!</definedName>
    <definedName name="qryPI15" localSheetId="18">#REF!</definedName>
    <definedName name="qryPI15" localSheetId="19">#REF!</definedName>
    <definedName name="qryPI15" localSheetId="20">#REF!</definedName>
    <definedName name="qryPI15" localSheetId="21">#REF!</definedName>
    <definedName name="qryPI15" localSheetId="22">#REF!</definedName>
    <definedName name="qryPI15" localSheetId="23">#REF!</definedName>
    <definedName name="qryPI15" localSheetId="24">#REF!</definedName>
    <definedName name="qryPI15" localSheetId="25">#REF!</definedName>
    <definedName name="qryPI15" localSheetId="26">#REF!</definedName>
    <definedName name="qryPI15" localSheetId="27">#REF!</definedName>
    <definedName name="qryPI15" localSheetId="28">#REF!</definedName>
    <definedName name="qryPI15" localSheetId="29">#REF!</definedName>
    <definedName name="qryPI15" localSheetId="30">#REF!</definedName>
    <definedName name="qryPI15" localSheetId="31">#REF!</definedName>
    <definedName name="qryPI15" localSheetId="32">#REF!</definedName>
    <definedName name="qryPI15" localSheetId="33">#REF!</definedName>
    <definedName name="qryPI15" localSheetId="34">#REF!</definedName>
    <definedName name="qryPI15" localSheetId="35">#REF!</definedName>
    <definedName name="qryPI15" localSheetId="45">#REF!</definedName>
    <definedName name="qryPI15" localSheetId="46">#REF!</definedName>
    <definedName name="qryPI15" localSheetId="47">#REF!</definedName>
    <definedName name="qryPI16" localSheetId="2">#REF!</definedName>
    <definedName name="qryPI16" localSheetId="3">#REF!</definedName>
    <definedName name="qryPI16" localSheetId="6">#REF!</definedName>
    <definedName name="qryPI16" localSheetId="7">#REF!</definedName>
    <definedName name="qryPI16" localSheetId="10">#REF!</definedName>
    <definedName name="qryPI16" localSheetId="11">#REF!</definedName>
    <definedName name="qryPI16" localSheetId="14">#REF!</definedName>
    <definedName name="qryPI16" localSheetId="15">#REF!</definedName>
    <definedName name="qryPI16" localSheetId="18">#REF!</definedName>
    <definedName name="qryPI16" localSheetId="19">#REF!</definedName>
    <definedName name="qryPI16" localSheetId="20">#REF!</definedName>
    <definedName name="qryPI16" localSheetId="21">#REF!</definedName>
    <definedName name="qryPI16" localSheetId="22">#REF!</definedName>
    <definedName name="qryPI16" localSheetId="23">#REF!</definedName>
    <definedName name="qryPI16" localSheetId="24">#REF!</definedName>
    <definedName name="qryPI16" localSheetId="25">#REF!</definedName>
    <definedName name="qryPI16" localSheetId="26">#REF!</definedName>
    <definedName name="qryPI16" localSheetId="27">#REF!</definedName>
    <definedName name="qryPI16" localSheetId="28">#REF!</definedName>
    <definedName name="qryPI16" localSheetId="29">#REF!</definedName>
    <definedName name="qryPI16" localSheetId="30">#REF!</definedName>
    <definedName name="qryPI16" localSheetId="31">#REF!</definedName>
    <definedName name="qryPI16" localSheetId="32">#REF!</definedName>
    <definedName name="qryPI16" localSheetId="33">#REF!</definedName>
    <definedName name="qryPI16" localSheetId="34">#REF!</definedName>
    <definedName name="qryPI16" localSheetId="35">#REF!</definedName>
    <definedName name="qryPI16" localSheetId="45">#REF!</definedName>
    <definedName name="qryPI16" localSheetId="46">#REF!</definedName>
    <definedName name="qryPI16" localSheetId="47">#REF!</definedName>
    <definedName name="qryPIBV145a" localSheetId="2">#REF!</definedName>
    <definedName name="qryPIBV145a" localSheetId="3">#REF!</definedName>
    <definedName name="qryPIBV145a" localSheetId="6">#REF!</definedName>
    <definedName name="qryPIBV145a" localSheetId="7">#REF!</definedName>
    <definedName name="qryPIBV145a" localSheetId="10">#REF!</definedName>
    <definedName name="qryPIBV145a" localSheetId="11">#REF!</definedName>
    <definedName name="qryPIBV145a" localSheetId="14">#REF!</definedName>
    <definedName name="qryPIBV145a" localSheetId="15">#REF!</definedName>
    <definedName name="qryPIBV145a" localSheetId="18">#REF!</definedName>
    <definedName name="qryPIBV145a" localSheetId="19">#REF!</definedName>
    <definedName name="qryPIBV145a" localSheetId="20">#REF!</definedName>
    <definedName name="qryPIBV145a" localSheetId="21">#REF!</definedName>
    <definedName name="qryPIBV145a" localSheetId="22">#REF!</definedName>
    <definedName name="qryPIBV145a" localSheetId="23">#REF!</definedName>
    <definedName name="qryPIBV145a" localSheetId="24">#REF!</definedName>
    <definedName name="qryPIBV145a" localSheetId="25">#REF!</definedName>
    <definedName name="qryPIBV145a" localSheetId="26">#REF!</definedName>
    <definedName name="qryPIBV145a" localSheetId="27">#REF!</definedName>
    <definedName name="qryPIBV145a" localSheetId="28">#REF!</definedName>
    <definedName name="qryPIBV145a" localSheetId="29">#REF!</definedName>
    <definedName name="qryPIBV145a" localSheetId="30">#REF!</definedName>
    <definedName name="qryPIBV145a" localSheetId="31">#REF!</definedName>
    <definedName name="qryPIBV145a" localSheetId="32">#REF!</definedName>
    <definedName name="qryPIBV145a" localSheetId="33">#REF!</definedName>
    <definedName name="qryPIBV145a" localSheetId="34">#REF!</definedName>
    <definedName name="qryPIBV145a" localSheetId="35">#REF!</definedName>
    <definedName name="qryPIBV145a" localSheetId="45">#REF!</definedName>
    <definedName name="qryPIBV145a" localSheetId="46">#REF!</definedName>
    <definedName name="qryPIBV145a" localSheetId="47">#REF!</definedName>
    <definedName name="qryPIBV145b" localSheetId="2">#REF!</definedName>
    <definedName name="qryPIBV145b" localSheetId="3">#REF!</definedName>
    <definedName name="qryPIBV145b" localSheetId="6">#REF!</definedName>
    <definedName name="qryPIBV145b" localSheetId="7">#REF!</definedName>
    <definedName name="qryPIBV145b" localSheetId="10">#REF!</definedName>
    <definedName name="qryPIBV145b" localSheetId="11">#REF!</definedName>
    <definedName name="qryPIBV145b" localSheetId="14">#REF!</definedName>
    <definedName name="qryPIBV145b" localSheetId="15">#REF!</definedName>
    <definedName name="qryPIBV145b" localSheetId="18">#REF!</definedName>
    <definedName name="qryPIBV145b" localSheetId="19">#REF!</definedName>
    <definedName name="qryPIBV145b" localSheetId="20">#REF!</definedName>
    <definedName name="qryPIBV145b" localSheetId="21">#REF!</definedName>
    <definedName name="qryPIBV145b" localSheetId="22">#REF!</definedName>
    <definedName name="qryPIBV145b" localSheetId="23">#REF!</definedName>
    <definedName name="qryPIBV145b" localSheetId="24">#REF!</definedName>
    <definedName name="qryPIBV145b" localSheetId="25">#REF!</definedName>
    <definedName name="qryPIBV145b" localSheetId="26">#REF!</definedName>
    <definedName name="qryPIBV145b" localSheetId="27">#REF!</definedName>
    <definedName name="qryPIBV145b" localSheetId="28">#REF!</definedName>
    <definedName name="qryPIBV145b" localSheetId="29">#REF!</definedName>
    <definedName name="qryPIBV145b" localSheetId="30">#REF!</definedName>
    <definedName name="qryPIBV145b" localSheetId="31">#REF!</definedName>
    <definedName name="qryPIBV145b" localSheetId="32">#REF!</definedName>
    <definedName name="qryPIBV145b" localSheetId="33">#REF!</definedName>
    <definedName name="qryPIBV145b" localSheetId="34">#REF!</definedName>
    <definedName name="qryPIBV145b" localSheetId="35">#REF!</definedName>
    <definedName name="qryPIBV145b" localSheetId="45">#REF!</definedName>
    <definedName name="qryPIBV145b" localSheetId="46">#REF!</definedName>
    <definedName name="qryPIBV145b" localSheetId="47">#REF!</definedName>
    <definedName name="qryPIBV145c" localSheetId="2">#REF!</definedName>
    <definedName name="qryPIBV145c" localSheetId="3">#REF!</definedName>
    <definedName name="qryPIBV145c" localSheetId="6">#REF!</definedName>
    <definedName name="qryPIBV145c" localSheetId="7">#REF!</definedName>
    <definedName name="qryPIBV145c" localSheetId="10">#REF!</definedName>
    <definedName name="qryPIBV145c" localSheetId="11">#REF!</definedName>
    <definedName name="qryPIBV145c" localSheetId="14">#REF!</definedName>
    <definedName name="qryPIBV145c" localSheetId="15">#REF!</definedName>
    <definedName name="qryPIBV145c" localSheetId="18">#REF!</definedName>
    <definedName name="qryPIBV145c" localSheetId="19">#REF!</definedName>
    <definedName name="qryPIBV145c" localSheetId="20">#REF!</definedName>
    <definedName name="qryPIBV145c" localSheetId="21">#REF!</definedName>
    <definedName name="qryPIBV145c" localSheetId="22">#REF!</definedName>
    <definedName name="qryPIBV145c" localSheetId="23">#REF!</definedName>
    <definedName name="qryPIBV145c" localSheetId="24">#REF!</definedName>
    <definedName name="qryPIBV145c" localSheetId="25">#REF!</definedName>
    <definedName name="qryPIBV145c" localSheetId="26">#REF!</definedName>
    <definedName name="qryPIBV145c" localSheetId="27">#REF!</definedName>
    <definedName name="qryPIBV145c" localSheetId="28">#REF!</definedName>
    <definedName name="qryPIBV145c" localSheetId="29">#REF!</definedName>
    <definedName name="qryPIBV145c" localSheetId="30">#REF!</definedName>
    <definedName name="qryPIBV145c" localSheetId="31">#REF!</definedName>
    <definedName name="qryPIBV145c" localSheetId="32">#REF!</definedName>
    <definedName name="qryPIBV145c" localSheetId="33">#REF!</definedName>
    <definedName name="qryPIBV145c" localSheetId="34">#REF!</definedName>
    <definedName name="qryPIBV145c" localSheetId="35">#REF!</definedName>
    <definedName name="qryPIBV145c" localSheetId="45">#REF!</definedName>
    <definedName name="qryPIBV145c" localSheetId="46">#REF!</definedName>
    <definedName name="qryPIBV145c" localSheetId="47">#REF!</definedName>
    <definedName name="qryPIBV15i" localSheetId="2">#REF!</definedName>
    <definedName name="qryPIBV15i" localSheetId="3">#REF!</definedName>
    <definedName name="qryPIBV15i" localSheetId="6">#REF!</definedName>
    <definedName name="qryPIBV15i" localSheetId="7">#REF!</definedName>
    <definedName name="qryPIBV15i" localSheetId="10">#REF!</definedName>
    <definedName name="qryPIBV15i" localSheetId="11">#REF!</definedName>
    <definedName name="qryPIBV15i" localSheetId="14">#REF!</definedName>
    <definedName name="qryPIBV15i" localSheetId="15">#REF!</definedName>
    <definedName name="qryPIBV15i" localSheetId="18">#REF!</definedName>
    <definedName name="qryPIBV15i" localSheetId="19">#REF!</definedName>
    <definedName name="qryPIBV15i" localSheetId="20">#REF!</definedName>
    <definedName name="qryPIBV15i" localSheetId="21">#REF!</definedName>
    <definedName name="qryPIBV15i" localSheetId="22">#REF!</definedName>
    <definedName name="qryPIBV15i" localSheetId="23">#REF!</definedName>
    <definedName name="qryPIBV15i" localSheetId="24">#REF!</definedName>
    <definedName name="qryPIBV15i" localSheetId="25">#REF!</definedName>
    <definedName name="qryPIBV15i" localSheetId="26">#REF!</definedName>
    <definedName name="qryPIBV15i" localSheetId="27">#REF!</definedName>
    <definedName name="qryPIBV15i" localSheetId="28">#REF!</definedName>
    <definedName name="qryPIBV15i" localSheetId="29">#REF!</definedName>
    <definedName name="qryPIBV15i" localSheetId="30">#REF!</definedName>
    <definedName name="qryPIBV15i" localSheetId="31">#REF!</definedName>
    <definedName name="qryPIBV15i" localSheetId="32">#REF!</definedName>
    <definedName name="qryPIBV15i" localSheetId="33">#REF!</definedName>
    <definedName name="qryPIBV15i" localSheetId="34">#REF!</definedName>
    <definedName name="qryPIBV15i" localSheetId="35">#REF!</definedName>
    <definedName name="qryPIBV15i" localSheetId="45">#REF!</definedName>
    <definedName name="qryPIBV15i" localSheetId="46">#REF!</definedName>
    <definedName name="qryPIBV15i" localSheetId="47">#REF!</definedName>
    <definedName name="qryPIBV15ii" localSheetId="2">#REF!</definedName>
    <definedName name="qryPIBV15ii" localSheetId="3">#REF!</definedName>
    <definedName name="qryPIBV15ii" localSheetId="6">#REF!</definedName>
    <definedName name="qryPIBV15ii" localSheetId="7">#REF!</definedName>
    <definedName name="qryPIBV15ii" localSheetId="10">#REF!</definedName>
    <definedName name="qryPIBV15ii" localSheetId="11">#REF!</definedName>
    <definedName name="qryPIBV15ii" localSheetId="14">#REF!</definedName>
    <definedName name="qryPIBV15ii" localSheetId="15">#REF!</definedName>
    <definedName name="qryPIBV15ii" localSheetId="18">#REF!</definedName>
    <definedName name="qryPIBV15ii" localSheetId="19">#REF!</definedName>
    <definedName name="qryPIBV15ii" localSheetId="20">#REF!</definedName>
    <definedName name="qryPIBV15ii" localSheetId="21">#REF!</definedName>
    <definedName name="qryPIBV15ii" localSheetId="22">#REF!</definedName>
    <definedName name="qryPIBV15ii" localSheetId="23">#REF!</definedName>
    <definedName name="qryPIBV15ii" localSheetId="24">#REF!</definedName>
    <definedName name="qryPIBV15ii" localSheetId="25">#REF!</definedName>
    <definedName name="qryPIBV15ii" localSheetId="26">#REF!</definedName>
    <definedName name="qryPIBV15ii" localSheetId="27">#REF!</definedName>
    <definedName name="qryPIBV15ii" localSheetId="28">#REF!</definedName>
    <definedName name="qryPIBV15ii" localSheetId="29">#REF!</definedName>
    <definedName name="qryPIBV15ii" localSheetId="30">#REF!</definedName>
    <definedName name="qryPIBV15ii" localSheetId="31">#REF!</definedName>
    <definedName name="qryPIBV15ii" localSheetId="32">#REF!</definedName>
    <definedName name="qryPIBV15ii" localSheetId="33">#REF!</definedName>
    <definedName name="qryPIBV15ii" localSheetId="34">#REF!</definedName>
    <definedName name="qryPIBV15ii" localSheetId="35">#REF!</definedName>
    <definedName name="qryPIBV15ii" localSheetId="45">#REF!</definedName>
    <definedName name="qryPIBV15ii" localSheetId="46">#REF!</definedName>
    <definedName name="qryPIBV15ii" localSheetId="47">#REF!</definedName>
    <definedName name="qryPIctsickness" localSheetId="2">#REF!</definedName>
    <definedName name="qryPIctsickness" localSheetId="3">#REF!</definedName>
    <definedName name="qryPIctsickness" localSheetId="6">#REF!</definedName>
    <definedName name="qryPIctsickness" localSheetId="7">#REF!</definedName>
    <definedName name="qryPIctsickness" localSheetId="10">#REF!</definedName>
    <definedName name="qryPIctsickness" localSheetId="11">#REF!</definedName>
    <definedName name="qryPIctsickness" localSheetId="14">#REF!</definedName>
    <definedName name="qryPIctsickness" localSheetId="15">#REF!</definedName>
    <definedName name="qryPIctsickness" localSheetId="18">#REF!</definedName>
    <definedName name="qryPIctsickness" localSheetId="19">#REF!</definedName>
    <definedName name="qryPIctsickness" localSheetId="20">#REF!</definedName>
    <definedName name="qryPIctsickness" localSheetId="21">#REF!</definedName>
    <definedName name="qryPIctsickness" localSheetId="22">#REF!</definedName>
    <definedName name="qryPIctsickness" localSheetId="23">#REF!</definedName>
    <definedName name="qryPIctsickness" localSheetId="24">#REF!</definedName>
    <definedName name="qryPIctsickness" localSheetId="25">#REF!</definedName>
    <definedName name="qryPIctsickness" localSheetId="26">#REF!</definedName>
    <definedName name="qryPIctsickness" localSheetId="27">#REF!</definedName>
    <definedName name="qryPIctsickness" localSheetId="28">#REF!</definedName>
    <definedName name="qryPIctsickness" localSheetId="29">#REF!</definedName>
    <definedName name="qryPIctsickness" localSheetId="30">#REF!</definedName>
    <definedName name="qryPIctsickness" localSheetId="31">#REF!</definedName>
    <definedName name="qryPIctsickness" localSheetId="32">#REF!</definedName>
    <definedName name="qryPIctsickness" localSheetId="33">#REF!</definedName>
    <definedName name="qryPIctsickness" localSheetId="34">#REF!</definedName>
    <definedName name="qryPIctsickness" localSheetId="35">#REF!</definedName>
    <definedName name="qryPIctsickness" localSheetId="45">#REF!</definedName>
    <definedName name="qryPIctsickness" localSheetId="46">#REF!</definedName>
    <definedName name="qryPIctsickness" localSheetId="47">#REF!</definedName>
    <definedName name="qryPIriderfactleave" localSheetId="2">#REF!</definedName>
    <definedName name="qryPIriderfactleave" localSheetId="3">#REF!</definedName>
    <definedName name="qryPIriderfactleave" localSheetId="6">#REF!</definedName>
    <definedName name="qryPIriderfactleave" localSheetId="7">#REF!</definedName>
    <definedName name="qryPIriderfactleave" localSheetId="10">#REF!</definedName>
    <definedName name="qryPIriderfactleave" localSheetId="11">#REF!</definedName>
    <definedName name="qryPIriderfactleave" localSheetId="14">#REF!</definedName>
    <definedName name="qryPIriderfactleave" localSheetId="15">#REF!</definedName>
    <definedName name="qryPIriderfactleave" localSheetId="18">#REF!</definedName>
    <definedName name="qryPIriderfactleave" localSheetId="19">#REF!</definedName>
    <definedName name="qryPIriderfactleave" localSheetId="20">#REF!</definedName>
    <definedName name="qryPIriderfactleave" localSheetId="21">#REF!</definedName>
    <definedName name="qryPIriderfactleave" localSheetId="22">#REF!</definedName>
    <definedName name="qryPIriderfactleave" localSheetId="23">#REF!</definedName>
    <definedName name="qryPIriderfactleave" localSheetId="24">#REF!</definedName>
    <definedName name="qryPIriderfactleave" localSheetId="25">#REF!</definedName>
    <definedName name="qryPIriderfactleave" localSheetId="26">#REF!</definedName>
    <definedName name="qryPIriderfactleave" localSheetId="27">#REF!</definedName>
    <definedName name="qryPIriderfactleave" localSheetId="28">#REF!</definedName>
    <definedName name="qryPIriderfactleave" localSheetId="29">#REF!</definedName>
    <definedName name="qryPIriderfactleave" localSheetId="30">#REF!</definedName>
    <definedName name="qryPIriderfactleave" localSheetId="31">#REF!</definedName>
    <definedName name="qryPIriderfactleave" localSheetId="32">#REF!</definedName>
    <definedName name="qryPIriderfactleave" localSheetId="33">#REF!</definedName>
    <definedName name="qryPIriderfactleave" localSheetId="34">#REF!</definedName>
    <definedName name="qryPIriderfactleave" localSheetId="35">#REF!</definedName>
    <definedName name="qryPIriderfactleave" localSheetId="45">#REF!</definedName>
    <definedName name="qryPIriderfactleave" localSheetId="46">#REF!</definedName>
    <definedName name="qryPIriderfactleave" localSheetId="47">#REF!</definedName>
    <definedName name="qryPIriderfactsick" localSheetId="2">#REF!</definedName>
    <definedName name="qryPIriderfactsick" localSheetId="3">#REF!</definedName>
    <definedName name="qryPIriderfactsick" localSheetId="6">#REF!</definedName>
    <definedName name="qryPIriderfactsick" localSheetId="7">#REF!</definedName>
    <definedName name="qryPIriderfactsick" localSheetId="10">#REF!</definedName>
    <definedName name="qryPIriderfactsick" localSheetId="11">#REF!</definedName>
    <definedName name="qryPIriderfactsick" localSheetId="14">#REF!</definedName>
    <definedName name="qryPIriderfactsick" localSheetId="15">#REF!</definedName>
    <definedName name="qryPIriderfactsick" localSheetId="18">#REF!</definedName>
    <definedName name="qryPIriderfactsick" localSheetId="19">#REF!</definedName>
    <definedName name="qryPIriderfactsick" localSheetId="20">#REF!</definedName>
    <definedName name="qryPIriderfactsick" localSheetId="21">#REF!</definedName>
    <definedName name="qryPIriderfactsick" localSheetId="22">#REF!</definedName>
    <definedName name="qryPIriderfactsick" localSheetId="23">#REF!</definedName>
    <definedName name="qryPIriderfactsick" localSheetId="24">#REF!</definedName>
    <definedName name="qryPIriderfactsick" localSheetId="25">#REF!</definedName>
    <definedName name="qryPIriderfactsick" localSheetId="26">#REF!</definedName>
    <definedName name="qryPIriderfactsick" localSheetId="27">#REF!</definedName>
    <definedName name="qryPIriderfactsick" localSheetId="28">#REF!</definedName>
    <definedName name="qryPIriderfactsick" localSheetId="29">#REF!</definedName>
    <definedName name="qryPIriderfactsick" localSheetId="30">#REF!</definedName>
    <definedName name="qryPIriderfactsick" localSheetId="31">#REF!</definedName>
    <definedName name="qryPIriderfactsick" localSheetId="32">#REF!</definedName>
    <definedName name="qryPIriderfactsick" localSheetId="33">#REF!</definedName>
    <definedName name="qryPIriderfactsick" localSheetId="34">#REF!</definedName>
    <definedName name="qryPIriderfactsick" localSheetId="35">#REF!</definedName>
    <definedName name="qryPIriderfactsick" localSheetId="45">#REF!</definedName>
    <definedName name="qryPIriderfactsick" localSheetId="46">#REF!</definedName>
    <definedName name="qryPIriderfactsick" localSheetId="47">#REF!</definedName>
    <definedName name="Query1" localSheetId="20">#REF!</definedName>
    <definedName name="Query1" localSheetId="21">#REF!</definedName>
    <definedName name="Query1" localSheetId="22">#REF!</definedName>
    <definedName name="Query1" localSheetId="23">#REF!</definedName>
    <definedName name="Query1" localSheetId="24">#REF!</definedName>
    <definedName name="Query1" localSheetId="25">#REF!</definedName>
    <definedName name="Query1" localSheetId="26">#REF!</definedName>
    <definedName name="Query1" localSheetId="27">#REF!</definedName>
    <definedName name="Query1" localSheetId="28">#REF!</definedName>
    <definedName name="Query1" localSheetId="29">#REF!</definedName>
    <definedName name="Query1" localSheetId="30">#REF!</definedName>
    <definedName name="Query1" localSheetId="31">#REF!</definedName>
    <definedName name="Query1" localSheetId="32">#REF!</definedName>
    <definedName name="Query1" localSheetId="33">#REF!</definedName>
    <definedName name="Query1" localSheetId="34">#REF!</definedName>
    <definedName name="Query1" localSheetId="35">#REF!</definedName>
    <definedName name="Query1" localSheetId="45">#REF!</definedName>
    <definedName name="Query1" localSheetId="46">#REF!</definedName>
    <definedName name="Query1" localSheetId="47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6" l="1"/>
  <c r="D7" i="16" s="1"/>
  <c r="D5" i="14"/>
  <c r="D7" i="14" s="1"/>
  <c r="D5" i="11"/>
  <c r="D7" i="11" s="1"/>
  <c r="E5" i="12"/>
  <c r="E7" i="12" s="1"/>
  <c r="C17" i="5" l="1"/>
  <c r="D17" i="5"/>
  <c r="E17" i="5"/>
  <c r="F17" i="5"/>
  <c r="C49" i="49" l="1"/>
  <c r="D49" i="49"/>
  <c r="E49" i="49"/>
  <c r="F49" i="49"/>
  <c r="C50" i="49"/>
  <c r="D50" i="49"/>
  <c r="E50" i="49"/>
  <c r="F50" i="49"/>
  <c r="C51" i="49"/>
  <c r="D51" i="49"/>
  <c r="E51" i="49"/>
  <c r="F51" i="49"/>
  <c r="C49" i="50"/>
  <c r="D49" i="50"/>
  <c r="E49" i="50"/>
  <c r="F49" i="50"/>
  <c r="C50" i="50"/>
  <c r="D50" i="50"/>
  <c r="E50" i="50"/>
  <c r="F50" i="50"/>
  <c r="C51" i="50"/>
  <c r="D51" i="50"/>
  <c r="E51" i="50"/>
  <c r="F51" i="50"/>
  <c r="C50" i="51"/>
  <c r="D50" i="51"/>
  <c r="E50" i="51"/>
  <c r="F50" i="51"/>
  <c r="G50" i="51"/>
  <c r="H50" i="51"/>
  <c r="I50" i="51"/>
  <c r="J50" i="51"/>
  <c r="C51" i="51"/>
  <c r="D51" i="51"/>
  <c r="E51" i="51"/>
  <c r="F51" i="51"/>
  <c r="G51" i="51"/>
  <c r="H51" i="51"/>
  <c r="I51" i="51"/>
  <c r="J51" i="51"/>
  <c r="C52" i="51"/>
  <c r="D52" i="51"/>
  <c r="E52" i="51"/>
  <c r="F52" i="51"/>
  <c r="G52" i="51"/>
  <c r="H52" i="51"/>
  <c r="I52" i="51"/>
  <c r="J52" i="51"/>
  <c r="C7" i="49"/>
  <c r="D7" i="49"/>
  <c r="E7" i="49"/>
  <c r="F7" i="49"/>
  <c r="C8" i="49"/>
  <c r="D8" i="49"/>
  <c r="E8" i="49"/>
  <c r="F8" i="49"/>
  <c r="C9" i="49"/>
  <c r="D9" i="49"/>
  <c r="E9" i="49"/>
  <c r="F9" i="49"/>
  <c r="C10" i="49"/>
  <c r="D10" i="49"/>
  <c r="E10" i="49"/>
  <c r="F10" i="49"/>
  <c r="C11" i="49"/>
  <c r="D11" i="49"/>
  <c r="E11" i="49"/>
  <c r="F11" i="49"/>
  <c r="C12" i="49"/>
  <c r="D12" i="49"/>
  <c r="E12" i="49"/>
  <c r="F12" i="49"/>
  <c r="C13" i="49"/>
  <c r="D13" i="49"/>
  <c r="E13" i="49"/>
  <c r="F13" i="49"/>
  <c r="C14" i="49"/>
  <c r="D14" i="49"/>
  <c r="E14" i="49"/>
  <c r="F14" i="49"/>
  <c r="C15" i="49"/>
  <c r="D15" i="49"/>
  <c r="E15" i="49"/>
  <c r="F15" i="49"/>
  <c r="C16" i="49"/>
  <c r="D16" i="49"/>
  <c r="E16" i="49"/>
  <c r="F16" i="49"/>
  <c r="C17" i="49"/>
  <c r="D17" i="49"/>
  <c r="E17" i="49"/>
  <c r="F17" i="49"/>
  <c r="C18" i="49"/>
  <c r="D18" i="49"/>
  <c r="E18" i="49"/>
  <c r="F18" i="49"/>
  <c r="C19" i="49"/>
  <c r="D19" i="49"/>
  <c r="E19" i="49"/>
  <c r="F19" i="49"/>
  <c r="C20" i="49"/>
  <c r="D20" i="49"/>
  <c r="E20" i="49"/>
  <c r="F20" i="49"/>
  <c r="C21" i="49"/>
  <c r="D21" i="49"/>
  <c r="E21" i="49"/>
  <c r="F21" i="49"/>
  <c r="C22" i="49"/>
  <c r="D22" i="49"/>
  <c r="E22" i="49"/>
  <c r="F22" i="49"/>
  <c r="C23" i="49"/>
  <c r="D23" i="49"/>
  <c r="E23" i="49"/>
  <c r="F23" i="49"/>
  <c r="C24" i="49"/>
  <c r="D24" i="49"/>
  <c r="E24" i="49"/>
  <c r="F24" i="49"/>
  <c r="C25" i="49"/>
  <c r="D25" i="49"/>
  <c r="E25" i="49"/>
  <c r="F25" i="49"/>
  <c r="C26" i="49"/>
  <c r="D26" i="49"/>
  <c r="E26" i="49"/>
  <c r="F26" i="49"/>
  <c r="C27" i="49"/>
  <c r="D27" i="49"/>
  <c r="E27" i="49"/>
  <c r="F27" i="49"/>
  <c r="C28" i="49"/>
  <c r="D28" i="49"/>
  <c r="E28" i="49"/>
  <c r="F28" i="49"/>
  <c r="C29" i="49"/>
  <c r="D29" i="49"/>
  <c r="E29" i="49"/>
  <c r="F29" i="49"/>
  <c r="C30" i="49"/>
  <c r="D30" i="49"/>
  <c r="E30" i="49"/>
  <c r="F30" i="49"/>
  <c r="C31" i="49"/>
  <c r="D31" i="49"/>
  <c r="E31" i="49"/>
  <c r="F31" i="49"/>
  <c r="C32" i="49"/>
  <c r="D32" i="49"/>
  <c r="E32" i="49"/>
  <c r="F32" i="49"/>
  <c r="C33" i="49"/>
  <c r="D33" i="49"/>
  <c r="E33" i="49"/>
  <c r="F33" i="49"/>
  <c r="C34" i="49"/>
  <c r="D34" i="49"/>
  <c r="E34" i="49"/>
  <c r="F34" i="49"/>
  <c r="C35" i="49"/>
  <c r="D35" i="49"/>
  <c r="E35" i="49"/>
  <c r="F35" i="49"/>
  <c r="C36" i="49"/>
  <c r="D36" i="49"/>
  <c r="E36" i="49"/>
  <c r="F36" i="49"/>
  <c r="C37" i="49"/>
  <c r="D37" i="49"/>
  <c r="E37" i="49"/>
  <c r="F37" i="49"/>
  <c r="C38" i="49"/>
  <c r="D38" i="49"/>
  <c r="E38" i="49"/>
  <c r="F38" i="49"/>
  <c r="C39" i="49"/>
  <c r="D39" i="49"/>
  <c r="E39" i="49"/>
  <c r="F39" i="49"/>
  <c r="C40" i="49"/>
  <c r="D40" i="49"/>
  <c r="E40" i="49"/>
  <c r="F40" i="49"/>
  <c r="C41" i="49"/>
  <c r="D41" i="49"/>
  <c r="E41" i="49"/>
  <c r="F41" i="49"/>
  <c r="C42" i="49"/>
  <c r="D42" i="49"/>
  <c r="E42" i="49"/>
  <c r="F42" i="49"/>
  <c r="C43" i="49"/>
  <c r="D43" i="49"/>
  <c r="E43" i="49"/>
  <c r="F43" i="49"/>
  <c r="C45" i="49"/>
  <c r="D45" i="49"/>
  <c r="E45" i="49"/>
  <c r="F45" i="49"/>
  <c r="C46" i="49"/>
  <c r="D46" i="49"/>
  <c r="E46" i="49"/>
  <c r="F46" i="49"/>
  <c r="C47" i="49"/>
  <c r="D47" i="49"/>
  <c r="E47" i="49"/>
  <c r="F47" i="49"/>
  <c r="C48" i="49"/>
  <c r="D48" i="49"/>
  <c r="E48" i="49"/>
  <c r="F48" i="49"/>
  <c r="F6" i="49"/>
  <c r="E6" i="49"/>
  <c r="D6" i="49"/>
  <c r="D5" i="49" s="1"/>
  <c r="C6" i="49"/>
  <c r="C5" i="49" s="1"/>
  <c r="C7" i="50"/>
  <c r="D7" i="50"/>
  <c r="E7" i="50"/>
  <c r="F7" i="50"/>
  <c r="C8" i="50"/>
  <c r="D8" i="50"/>
  <c r="E8" i="50"/>
  <c r="F8" i="50"/>
  <c r="C9" i="50"/>
  <c r="D9" i="50"/>
  <c r="E9" i="50"/>
  <c r="F9" i="50"/>
  <c r="C10" i="50"/>
  <c r="D10" i="50"/>
  <c r="E10" i="50"/>
  <c r="F10" i="50"/>
  <c r="C11" i="50"/>
  <c r="D11" i="50"/>
  <c r="E11" i="50"/>
  <c r="F11" i="50"/>
  <c r="C12" i="50"/>
  <c r="D12" i="50"/>
  <c r="E12" i="50"/>
  <c r="F12" i="50"/>
  <c r="C13" i="50"/>
  <c r="D13" i="50"/>
  <c r="E13" i="50"/>
  <c r="F13" i="50"/>
  <c r="C14" i="50"/>
  <c r="D14" i="50"/>
  <c r="E14" i="50"/>
  <c r="F14" i="50"/>
  <c r="C15" i="50"/>
  <c r="D15" i="50"/>
  <c r="E15" i="50"/>
  <c r="F15" i="50"/>
  <c r="C16" i="50"/>
  <c r="D16" i="50"/>
  <c r="E16" i="50"/>
  <c r="F16" i="50"/>
  <c r="C17" i="50"/>
  <c r="D17" i="50"/>
  <c r="E17" i="50"/>
  <c r="F17" i="50"/>
  <c r="C18" i="50"/>
  <c r="D18" i="50"/>
  <c r="E18" i="50"/>
  <c r="F18" i="50"/>
  <c r="C19" i="50"/>
  <c r="D19" i="50"/>
  <c r="E19" i="50"/>
  <c r="F19" i="50"/>
  <c r="C20" i="50"/>
  <c r="D20" i="50"/>
  <c r="E20" i="50"/>
  <c r="F20" i="50"/>
  <c r="C21" i="50"/>
  <c r="D21" i="50"/>
  <c r="E21" i="50"/>
  <c r="F21" i="50"/>
  <c r="C22" i="50"/>
  <c r="D22" i="50"/>
  <c r="E22" i="50"/>
  <c r="F22" i="50"/>
  <c r="C23" i="50"/>
  <c r="D23" i="50"/>
  <c r="E23" i="50"/>
  <c r="F23" i="50"/>
  <c r="C24" i="50"/>
  <c r="D24" i="50"/>
  <c r="E24" i="50"/>
  <c r="F24" i="50"/>
  <c r="C25" i="50"/>
  <c r="D25" i="50"/>
  <c r="E25" i="50"/>
  <c r="F25" i="50"/>
  <c r="C26" i="50"/>
  <c r="D26" i="50"/>
  <c r="E26" i="50"/>
  <c r="F26" i="50"/>
  <c r="C27" i="50"/>
  <c r="D27" i="50"/>
  <c r="E27" i="50"/>
  <c r="F27" i="50"/>
  <c r="C28" i="50"/>
  <c r="D28" i="50"/>
  <c r="E28" i="50"/>
  <c r="F28" i="50"/>
  <c r="C29" i="50"/>
  <c r="D29" i="50"/>
  <c r="E29" i="50"/>
  <c r="F29" i="50"/>
  <c r="C30" i="50"/>
  <c r="D30" i="50"/>
  <c r="E30" i="50"/>
  <c r="F30" i="50"/>
  <c r="C31" i="50"/>
  <c r="D31" i="50"/>
  <c r="E31" i="50"/>
  <c r="F31" i="50"/>
  <c r="C32" i="50"/>
  <c r="D32" i="50"/>
  <c r="E32" i="50"/>
  <c r="F32" i="50"/>
  <c r="C33" i="50"/>
  <c r="D33" i="50"/>
  <c r="E33" i="50"/>
  <c r="F33" i="50"/>
  <c r="C34" i="50"/>
  <c r="D34" i="50"/>
  <c r="E34" i="50"/>
  <c r="F34" i="50"/>
  <c r="C35" i="50"/>
  <c r="D35" i="50"/>
  <c r="E35" i="50"/>
  <c r="F35" i="50"/>
  <c r="C36" i="50"/>
  <c r="D36" i="50"/>
  <c r="E36" i="50"/>
  <c r="F36" i="50"/>
  <c r="C37" i="50"/>
  <c r="D37" i="50"/>
  <c r="E37" i="50"/>
  <c r="F37" i="50"/>
  <c r="C38" i="50"/>
  <c r="D38" i="50"/>
  <c r="E38" i="50"/>
  <c r="F38" i="50"/>
  <c r="C39" i="50"/>
  <c r="D39" i="50"/>
  <c r="E39" i="50"/>
  <c r="F39" i="50"/>
  <c r="C40" i="50"/>
  <c r="D40" i="50"/>
  <c r="E40" i="50"/>
  <c r="F40" i="50"/>
  <c r="C41" i="50"/>
  <c r="D41" i="50"/>
  <c r="E41" i="50"/>
  <c r="F41" i="50"/>
  <c r="C42" i="50"/>
  <c r="D42" i="50"/>
  <c r="E42" i="50"/>
  <c r="F42" i="50"/>
  <c r="C43" i="50"/>
  <c r="D43" i="50"/>
  <c r="E43" i="50"/>
  <c r="F43" i="50"/>
  <c r="C45" i="50"/>
  <c r="D45" i="50"/>
  <c r="E45" i="50"/>
  <c r="F45" i="50"/>
  <c r="C46" i="50"/>
  <c r="D46" i="50"/>
  <c r="E46" i="50"/>
  <c r="F46" i="50"/>
  <c r="C47" i="50"/>
  <c r="D47" i="50"/>
  <c r="E47" i="50"/>
  <c r="F47" i="50"/>
  <c r="C48" i="50"/>
  <c r="D48" i="50"/>
  <c r="E48" i="50"/>
  <c r="F48" i="50"/>
  <c r="F6" i="50"/>
  <c r="E6" i="50"/>
  <c r="E5" i="50" s="1"/>
  <c r="D6" i="50"/>
  <c r="C6" i="50"/>
  <c r="C5" i="50" s="1"/>
  <c r="C19" i="51"/>
  <c r="D19" i="51"/>
  <c r="E19" i="51"/>
  <c r="F19" i="51"/>
  <c r="G19" i="51"/>
  <c r="H19" i="51"/>
  <c r="I19" i="51"/>
  <c r="J19" i="51"/>
  <c r="C20" i="51"/>
  <c r="D20" i="51"/>
  <c r="E20" i="51"/>
  <c r="F20" i="51"/>
  <c r="G20" i="51"/>
  <c r="H20" i="51"/>
  <c r="I20" i="51"/>
  <c r="J20" i="51"/>
  <c r="C21" i="51"/>
  <c r="D21" i="51"/>
  <c r="E21" i="51"/>
  <c r="F21" i="51"/>
  <c r="G21" i="51"/>
  <c r="H21" i="51"/>
  <c r="I21" i="51"/>
  <c r="J21" i="51"/>
  <c r="C22" i="51"/>
  <c r="D22" i="51"/>
  <c r="E22" i="51"/>
  <c r="F22" i="51"/>
  <c r="G22" i="51"/>
  <c r="H22" i="51"/>
  <c r="I22" i="51"/>
  <c r="J22" i="51"/>
  <c r="C23" i="51"/>
  <c r="D23" i="51"/>
  <c r="E23" i="51"/>
  <c r="F23" i="51"/>
  <c r="G23" i="51"/>
  <c r="H23" i="51"/>
  <c r="I23" i="51"/>
  <c r="J23" i="51"/>
  <c r="C24" i="51"/>
  <c r="D24" i="51"/>
  <c r="E24" i="51"/>
  <c r="F24" i="51"/>
  <c r="G24" i="51"/>
  <c r="H24" i="51"/>
  <c r="I24" i="51"/>
  <c r="J24" i="51"/>
  <c r="C25" i="51"/>
  <c r="D25" i="51"/>
  <c r="E25" i="51"/>
  <c r="F25" i="51"/>
  <c r="G25" i="51"/>
  <c r="H25" i="51"/>
  <c r="I25" i="51"/>
  <c r="J25" i="51"/>
  <c r="C26" i="51"/>
  <c r="D26" i="51"/>
  <c r="E26" i="51"/>
  <c r="F26" i="51"/>
  <c r="G26" i="51"/>
  <c r="H26" i="51"/>
  <c r="I26" i="51"/>
  <c r="J26" i="51"/>
  <c r="C27" i="51"/>
  <c r="D27" i="51"/>
  <c r="E27" i="51"/>
  <c r="F27" i="51"/>
  <c r="G27" i="51"/>
  <c r="H27" i="51"/>
  <c r="I27" i="51"/>
  <c r="J27" i="51"/>
  <c r="C28" i="51"/>
  <c r="D28" i="51"/>
  <c r="E28" i="51"/>
  <c r="F28" i="51"/>
  <c r="G28" i="51"/>
  <c r="H28" i="51"/>
  <c r="I28" i="51"/>
  <c r="J28" i="51"/>
  <c r="C29" i="51"/>
  <c r="D29" i="51"/>
  <c r="E29" i="51"/>
  <c r="F29" i="51"/>
  <c r="G29" i="51"/>
  <c r="H29" i="51"/>
  <c r="I29" i="51"/>
  <c r="J29" i="51"/>
  <c r="C30" i="51"/>
  <c r="D30" i="51"/>
  <c r="E30" i="51"/>
  <c r="F30" i="51"/>
  <c r="G30" i="51"/>
  <c r="H30" i="51"/>
  <c r="I30" i="51"/>
  <c r="J30" i="51"/>
  <c r="C31" i="51"/>
  <c r="D31" i="51"/>
  <c r="E31" i="51"/>
  <c r="F31" i="51"/>
  <c r="G31" i="51"/>
  <c r="H31" i="51"/>
  <c r="I31" i="51"/>
  <c r="J31" i="51"/>
  <c r="C32" i="51"/>
  <c r="D32" i="51"/>
  <c r="E32" i="51"/>
  <c r="F32" i="51"/>
  <c r="G32" i="51"/>
  <c r="H32" i="51"/>
  <c r="I32" i="51"/>
  <c r="J32" i="51"/>
  <c r="C33" i="51"/>
  <c r="D33" i="51"/>
  <c r="E33" i="51"/>
  <c r="F33" i="51"/>
  <c r="G33" i="51"/>
  <c r="H33" i="51"/>
  <c r="I33" i="51"/>
  <c r="J33" i="51"/>
  <c r="C34" i="51"/>
  <c r="D34" i="51"/>
  <c r="E34" i="51"/>
  <c r="F34" i="51"/>
  <c r="G34" i="51"/>
  <c r="H34" i="51"/>
  <c r="I34" i="51"/>
  <c r="J34" i="51"/>
  <c r="C35" i="51"/>
  <c r="D35" i="51"/>
  <c r="E35" i="51"/>
  <c r="F35" i="51"/>
  <c r="G35" i="51"/>
  <c r="H35" i="51"/>
  <c r="I35" i="51"/>
  <c r="J35" i="51"/>
  <c r="C36" i="51"/>
  <c r="D36" i="51"/>
  <c r="E36" i="51"/>
  <c r="F36" i="51"/>
  <c r="G36" i="51"/>
  <c r="H36" i="51"/>
  <c r="I36" i="51"/>
  <c r="J36" i="51"/>
  <c r="C37" i="51"/>
  <c r="D37" i="51"/>
  <c r="E37" i="51"/>
  <c r="F37" i="51"/>
  <c r="G37" i="51"/>
  <c r="H37" i="51"/>
  <c r="I37" i="51"/>
  <c r="J37" i="51"/>
  <c r="C38" i="51"/>
  <c r="D38" i="51"/>
  <c r="E38" i="51"/>
  <c r="F38" i="51"/>
  <c r="G38" i="51"/>
  <c r="H38" i="51"/>
  <c r="I38" i="51"/>
  <c r="J38" i="51"/>
  <c r="C39" i="51"/>
  <c r="D39" i="51"/>
  <c r="E39" i="51"/>
  <c r="F39" i="51"/>
  <c r="G39" i="51"/>
  <c r="H39" i="51"/>
  <c r="I39" i="51"/>
  <c r="J39" i="51"/>
  <c r="C40" i="51"/>
  <c r="D40" i="51"/>
  <c r="E40" i="51"/>
  <c r="F40" i="51"/>
  <c r="G40" i="51"/>
  <c r="H40" i="51"/>
  <c r="I40" i="51"/>
  <c r="J40" i="51"/>
  <c r="C41" i="51"/>
  <c r="D41" i="51"/>
  <c r="E41" i="51"/>
  <c r="F41" i="51"/>
  <c r="G41" i="51"/>
  <c r="H41" i="51"/>
  <c r="I41" i="51"/>
  <c r="J41" i="51"/>
  <c r="C42" i="51"/>
  <c r="D42" i="51"/>
  <c r="E42" i="51"/>
  <c r="F42" i="51"/>
  <c r="G42" i="51"/>
  <c r="H42" i="51"/>
  <c r="I42" i="51"/>
  <c r="J42" i="51"/>
  <c r="C43" i="51"/>
  <c r="D43" i="51"/>
  <c r="E43" i="51"/>
  <c r="F43" i="51"/>
  <c r="G43" i="51"/>
  <c r="H43" i="51"/>
  <c r="I43" i="51"/>
  <c r="J43" i="51"/>
  <c r="C44" i="51"/>
  <c r="D44" i="51"/>
  <c r="E44" i="51"/>
  <c r="F44" i="51"/>
  <c r="G44" i="51"/>
  <c r="H44" i="51"/>
  <c r="I44" i="51"/>
  <c r="J44" i="51"/>
  <c r="C46" i="51"/>
  <c r="D46" i="51"/>
  <c r="E46" i="51"/>
  <c r="F46" i="51"/>
  <c r="G46" i="51"/>
  <c r="H46" i="51"/>
  <c r="I46" i="51"/>
  <c r="J46" i="51"/>
  <c r="C47" i="51"/>
  <c r="D47" i="51"/>
  <c r="E47" i="51"/>
  <c r="F47" i="51"/>
  <c r="G47" i="51"/>
  <c r="H47" i="51"/>
  <c r="I47" i="51"/>
  <c r="J47" i="51"/>
  <c r="C48" i="51"/>
  <c r="D48" i="51"/>
  <c r="E48" i="51"/>
  <c r="F48" i="51"/>
  <c r="G48" i="51"/>
  <c r="H48" i="51"/>
  <c r="I48" i="51"/>
  <c r="J48" i="51"/>
  <c r="C49" i="51"/>
  <c r="D49" i="51"/>
  <c r="E49" i="51"/>
  <c r="F49" i="51"/>
  <c r="G49" i="51"/>
  <c r="H49" i="51"/>
  <c r="I49" i="51"/>
  <c r="J49" i="51"/>
  <c r="C8" i="51"/>
  <c r="D8" i="51"/>
  <c r="E8" i="51"/>
  <c r="F8" i="51"/>
  <c r="G8" i="51"/>
  <c r="H8" i="51"/>
  <c r="I8" i="51"/>
  <c r="J8" i="51"/>
  <c r="C9" i="51"/>
  <c r="D9" i="51"/>
  <c r="E9" i="51"/>
  <c r="F9" i="51"/>
  <c r="G9" i="51"/>
  <c r="H9" i="51"/>
  <c r="I9" i="51"/>
  <c r="J9" i="51"/>
  <c r="C10" i="51"/>
  <c r="D10" i="51"/>
  <c r="E10" i="51"/>
  <c r="F10" i="51"/>
  <c r="G10" i="51"/>
  <c r="H10" i="51"/>
  <c r="I10" i="51"/>
  <c r="J10" i="51"/>
  <c r="C11" i="51"/>
  <c r="D11" i="51"/>
  <c r="E11" i="51"/>
  <c r="F11" i="51"/>
  <c r="G11" i="51"/>
  <c r="H11" i="51"/>
  <c r="I11" i="51"/>
  <c r="J11" i="51"/>
  <c r="C12" i="51"/>
  <c r="D12" i="51"/>
  <c r="E12" i="51"/>
  <c r="F12" i="51"/>
  <c r="G12" i="51"/>
  <c r="H12" i="51"/>
  <c r="I12" i="51"/>
  <c r="J12" i="51"/>
  <c r="C13" i="51"/>
  <c r="D13" i="51"/>
  <c r="E13" i="51"/>
  <c r="F13" i="51"/>
  <c r="G13" i="51"/>
  <c r="H13" i="51"/>
  <c r="I13" i="51"/>
  <c r="J13" i="51"/>
  <c r="C14" i="51"/>
  <c r="D14" i="51"/>
  <c r="E14" i="51"/>
  <c r="F14" i="51"/>
  <c r="G14" i="51"/>
  <c r="H14" i="51"/>
  <c r="I14" i="51"/>
  <c r="J14" i="51"/>
  <c r="C15" i="51"/>
  <c r="D15" i="51"/>
  <c r="E15" i="51"/>
  <c r="F15" i="51"/>
  <c r="G15" i="51"/>
  <c r="H15" i="51"/>
  <c r="I15" i="51"/>
  <c r="J15" i="51"/>
  <c r="C16" i="51"/>
  <c r="D16" i="51"/>
  <c r="E16" i="51"/>
  <c r="F16" i="51"/>
  <c r="G16" i="51"/>
  <c r="H16" i="51"/>
  <c r="I16" i="51"/>
  <c r="J16" i="51"/>
  <c r="C17" i="51"/>
  <c r="D17" i="51"/>
  <c r="E17" i="51"/>
  <c r="F17" i="51"/>
  <c r="G17" i="51"/>
  <c r="H17" i="51"/>
  <c r="I17" i="51"/>
  <c r="J17" i="51"/>
  <c r="C18" i="51"/>
  <c r="D18" i="51"/>
  <c r="E18" i="51"/>
  <c r="F18" i="51"/>
  <c r="G18" i="51"/>
  <c r="H18" i="51"/>
  <c r="I18" i="51"/>
  <c r="J18" i="51"/>
  <c r="J7" i="51"/>
  <c r="I7" i="51"/>
  <c r="H7" i="51"/>
  <c r="G7" i="51"/>
  <c r="F7" i="51"/>
  <c r="E7" i="51"/>
  <c r="D7" i="51"/>
  <c r="C7" i="51"/>
  <c r="F5" i="50" l="1"/>
  <c r="E44" i="49"/>
  <c r="D6" i="48"/>
  <c r="F44" i="49"/>
  <c r="E5" i="49"/>
  <c r="D44" i="49"/>
  <c r="F5" i="49"/>
  <c r="F4" i="49" s="1"/>
  <c r="C44" i="49"/>
  <c r="C4" i="49" s="1"/>
  <c r="D4" i="49"/>
  <c r="F44" i="50"/>
  <c r="F4" i="50" s="1"/>
  <c r="E6" i="48"/>
  <c r="D5" i="50"/>
  <c r="E44" i="50"/>
  <c r="E4" i="50" s="1"/>
  <c r="D44" i="50"/>
  <c r="C44" i="50"/>
  <c r="C4" i="50" s="1"/>
  <c r="C6" i="48"/>
  <c r="F6" i="48"/>
  <c r="F45" i="51"/>
  <c r="F5" i="51" s="1"/>
  <c r="D6" i="51"/>
  <c r="H6" i="51"/>
  <c r="H5" i="51" s="1"/>
  <c r="D45" i="51"/>
  <c r="J45" i="51"/>
  <c r="H45" i="51"/>
  <c r="F6" i="51"/>
  <c r="J6" i="51"/>
  <c r="C9" i="48"/>
  <c r="E8" i="48"/>
  <c r="C8" i="48"/>
  <c r="E7" i="48"/>
  <c r="C7" i="48"/>
  <c r="E48" i="48"/>
  <c r="C48" i="48"/>
  <c r="E47" i="48"/>
  <c r="C47" i="48"/>
  <c r="E46" i="48"/>
  <c r="C46" i="48"/>
  <c r="E45" i="48"/>
  <c r="C45" i="48"/>
  <c r="E43" i="48"/>
  <c r="C43" i="48"/>
  <c r="E42" i="48"/>
  <c r="C42" i="48"/>
  <c r="E41" i="48"/>
  <c r="C41" i="48"/>
  <c r="E40" i="48"/>
  <c r="C40" i="48"/>
  <c r="E39" i="48"/>
  <c r="C39" i="48"/>
  <c r="E38" i="48"/>
  <c r="C38" i="48"/>
  <c r="E37" i="48"/>
  <c r="C37" i="48"/>
  <c r="E36" i="48"/>
  <c r="C36" i="48"/>
  <c r="E35" i="48"/>
  <c r="C35" i="48"/>
  <c r="E34" i="48"/>
  <c r="C34" i="48"/>
  <c r="E33" i="48"/>
  <c r="C33" i="48"/>
  <c r="E32" i="48"/>
  <c r="C32" i="48"/>
  <c r="E31" i="48"/>
  <c r="C31" i="48"/>
  <c r="E30" i="48"/>
  <c r="C30" i="48"/>
  <c r="E29" i="48"/>
  <c r="C29" i="48"/>
  <c r="E28" i="48"/>
  <c r="C28" i="48"/>
  <c r="E27" i="48"/>
  <c r="C27" i="48"/>
  <c r="E26" i="48"/>
  <c r="C26" i="48"/>
  <c r="E25" i="48"/>
  <c r="C25" i="48"/>
  <c r="E24" i="48"/>
  <c r="C24" i="48"/>
  <c r="E23" i="48"/>
  <c r="C23" i="48"/>
  <c r="E22" i="48"/>
  <c r="C22" i="48"/>
  <c r="E21" i="48"/>
  <c r="C21" i="48"/>
  <c r="E20" i="48"/>
  <c r="C20" i="48"/>
  <c r="E19" i="48"/>
  <c r="C19" i="48"/>
  <c r="E18" i="48"/>
  <c r="C18" i="48"/>
  <c r="E51" i="48"/>
  <c r="C51" i="48"/>
  <c r="E50" i="48"/>
  <c r="C50" i="48"/>
  <c r="E49" i="48"/>
  <c r="C49" i="48"/>
  <c r="C17" i="48"/>
  <c r="C16" i="48"/>
  <c r="C15" i="48"/>
  <c r="C45" i="51"/>
  <c r="G45" i="51"/>
  <c r="E44" i="48" s="1"/>
  <c r="C6" i="51"/>
  <c r="C5" i="51" s="1"/>
  <c r="G6" i="51"/>
  <c r="E5" i="48" s="1"/>
  <c r="F17" i="48"/>
  <c r="D17" i="48"/>
  <c r="F16" i="48"/>
  <c r="D16" i="48"/>
  <c r="F15" i="48"/>
  <c r="D15" i="48"/>
  <c r="F14" i="48"/>
  <c r="D14" i="48"/>
  <c r="F13" i="48"/>
  <c r="D13" i="48"/>
  <c r="F12" i="48"/>
  <c r="D12" i="48"/>
  <c r="F11" i="48"/>
  <c r="D11" i="48"/>
  <c r="F10" i="48"/>
  <c r="D10" i="48"/>
  <c r="F9" i="48"/>
  <c r="D9" i="48"/>
  <c r="F8" i="48"/>
  <c r="D8" i="48"/>
  <c r="F7" i="48"/>
  <c r="D7" i="48"/>
  <c r="F48" i="48"/>
  <c r="D48" i="48"/>
  <c r="F47" i="48"/>
  <c r="D47" i="48"/>
  <c r="F46" i="48"/>
  <c r="D46" i="48"/>
  <c r="F45" i="48"/>
  <c r="D45" i="48"/>
  <c r="F43" i="48"/>
  <c r="D43" i="48"/>
  <c r="F42" i="48"/>
  <c r="D42" i="48"/>
  <c r="F41" i="48"/>
  <c r="D41" i="48"/>
  <c r="F40" i="48"/>
  <c r="D40" i="48"/>
  <c r="F39" i="48"/>
  <c r="D39" i="48"/>
  <c r="F38" i="48"/>
  <c r="D38" i="48"/>
  <c r="F37" i="48"/>
  <c r="D37" i="48"/>
  <c r="F36" i="48"/>
  <c r="D36" i="48"/>
  <c r="F35" i="48"/>
  <c r="D35" i="48"/>
  <c r="F34" i="48"/>
  <c r="D34" i="48"/>
  <c r="F33" i="48"/>
  <c r="D33" i="48"/>
  <c r="F32" i="48"/>
  <c r="D32" i="48"/>
  <c r="F31" i="48"/>
  <c r="D31" i="48"/>
  <c r="F30" i="48"/>
  <c r="D30" i="48"/>
  <c r="F29" i="48"/>
  <c r="D29" i="48"/>
  <c r="F28" i="48"/>
  <c r="D28" i="48"/>
  <c r="F27" i="48"/>
  <c r="D27" i="48"/>
  <c r="F26" i="48"/>
  <c r="D26" i="48"/>
  <c r="F25" i="48"/>
  <c r="D25" i="48"/>
  <c r="F24" i="48"/>
  <c r="D24" i="48"/>
  <c r="F23" i="48"/>
  <c r="D23" i="48"/>
  <c r="F22" i="48"/>
  <c r="D22" i="48"/>
  <c r="F21" i="48"/>
  <c r="D21" i="48"/>
  <c r="F20" i="48"/>
  <c r="D20" i="48"/>
  <c r="F19" i="48"/>
  <c r="D19" i="48"/>
  <c r="F18" i="48"/>
  <c r="D18" i="48"/>
  <c r="F51" i="48"/>
  <c r="D51" i="48"/>
  <c r="F50" i="48"/>
  <c r="D50" i="48"/>
  <c r="F49" i="48"/>
  <c r="D49" i="48"/>
  <c r="I45" i="51"/>
  <c r="E45" i="51"/>
  <c r="D44" i="48" s="1"/>
  <c r="I6" i="51"/>
  <c r="E6" i="51"/>
  <c r="E17" i="48"/>
  <c r="E16" i="48"/>
  <c r="E15" i="48"/>
  <c r="E14" i="48"/>
  <c r="C14" i="48"/>
  <c r="E13" i="48"/>
  <c r="C13" i="48"/>
  <c r="E12" i="48"/>
  <c r="C12" i="48"/>
  <c r="E11" i="48"/>
  <c r="C11" i="48"/>
  <c r="E10" i="48"/>
  <c r="C10" i="48"/>
  <c r="E9" i="48"/>
  <c r="I5" i="51"/>
  <c r="F44" i="48" l="1"/>
  <c r="J5" i="51"/>
  <c r="G5" i="51"/>
  <c r="E4" i="48" s="1"/>
  <c r="E5" i="51"/>
  <c r="D4" i="50"/>
  <c r="F5" i="48"/>
  <c r="E4" i="49"/>
  <c r="D5" i="48"/>
  <c r="F4" i="48"/>
  <c r="C4" i="48"/>
  <c r="D5" i="51"/>
  <c r="C44" i="48"/>
  <c r="C5" i="48"/>
  <c r="H6" i="46"/>
  <c r="D4" i="48" l="1"/>
  <c r="P91" i="46"/>
  <c r="Q91" i="46" s="1"/>
  <c r="R91" i="46" s="1"/>
  <c r="S91" i="46" s="1"/>
  <c r="O90" i="46"/>
  <c r="P84" i="46"/>
  <c r="Q84" i="46" s="1"/>
  <c r="R84" i="46" s="1"/>
  <c r="S84" i="46" s="1"/>
  <c r="O83" i="46"/>
  <c r="P77" i="46"/>
  <c r="Q77" i="46" s="1"/>
  <c r="R77" i="46" s="1"/>
  <c r="S77" i="46" s="1"/>
  <c r="O76" i="46"/>
  <c r="P70" i="46"/>
  <c r="Q70" i="46" s="1"/>
  <c r="R70" i="46" s="1"/>
  <c r="S70" i="46" s="1"/>
  <c r="O69" i="46"/>
  <c r="P63" i="46"/>
  <c r="Q63" i="46" s="1"/>
  <c r="R63" i="46" s="1"/>
  <c r="S63" i="46" s="1"/>
  <c r="O62" i="46"/>
  <c r="P56" i="46"/>
  <c r="Q56" i="46" s="1"/>
  <c r="R56" i="46" s="1"/>
  <c r="S56" i="46" s="1"/>
  <c r="O55" i="46"/>
  <c r="P35" i="46"/>
  <c r="Q35" i="46" s="1"/>
  <c r="R35" i="46" s="1"/>
  <c r="S35" i="46" s="1"/>
  <c r="P42" i="46"/>
  <c r="Q42" i="46" s="1"/>
  <c r="R42" i="46" s="1"/>
  <c r="S42" i="46" s="1"/>
  <c r="P49" i="46"/>
  <c r="Q49" i="46" s="1"/>
  <c r="R49" i="46" s="1"/>
  <c r="S49" i="46" s="1"/>
  <c r="O48" i="46"/>
  <c r="O41" i="46"/>
  <c r="O34" i="46"/>
  <c r="P28" i="46"/>
  <c r="Q28" i="46" s="1"/>
  <c r="R28" i="46" s="1"/>
  <c r="S28" i="46" s="1"/>
  <c r="O27" i="46"/>
  <c r="P21" i="46"/>
  <c r="Q21" i="46" s="1"/>
  <c r="R21" i="46" s="1"/>
  <c r="S21" i="46" s="1"/>
  <c r="O20" i="46"/>
  <c r="P14" i="46"/>
  <c r="Q14" i="46" s="1"/>
  <c r="R14" i="46" s="1"/>
  <c r="S14" i="46" s="1"/>
  <c r="O13" i="46"/>
  <c r="B28" i="55" l="1"/>
  <c r="C5" i="53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41" i="53"/>
  <c r="C42" i="53"/>
  <c r="C43" i="53"/>
  <c r="C44" i="53"/>
  <c r="C45" i="53"/>
  <c r="C46" i="53"/>
  <c r="C47" i="53"/>
  <c r="C48" i="53"/>
  <c r="C4" i="53"/>
  <c r="B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37" i="53"/>
  <c r="B38" i="53"/>
  <c r="B39" i="53"/>
  <c r="B40" i="53"/>
  <c r="B41" i="53"/>
  <c r="B42" i="53"/>
  <c r="B43" i="53"/>
  <c r="B44" i="53"/>
  <c r="B45" i="53"/>
  <c r="B46" i="53"/>
  <c r="B47" i="53"/>
  <c r="B48" i="53"/>
  <c r="B4" i="53"/>
  <c r="A12" i="56"/>
  <c r="C3" i="53" l="1"/>
  <c r="B3" i="53"/>
  <c r="S48" i="53" l="1"/>
  <c r="S47" i="53"/>
  <c r="S46" i="53"/>
  <c r="S45" i="53"/>
  <c r="S44" i="53"/>
  <c r="S43" i="53"/>
  <c r="S42" i="53"/>
  <c r="S41" i="53"/>
  <c r="S40" i="53"/>
  <c r="S39" i="53"/>
  <c r="S38" i="53"/>
  <c r="S37" i="53"/>
  <c r="S36" i="53"/>
  <c r="S35" i="53"/>
  <c r="S34" i="53"/>
  <c r="S33" i="53"/>
  <c r="S32" i="53"/>
  <c r="S31" i="53"/>
  <c r="S30" i="53"/>
  <c r="S29" i="53"/>
  <c r="S28" i="53"/>
  <c r="S27" i="53"/>
  <c r="S26" i="53"/>
  <c r="S25" i="53"/>
  <c r="S24" i="53"/>
  <c r="S23" i="53"/>
  <c r="S22" i="53"/>
  <c r="S21" i="53"/>
  <c r="S20" i="53"/>
  <c r="S19" i="53"/>
  <c r="S18" i="53"/>
  <c r="S17" i="53"/>
  <c r="S16" i="53"/>
  <c r="S15" i="53"/>
  <c r="S14" i="53"/>
  <c r="S13" i="53"/>
  <c r="S12" i="53"/>
  <c r="S11" i="53"/>
  <c r="S10" i="53"/>
  <c r="S9" i="53"/>
  <c r="S8" i="53"/>
  <c r="S7" i="53"/>
  <c r="S6" i="53"/>
  <c r="S5" i="53"/>
  <c r="O48" i="53"/>
  <c r="O47" i="53"/>
  <c r="O46" i="53"/>
  <c r="O45" i="53"/>
  <c r="O44" i="53"/>
  <c r="O43" i="53"/>
  <c r="O42" i="53"/>
  <c r="O41" i="53"/>
  <c r="O40" i="53"/>
  <c r="O39" i="53"/>
  <c r="O38" i="53"/>
  <c r="O37" i="53"/>
  <c r="O36" i="53"/>
  <c r="O35" i="53"/>
  <c r="O34" i="53"/>
  <c r="O33" i="53"/>
  <c r="O32" i="53"/>
  <c r="O31" i="53"/>
  <c r="O30" i="53"/>
  <c r="O29" i="53"/>
  <c r="O28" i="53"/>
  <c r="O27" i="53"/>
  <c r="O26" i="53"/>
  <c r="O25" i="53"/>
  <c r="O24" i="53"/>
  <c r="O23" i="53"/>
  <c r="O22" i="53"/>
  <c r="O21" i="53"/>
  <c r="O20" i="53"/>
  <c r="O19" i="53"/>
  <c r="O18" i="53"/>
  <c r="O17" i="53"/>
  <c r="O16" i="53"/>
  <c r="O15" i="53"/>
  <c r="O14" i="53"/>
  <c r="O13" i="53"/>
  <c r="O12" i="53"/>
  <c r="O11" i="53"/>
  <c r="O10" i="53"/>
  <c r="O9" i="53"/>
  <c r="O8" i="53"/>
  <c r="O7" i="53"/>
  <c r="O6" i="53"/>
  <c r="O5" i="53"/>
  <c r="O4" i="53"/>
  <c r="S4" i="53"/>
  <c r="O3" i="53"/>
  <c r="S3" i="53" l="1"/>
  <c r="K6" i="53" l="1"/>
  <c r="K7" i="53"/>
  <c r="K8" i="53"/>
  <c r="K9" i="53"/>
  <c r="K10" i="53"/>
  <c r="K11" i="53"/>
  <c r="K12" i="53"/>
  <c r="K13" i="53"/>
  <c r="K14" i="53"/>
  <c r="K15" i="53"/>
  <c r="K16" i="53"/>
  <c r="K17" i="53"/>
  <c r="K18" i="53"/>
  <c r="K19" i="53"/>
  <c r="K20" i="53"/>
  <c r="K21" i="53"/>
  <c r="K22" i="53"/>
  <c r="K23" i="53"/>
  <c r="K24" i="53"/>
  <c r="K25" i="53"/>
  <c r="K26" i="53"/>
  <c r="K27" i="53"/>
  <c r="K28" i="53"/>
  <c r="K29" i="53"/>
  <c r="K30" i="53"/>
  <c r="K31" i="53"/>
  <c r="K32" i="53"/>
  <c r="K33" i="53"/>
  <c r="K34" i="53"/>
  <c r="K35" i="53"/>
  <c r="K36" i="53"/>
  <c r="K37" i="53"/>
  <c r="K38" i="53"/>
  <c r="K39" i="53"/>
  <c r="K40" i="53"/>
  <c r="K41" i="53"/>
  <c r="K42" i="53"/>
  <c r="K43" i="53"/>
  <c r="K44" i="53"/>
  <c r="K45" i="53"/>
  <c r="K46" i="53"/>
  <c r="K47" i="53"/>
  <c r="K48" i="53"/>
  <c r="K4" i="53"/>
  <c r="J4" i="53"/>
  <c r="G6" i="53"/>
  <c r="G9" i="53"/>
  <c r="G10" i="53"/>
  <c r="G11" i="53"/>
  <c r="G12" i="53"/>
  <c r="G13" i="53"/>
  <c r="G14" i="53"/>
  <c r="G15" i="53"/>
  <c r="G16" i="53"/>
  <c r="G17" i="53"/>
  <c r="G18" i="53"/>
  <c r="G19" i="53"/>
  <c r="G21" i="53"/>
  <c r="G22" i="53"/>
  <c r="G23" i="53"/>
  <c r="G24" i="53"/>
  <c r="G25" i="53"/>
  <c r="G26" i="53"/>
  <c r="G27" i="53"/>
  <c r="G28" i="53"/>
  <c r="G29" i="53"/>
  <c r="G30" i="53"/>
  <c r="G31" i="53"/>
  <c r="G32" i="53"/>
  <c r="G33" i="53"/>
  <c r="G34" i="53"/>
  <c r="G35" i="53"/>
  <c r="G36" i="53"/>
  <c r="G37" i="53"/>
  <c r="G38" i="53"/>
  <c r="G39" i="53"/>
  <c r="G40" i="53"/>
  <c r="G41" i="53"/>
  <c r="G42" i="53"/>
  <c r="G43" i="53"/>
  <c r="G44" i="53"/>
  <c r="G45" i="53"/>
  <c r="G46" i="53"/>
  <c r="G47" i="53"/>
  <c r="G48" i="53"/>
  <c r="L4" i="53" l="1"/>
  <c r="G7" i="53"/>
  <c r="K5" i="53"/>
  <c r="G4" i="53"/>
  <c r="G5" i="53"/>
  <c r="G20" i="53"/>
  <c r="G8" i="53"/>
  <c r="K3" i="53"/>
  <c r="G3" i="53" l="1"/>
  <c r="D8" i="46" l="1"/>
  <c r="K7" i="46"/>
  <c r="I7" i="46"/>
  <c r="U12" i="41" l="1"/>
  <c r="U11" i="41"/>
  <c r="T12" i="41"/>
  <c r="T11" i="41"/>
  <c r="S12" i="41"/>
  <c r="S11" i="41"/>
  <c r="S13" i="41" s="1"/>
  <c r="R12" i="41"/>
  <c r="R11" i="41"/>
  <c r="Q12" i="41"/>
  <c r="Q11" i="41"/>
  <c r="Q13" i="41" s="1"/>
  <c r="P12" i="41"/>
  <c r="P11" i="41"/>
  <c r="O13" i="41"/>
  <c r="N13" i="41"/>
  <c r="M13" i="41"/>
  <c r="L13" i="41"/>
  <c r="K13" i="41"/>
  <c r="J13" i="41"/>
  <c r="I13" i="41"/>
  <c r="E7" i="41"/>
  <c r="J6" i="41"/>
  <c r="K6" i="41"/>
  <c r="L6" i="41"/>
  <c r="M6" i="41"/>
  <c r="N6" i="41"/>
  <c r="O6" i="41"/>
  <c r="P6" i="41"/>
  <c r="Q6" i="41"/>
  <c r="R6" i="41"/>
  <c r="S6" i="41"/>
  <c r="E3" i="41" s="1"/>
  <c r="T6" i="41"/>
  <c r="U6" i="41"/>
  <c r="Y6" i="41" s="1"/>
  <c r="V6" i="41"/>
  <c r="I6" i="41"/>
  <c r="Y5" i="41"/>
  <c r="Y4" i="41"/>
  <c r="F20" i="53"/>
  <c r="H20" i="53" s="1"/>
  <c r="F48" i="53"/>
  <c r="H48" i="53" s="1"/>
  <c r="F46" i="53"/>
  <c r="H46" i="53" s="1"/>
  <c r="F44" i="53"/>
  <c r="H44" i="53" s="1"/>
  <c r="F40" i="53"/>
  <c r="H40" i="53" s="1"/>
  <c r="F32" i="53"/>
  <c r="H32" i="53" s="1"/>
  <c r="F21" i="53"/>
  <c r="H21" i="53" s="1"/>
  <c r="F27" i="53"/>
  <c r="H27" i="53" s="1"/>
  <c r="F47" i="53"/>
  <c r="H47" i="53" s="1"/>
  <c r="F45" i="53"/>
  <c r="H45" i="53" s="1"/>
  <c r="F43" i="53"/>
  <c r="H43" i="53" s="1"/>
  <c r="F42" i="53"/>
  <c r="H42" i="53" s="1"/>
  <c r="F41" i="53"/>
  <c r="H41" i="53" s="1"/>
  <c r="F39" i="53"/>
  <c r="H39" i="53" s="1"/>
  <c r="F38" i="53"/>
  <c r="H38" i="53" s="1"/>
  <c r="F37" i="53"/>
  <c r="H37" i="53" s="1"/>
  <c r="F36" i="53"/>
  <c r="H36" i="53" s="1"/>
  <c r="F35" i="53"/>
  <c r="H35" i="53" s="1"/>
  <c r="F34" i="53"/>
  <c r="H34" i="53" s="1"/>
  <c r="F33" i="53"/>
  <c r="H33" i="53" s="1"/>
  <c r="F31" i="53"/>
  <c r="H31" i="53" s="1"/>
  <c r="F30" i="53"/>
  <c r="H30" i="53" s="1"/>
  <c r="F29" i="53"/>
  <c r="H29" i="53" s="1"/>
  <c r="F28" i="53"/>
  <c r="H28" i="53" s="1"/>
  <c r="F26" i="53"/>
  <c r="H26" i="53" s="1"/>
  <c r="F25" i="53"/>
  <c r="H25" i="53" s="1"/>
  <c r="F24" i="53"/>
  <c r="H24" i="53" s="1"/>
  <c r="F23" i="53"/>
  <c r="H23" i="53" s="1"/>
  <c r="F22" i="53"/>
  <c r="H22" i="53" s="1"/>
  <c r="F19" i="53"/>
  <c r="H19" i="53" s="1"/>
  <c r="F18" i="53"/>
  <c r="H18" i="53" s="1"/>
  <c r="F17" i="53"/>
  <c r="H17" i="53" s="1"/>
  <c r="F16" i="53"/>
  <c r="H16" i="53" s="1"/>
  <c r="F15" i="53"/>
  <c r="H15" i="53" s="1"/>
  <c r="F14" i="53"/>
  <c r="H14" i="53" s="1"/>
  <c r="F13" i="53"/>
  <c r="H13" i="53" s="1"/>
  <c r="F12" i="53"/>
  <c r="H12" i="53" s="1"/>
  <c r="F11" i="53"/>
  <c r="H11" i="53" s="1"/>
  <c r="F10" i="53"/>
  <c r="H10" i="53" s="1"/>
  <c r="F9" i="53"/>
  <c r="H9" i="53" s="1"/>
  <c r="F8" i="53"/>
  <c r="H8" i="53" s="1"/>
  <c r="F7" i="53"/>
  <c r="H7" i="53" s="1"/>
  <c r="F6" i="53"/>
  <c r="H6" i="53" s="1"/>
  <c r="F5" i="53"/>
  <c r="H5" i="53" s="1"/>
  <c r="F4" i="53"/>
  <c r="H4" i="53" s="1"/>
  <c r="J20" i="53"/>
  <c r="L20" i="53" s="1"/>
  <c r="J48" i="53"/>
  <c r="L48" i="53" s="1"/>
  <c r="J46" i="53"/>
  <c r="L46" i="53" s="1"/>
  <c r="J44" i="53"/>
  <c r="L44" i="53" s="1"/>
  <c r="J40" i="53"/>
  <c r="L40" i="53" s="1"/>
  <c r="J32" i="53"/>
  <c r="L32" i="53" s="1"/>
  <c r="J21" i="53"/>
  <c r="L21" i="53" s="1"/>
  <c r="J27" i="53"/>
  <c r="L27" i="53" s="1"/>
  <c r="J47" i="53"/>
  <c r="L47" i="53" s="1"/>
  <c r="J45" i="53"/>
  <c r="L45" i="53" s="1"/>
  <c r="J43" i="53"/>
  <c r="L43" i="53" s="1"/>
  <c r="J42" i="53"/>
  <c r="L42" i="53" s="1"/>
  <c r="J41" i="53"/>
  <c r="L41" i="53" s="1"/>
  <c r="J39" i="53"/>
  <c r="L39" i="53" s="1"/>
  <c r="J38" i="53"/>
  <c r="L38" i="53" s="1"/>
  <c r="J37" i="53"/>
  <c r="L37" i="53" s="1"/>
  <c r="J36" i="53"/>
  <c r="L36" i="53" s="1"/>
  <c r="J35" i="53"/>
  <c r="L35" i="53" s="1"/>
  <c r="J34" i="53"/>
  <c r="L34" i="53" s="1"/>
  <c r="J33" i="53"/>
  <c r="L33" i="53" s="1"/>
  <c r="J31" i="53"/>
  <c r="L31" i="53" s="1"/>
  <c r="J30" i="53"/>
  <c r="L30" i="53" s="1"/>
  <c r="J29" i="53"/>
  <c r="L29" i="53" s="1"/>
  <c r="J28" i="53"/>
  <c r="L28" i="53" s="1"/>
  <c r="J26" i="53"/>
  <c r="L26" i="53" s="1"/>
  <c r="J25" i="53"/>
  <c r="L25" i="53" s="1"/>
  <c r="J24" i="53"/>
  <c r="L24" i="53" s="1"/>
  <c r="J23" i="53"/>
  <c r="L23" i="53" s="1"/>
  <c r="J22" i="53"/>
  <c r="L22" i="53" s="1"/>
  <c r="J19" i="53"/>
  <c r="L19" i="53" s="1"/>
  <c r="J18" i="53"/>
  <c r="L18" i="53" s="1"/>
  <c r="J17" i="53"/>
  <c r="L17" i="53" s="1"/>
  <c r="J16" i="53"/>
  <c r="L16" i="53" s="1"/>
  <c r="J15" i="53"/>
  <c r="L15" i="53" s="1"/>
  <c r="J14" i="53"/>
  <c r="L14" i="53" s="1"/>
  <c r="J13" i="53"/>
  <c r="L13" i="53" s="1"/>
  <c r="J12" i="53"/>
  <c r="L12" i="53" s="1"/>
  <c r="J11" i="53"/>
  <c r="L11" i="53" s="1"/>
  <c r="J10" i="53"/>
  <c r="L10" i="53" s="1"/>
  <c r="J9" i="53"/>
  <c r="L9" i="53" s="1"/>
  <c r="J8" i="53"/>
  <c r="L8" i="53" s="1"/>
  <c r="J7" i="53"/>
  <c r="L7" i="53" s="1"/>
  <c r="J6" i="53"/>
  <c r="L6" i="53" s="1"/>
  <c r="J5" i="53"/>
  <c r="L5" i="53" s="1"/>
  <c r="P13" i="41" l="1"/>
  <c r="R13" i="41"/>
  <c r="T13" i="41"/>
  <c r="E44" i="45"/>
  <c r="D44" i="45"/>
  <c r="D44" i="44"/>
  <c r="G45" i="43"/>
  <c r="D5" i="44"/>
  <c r="F44" i="45"/>
  <c r="F44" i="44"/>
  <c r="E44" i="44"/>
  <c r="F5" i="44"/>
  <c r="I45" i="43"/>
  <c r="U13" i="41"/>
  <c r="E5" i="44"/>
  <c r="E4" i="44" s="1"/>
  <c r="D4" i="44" l="1"/>
  <c r="F4" i="44"/>
  <c r="F45" i="43" l="1"/>
  <c r="R20" i="53"/>
  <c r="T20" i="53" s="1"/>
  <c r="R48" i="53"/>
  <c r="T48" i="53" s="1"/>
  <c r="R46" i="53"/>
  <c r="T46" i="53" s="1"/>
  <c r="R44" i="53"/>
  <c r="T44" i="53" s="1"/>
  <c r="R40" i="53"/>
  <c r="T40" i="53" s="1"/>
  <c r="R32" i="53"/>
  <c r="T32" i="53" s="1"/>
  <c r="R21" i="53"/>
  <c r="T21" i="53" s="1"/>
  <c r="R27" i="53"/>
  <c r="T27" i="53" s="1"/>
  <c r="R47" i="53"/>
  <c r="T47" i="53" s="1"/>
  <c r="R45" i="53"/>
  <c r="T45" i="53" s="1"/>
  <c r="R43" i="53"/>
  <c r="T43" i="53" s="1"/>
  <c r="R42" i="53"/>
  <c r="T42" i="53" s="1"/>
  <c r="R41" i="53"/>
  <c r="T41" i="53" s="1"/>
  <c r="R39" i="53"/>
  <c r="T39" i="53" s="1"/>
  <c r="R38" i="53"/>
  <c r="T38" i="53" s="1"/>
  <c r="R37" i="53"/>
  <c r="T37" i="53" s="1"/>
  <c r="R36" i="53"/>
  <c r="T36" i="53" s="1"/>
  <c r="R35" i="53"/>
  <c r="T35" i="53" s="1"/>
  <c r="R34" i="53"/>
  <c r="T34" i="53" s="1"/>
  <c r="R33" i="53"/>
  <c r="T33" i="53" s="1"/>
  <c r="R31" i="53"/>
  <c r="T31" i="53" s="1"/>
  <c r="R30" i="53"/>
  <c r="T30" i="53" s="1"/>
  <c r="R29" i="53"/>
  <c r="T29" i="53" s="1"/>
  <c r="R28" i="53"/>
  <c r="T28" i="53" s="1"/>
  <c r="R26" i="53"/>
  <c r="T26" i="53" s="1"/>
  <c r="R25" i="53"/>
  <c r="T25" i="53" s="1"/>
  <c r="R24" i="53"/>
  <c r="T24" i="53" s="1"/>
  <c r="R23" i="53"/>
  <c r="T23" i="53" s="1"/>
  <c r="R22" i="53"/>
  <c r="T22" i="53" s="1"/>
  <c r="R19" i="53"/>
  <c r="T19" i="53" s="1"/>
  <c r="R18" i="53"/>
  <c r="T18" i="53" s="1"/>
  <c r="R17" i="53"/>
  <c r="T17" i="53" s="1"/>
  <c r="R16" i="53"/>
  <c r="T16" i="53" s="1"/>
  <c r="R15" i="53"/>
  <c r="T15" i="53" s="1"/>
  <c r="R14" i="53"/>
  <c r="T14" i="53" s="1"/>
  <c r="R13" i="53"/>
  <c r="T13" i="53" s="1"/>
  <c r="R12" i="53"/>
  <c r="T12" i="53" s="1"/>
  <c r="R11" i="53"/>
  <c r="T11" i="53" s="1"/>
  <c r="R10" i="53"/>
  <c r="T10" i="53" s="1"/>
  <c r="R9" i="53"/>
  <c r="T9" i="53" s="1"/>
  <c r="R8" i="53"/>
  <c r="T8" i="53" s="1"/>
  <c r="R7" i="53"/>
  <c r="T7" i="53" s="1"/>
  <c r="R6" i="53"/>
  <c r="T6" i="53" s="1"/>
  <c r="R5" i="53"/>
  <c r="T5" i="53" s="1"/>
  <c r="R4" i="53"/>
  <c r="T4" i="53" s="1"/>
  <c r="N20" i="53"/>
  <c r="P20" i="53" s="1"/>
  <c r="N48" i="53"/>
  <c r="P48" i="53" s="1"/>
  <c r="N46" i="53"/>
  <c r="P46" i="53" s="1"/>
  <c r="N44" i="53"/>
  <c r="P44" i="53" s="1"/>
  <c r="N40" i="53"/>
  <c r="P40" i="53" s="1"/>
  <c r="N32" i="53"/>
  <c r="P32" i="53" s="1"/>
  <c r="N21" i="53"/>
  <c r="P21" i="53" s="1"/>
  <c r="N27" i="53"/>
  <c r="P27" i="53" s="1"/>
  <c r="N47" i="53"/>
  <c r="P47" i="53" s="1"/>
  <c r="N45" i="53"/>
  <c r="P45" i="53" s="1"/>
  <c r="N43" i="53"/>
  <c r="P43" i="53" s="1"/>
  <c r="N42" i="53"/>
  <c r="P42" i="53" s="1"/>
  <c r="N41" i="53"/>
  <c r="P41" i="53" s="1"/>
  <c r="N39" i="53"/>
  <c r="P39" i="53" s="1"/>
  <c r="N38" i="53"/>
  <c r="P38" i="53" s="1"/>
  <c r="N37" i="53"/>
  <c r="P37" i="53" s="1"/>
  <c r="N36" i="53"/>
  <c r="P36" i="53" s="1"/>
  <c r="N35" i="53"/>
  <c r="P35" i="53" s="1"/>
  <c r="N34" i="53"/>
  <c r="P34" i="53" s="1"/>
  <c r="N33" i="53"/>
  <c r="P33" i="53" s="1"/>
  <c r="N31" i="53"/>
  <c r="P31" i="53" s="1"/>
  <c r="N30" i="53"/>
  <c r="P30" i="53" s="1"/>
  <c r="N29" i="53"/>
  <c r="P29" i="53" s="1"/>
  <c r="N28" i="53"/>
  <c r="P28" i="53" s="1"/>
  <c r="N26" i="53"/>
  <c r="P26" i="53" s="1"/>
  <c r="N25" i="53"/>
  <c r="P25" i="53" s="1"/>
  <c r="N24" i="53"/>
  <c r="P24" i="53" s="1"/>
  <c r="N23" i="53"/>
  <c r="P23" i="53" s="1"/>
  <c r="N22" i="53"/>
  <c r="P22" i="53" s="1"/>
  <c r="N19" i="53"/>
  <c r="P19" i="53" s="1"/>
  <c r="N18" i="53"/>
  <c r="P18" i="53" s="1"/>
  <c r="N17" i="53"/>
  <c r="P17" i="53" s="1"/>
  <c r="N16" i="53"/>
  <c r="P16" i="53" s="1"/>
  <c r="N15" i="53"/>
  <c r="P15" i="53" s="1"/>
  <c r="N14" i="53"/>
  <c r="P14" i="53" s="1"/>
  <c r="N13" i="53"/>
  <c r="P13" i="53" s="1"/>
  <c r="N12" i="53"/>
  <c r="P12" i="53" s="1"/>
  <c r="N11" i="53"/>
  <c r="P11" i="53" s="1"/>
  <c r="N10" i="53"/>
  <c r="P10" i="53" s="1"/>
  <c r="N9" i="53"/>
  <c r="P9" i="53" s="1"/>
  <c r="N8" i="53"/>
  <c r="P8" i="53" s="1"/>
  <c r="N7" i="53"/>
  <c r="P7" i="53" s="1"/>
  <c r="N6" i="53"/>
  <c r="P6" i="53" s="1"/>
  <c r="N5" i="53"/>
  <c r="P5" i="53" s="1"/>
  <c r="N4" i="53"/>
  <c r="P4" i="53" s="1"/>
  <c r="D50" i="42" l="1"/>
  <c r="D49" i="42"/>
  <c r="D48" i="42"/>
  <c r="D47" i="42"/>
  <c r="D46" i="42"/>
  <c r="F45" i="42"/>
  <c r="E45" i="43"/>
  <c r="F43" i="42"/>
  <c r="D43" i="42"/>
  <c r="F42" i="42"/>
  <c r="D42" i="42"/>
  <c r="F41" i="42"/>
  <c r="D41" i="42"/>
  <c r="F40" i="42"/>
  <c r="D40" i="42"/>
  <c r="F39" i="42"/>
  <c r="D39" i="42"/>
  <c r="F38" i="42"/>
  <c r="D38" i="42"/>
  <c r="F37" i="42"/>
  <c r="D37" i="42"/>
  <c r="F36" i="42"/>
  <c r="D36" i="42"/>
  <c r="F35" i="42"/>
  <c r="D35" i="42"/>
  <c r="F34" i="42"/>
  <c r="D34" i="42"/>
  <c r="F33" i="42"/>
  <c r="D33" i="42"/>
  <c r="F32" i="42"/>
  <c r="D32" i="42"/>
  <c r="F31" i="42"/>
  <c r="D31" i="42"/>
  <c r="F30" i="42"/>
  <c r="D30" i="42"/>
  <c r="F29" i="42"/>
  <c r="D29" i="42"/>
  <c r="F28" i="42"/>
  <c r="D28" i="42"/>
  <c r="F27" i="42"/>
  <c r="D27" i="42"/>
  <c r="F26" i="42"/>
  <c r="D26" i="42"/>
  <c r="F25" i="42"/>
  <c r="D25" i="42"/>
  <c r="F24" i="42"/>
  <c r="D24" i="42"/>
  <c r="F23" i="42"/>
  <c r="D23" i="42"/>
  <c r="F22" i="42"/>
  <c r="D22" i="42"/>
  <c r="F21" i="42"/>
  <c r="D21" i="42"/>
  <c r="F20" i="42"/>
  <c r="D20" i="42"/>
  <c r="F19" i="42"/>
  <c r="D19" i="42"/>
  <c r="F18" i="42"/>
  <c r="D18" i="42"/>
  <c r="F17" i="42"/>
  <c r="D17" i="42"/>
  <c r="F16" i="42"/>
  <c r="D16" i="42"/>
  <c r="F15" i="42"/>
  <c r="D15" i="42"/>
  <c r="F14" i="42"/>
  <c r="D14" i="42"/>
  <c r="F13" i="42"/>
  <c r="D13" i="42"/>
  <c r="F12" i="42"/>
  <c r="D12" i="42"/>
  <c r="F11" i="42"/>
  <c r="D11" i="42"/>
  <c r="F10" i="42"/>
  <c r="D10" i="42"/>
  <c r="F9" i="42"/>
  <c r="D9" i="42"/>
  <c r="F8" i="42"/>
  <c r="D8" i="42"/>
  <c r="F7" i="42"/>
  <c r="D7" i="42"/>
  <c r="C7" i="42"/>
  <c r="J6" i="43"/>
  <c r="F6" i="42"/>
  <c r="F6" i="43"/>
  <c r="D6" i="42"/>
  <c r="E9" i="42"/>
  <c r="E8" i="42"/>
  <c r="C8" i="42"/>
  <c r="E7" i="42"/>
  <c r="C6" i="42"/>
  <c r="C9" i="42"/>
  <c r="E6" i="42"/>
  <c r="C44" i="45"/>
  <c r="F5" i="45"/>
  <c r="E5" i="45"/>
  <c r="E4" i="45" s="1"/>
  <c r="X12" i="41" s="1"/>
  <c r="D5" i="45"/>
  <c r="D4" i="45" s="1"/>
  <c r="C5" i="45"/>
  <c r="F4" i="45"/>
  <c r="C44" i="44"/>
  <c r="C5" i="44"/>
  <c r="C4" i="44" s="1"/>
  <c r="J3" i="53" s="1"/>
  <c r="L3" i="53" s="1"/>
  <c r="D45" i="43"/>
  <c r="C45" i="43"/>
  <c r="H6" i="43"/>
  <c r="G6" i="43"/>
  <c r="G5" i="43" s="1"/>
  <c r="D6" i="43"/>
  <c r="C6" i="43"/>
  <c r="D51" i="42"/>
  <c r="C51" i="42"/>
  <c r="F50" i="42"/>
  <c r="E50" i="42"/>
  <c r="C50" i="42"/>
  <c r="F49" i="42"/>
  <c r="E49" i="42"/>
  <c r="C49" i="42"/>
  <c r="F48" i="42"/>
  <c r="E48" i="42"/>
  <c r="C48" i="42"/>
  <c r="F47" i="42"/>
  <c r="E47" i="42"/>
  <c r="C47" i="42"/>
  <c r="F46" i="42"/>
  <c r="E46" i="42"/>
  <c r="C46" i="42"/>
  <c r="E45" i="42"/>
  <c r="C45" i="42"/>
  <c r="E43" i="42"/>
  <c r="C43" i="42"/>
  <c r="E42" i="42"/>
  <c r="C42" i="42"/>
  <c r="E41" i="42"/>
  <c r="C41" i="42"/>
  <c r="E40" i="42"/>
  <c r="C40" i="42"/>
  <c r="E39" i="42"/>
  <c r="C39" i="42"/>
  <c r="E38" i="42"/>
  <c r="C38" i="42"/>
  <c r="E37" i="42"/>
  <c r="C37" i="42"/>
  <c r="E36" i="42"/>
  <c r="C36" i="42"/>
  <c r="E35" i="42"/>
  <c r="C35" i="42"/>
  <c r="E34" i="42"/>
  <c r="C34" i="42"/>
  <c r="E33" i="42"/>
  <c r="C33" i="42"/>
  <c r="E32" i="42"/>
  <c r="C32" i="42"/>
  <c r="E31" i="42"/>
  <c r="C31" i="42"/>
  <c r="E30" i="42"/>
  <c r="C30" i="42"/>
  <c r="E29" i="42"/>
  <c r="C29" i="42"/>
  <c r="E28" i="42"/>
  <c r="C28" i="42"/>
  <c r="E27" i="42"/>
  <c r="C27" i="42"/>
  <c r="E26" i="42"/>
  <c r="C26" i="42"/>
  <c r="E25" i="42"/>
  <c r="C25" i="42"/>
  <c r="E24" i="42"/>
  <c r="C24" i="42"/>
  <c r="E23" i="42"/>
  <c r="C23" i="42"/>
  <c r="E22" i="42"/>
  <c r="C22" i="42"/>
  <c r="E21" i="42"/>
  <c r="C21" i="42"/>
  <c r="E20" i="42"/>
  <c r="C20" i="42"/>
  <c r="E19" i="42"/>
  <c r="C19" i="42"/>
  <c r="E18" i="42"/>
  <c r="C18" i="42"/>
  <c r="E17" i="42"/>
  <c r="C17" i="42"/>
  <c r="E16" i="42"/>
  <c r="C16" i="42"/>
  <c r="E15" i="42"/>
  <c r="C15" i="42"/>
  <c r="E14" i="42"/>
  <c r="C14" i="42"/>
  <c r="E13" i="42"/>
  <c r="C13" i="42"/>
  <c r="E12" i="42"/>
  <c r="C12" i="42"/>
  <c r="E11" i="42"/>
  <c r="C11" i="42"/>
  <c r="E10" i="42"/>
  <c r="C10" i="42"/>
  <c r="C4" i="45" l="1"/>
  <c r="D5" i="43"/>
  <c r="R3" i="53" s="1"/>
  <c r="T3" i="53" s="1"/>
  <c r="F5" i="43"/>
  <c r="C5" i="43"/>
  <c r="N3" i="53" s="1"/>
  <c r="P3" i="53" s="1"/>
  <c r="D5" i="42"/>
  <c r="C44" i="42"/>
  <c r="C5" i="42"/>
  <c r="D45" i="42"/>
  <c r="D44" i="42" s="1"/>
  <c r="E6" i="43"/>
  <c r="E5" i="43" s="1"/>
  <c r="I6" i="43"/>
  <c r="E5" i="42"/>
  <c r="F5" i="42"/>
  <c r="D20" i="41"/>
  <c r="D16" i="41"/>
  <c r="D13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X5" i="41" l="1"/>
  <c r="F3" i="53"/>
  <c r="H3" i="53" s="1"/>
  <c r="X4" i="41"/>
  <c r="D4" i="42"/>
  <c r="I5" i="43"/>
  <c r="C4" i="42"/>
  <c r="E20" i="41"/>
  <c r="E16" i="41"/>
  <c r="E13" i="41"/>
  <c r="X7" i="41" l="1"/>
  <c r="X6" i="41"/>
  <c r="C3" i="41" s="1"/>
  <c r="C7" i="41"/>
  <c r="E8" i="41" l="1"/>
  <c r="E4" i="41"/>
  <c r="G45" i="39" l="1"/>
  <c r="F45" i="39"/>
  <c r="E45" i="39"/>
  <c r="D45" i="39"/>
  <c r="J45" i="39"/>
  <c r="I45" i="39"/>
  <c r="H45" i="39"/>
  <c r="J6" i="39"/>
  <c r="I6" i="39"/>
  <c r="H6" i="39"/>
  <c r="G6" i="39"/>
  <c r="F6" i="39"/>
  <c r="E6" i="39"/>
  <c r="D6" i="39"/>
  <c r="C6" i="39"/>
  <c r="J5" i="39" l="1"/>
  <c r="F5" i="39"/>
  <c r="H5" i="39"/>
  <c r="D5" i="39"/>
  <c r="E5" i="39"/>
  <c r="I5" i="39"/>
  <c r="C45" i="39"/>
  <c r="C5" i="39" s="1"/>
  <c r="G5" i="39"/>
  <c r="F44" i="38"/>
  <c r="E44" i="38"/>
  <c r="C44" i="38"/>
  <c r="F5" i="38"/>
  <c r="F17" i="40"/>
  <c r="E17" i="40"/>
  <c r="D17" i="40"/>
  <c r="C17" i="40"/>
  <c r="C51" i="40"/>
  <c r="C49" i="40"/>
  <c r="C48" i="40"/>
  <c r="C47" i="40"/>
  <c r="W11" i="41" l="1"/>
  <c r="W4" i="41"/>
  <c r="E5" i="38"/>
  <c r="E4" i="38" s="1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41" i="40"/>
  <c r="F42" i="40"/>
  <c r="F43" i="40"/>
  <c r="F47" i="40"/>
  <c r="F48" i="40"/>
  <c r="F51" i="40"/>
  <c r="E19" i="40"/>
  <c r="E21" i="40"/>
  <c r="E23" i="40"/>
  <c r="E25" i="40"/>
  <c r="E27" i="40"/>
  <c r="E29" i="40"/>
  <c r="E31" i="40"/>
  <c r="E33" i="40"/>
  <c r="E35" i="40"/>
  <c r="E37" i="40"/>
  <c r="E39" i="40"/>
  <c r="E41" i="40"/>
  <c r="E43" i="40"/>
  <c r="E48" i="40"/>
  <c r="E49" i="40"/>
  <c r="E51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36" i="40"/>
  <c r="D37" i="40"/>
  <c r="D38" i="40"/>
  <c r="D39" i="40"/>
  <c r="D40" i="40"/>
  <c r="D41" i="40"/>
  <c r="D42" i="40"/>
  <c r="D43" i="40"/>
  <c r="C46" i="40"/>
  <c r="C50" i="40"/>
  <c r="E18" i="40"/>
  <c r="E20" i="40"/>
  <c r="E22" i="40"/>
  <c r="E24" i="40"/>
  <c r="E26" i="40"/>
  <c r="E28" i="40"/>
  <c r="E30" i="40"/>
  <c r="E32" i="40"/>
  <c r="E34" i="40"/>
  <c r="E36" i="40"/>
  <c r="E38" i="40"/>
  <c r="E40" i="40"/>
  <c r="E42" i="40"/>
  <c r="D46" i="40"/>
  <c r="D47" i="40"/>
  <c r="D48" i="40"/>
  <c r="D49" i="40"/>
  <c r="D50" i="40"/>
  <c r="D51" i="40"/>
  <c r="E46" i="40"/>
  <c r="E47" i="40"/>
  <c r="E50" i="40"/>
  <c r="C45" i="40"/>
  <c r="E45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F46" i="40"/>
  <c r="F49" i="40"/>
  <c r="F50" i="40"/>
  <c r="C5" i="38"/>
  <c r="C4" i="38" s="1"/>
  <c r="D45" i="40"/>
  <c r="D44" i="38"/>
  <c r="D5" i="38"/>
  <c r="F45" i="40"/>
  <c r="F4" i="38"/>
  <c r="F16" i="40"/>
  <c r="E16" i="40"/>
  <c r="D16" i="40"/>
  <c r="C16" i="40"/>
  <c r="F15" i="40"/>
  <c r="E15" i="40"/>
  <c r="D15" i="40"/>
  <c r="C15" i="40"/>
  <c r="F14" i="40"/>
  <c r="E14" i="40"/>
  <c r="D14" i="40"/>
  <c r="C14" i="40"/>
  <c r="F13" i="40"/>
  <c r="E13" i="40"/>
  <c r="D13" i="40"/>
  <c r="C13" i="40"/>
  <c r="F12" i="40"/>
  <c r="E12" i="40"/>
  <c r="D12" i="40"/>
  <c r="C12" i="40"/>
  <c r="F11" i="40"/>
  <c r="E11" i="40"/>
  <c r="D11" i="40"/>
  <c r="C11" i="40"/>
  <c r="F10" i="40"/>
  <c r="E10" i="40"/>
  <c r="D10" i="40"/>
  <c r="C10" i="40"/>
  <c r="F9" i="40"/>
  <c r="E9" i="40"/>
  <c r="D9" i="40"/>
  <c r="C9" i="40"/>
  <c r="F8" i="40"/>
  <c r="E8" i="40"/>
  <c r="D8" i="40"/>
  <c r="C8" i="40"/>
  <c r="F7" i="40"/>
  <c r="E7" i="40"/>
  <c r="D7" i="40"/>
  <c r="C7" i="40"/>
  <c r="F6" i="40"/>
  <c r="E6" i="40"/>
  <c r="D6" i="40"/>
  <c r="C5" i="37"/>
  <c r="C44" i="37"/>
  <c r="F44" i="37"/>
  <c r="E44" i="37"/>
  <c r="D44" i="37"/>
  <c r="F5" i="37"/>
  <c r="D7" i="41" l="1"/>
  <c r="D8" i="41" s="1"/>
  <c r="C44" i="40"/>
  <c r="E5" i="37"/>
  <c r="E4" i="37" s="1"/>
  <c r="W12" i="41" s="1"/>
  <c r="W13" i="41" s="1"/>
  <c r="E44" i="40"/>
  <c r="D4" i="38"/>
  <c r="D44" i="40"/>
  <c r="F5" i="40"/>
  <c r="D5" i="40"/>
  <c r="F44" i="40"/>
  <c r="E5" i="40"/>
  <c r="C6" i="40"/>
  <c r="C5" i="40" s="1"/>
  <c r="F4" i="37"/>
  <c r="D5" i="37"/>
  <c r="D4" i="37" s="1"/>
  <c r="C4" i="37"/>
  <c r="W5" i="41" s="1"/>
  <c r="W6" i="41" l="1"/>
  <c r="D3" i="41" s="1"/>
  <c r="D4" i="41" s="1"/>
  <c r="W7" i="41"/>
  <c r="C4" i="40"/>
  <c r="D4" i="40"/>
  <c r="E4" i="40"/>
  <c r="F4" i="40"/>
  <c r="A4" i="15"/>
  <c r="A4" i="13" l="1"/>
  <c r="A4" i="10"/>
  <c r="A4" i="9"/>
  <c r="F23" i="10"/>
  <c r="D48" i="9"/>
  <c r="H23" i="10"/>
  <c r="K23" i="10"/>
  <c r="E23" i="10"/>
  <c r="H49" i="10"/>
  <c r="E22" i="9"/>
  <c r="L49" i="10"/>
  <c r="B23" i="10"/>
  <c r="B49" i="10"/>
  <c r="B21" i="15"/>
  <c r="B21" i="16" l="1"/>
  <c r="F23" i="12"/>
  <c r="H23" i="12"/>
  <c r="B49" i="12"/>
  <c r="B23" i="12"/>
  <c r="E23" i="12"/>
  <c r="H49" i="12"/>
  <c r="L49" i="12"/>
  <c r="K23" i="12"/>
  <c r="D48" i="11"/>
  <c r="E22" i="11"/>
  <c r="D44" i="8"/>
  <c r="D44" i="7"/>
  <c r="E5" i="8"/>
  <c r="F44" i="8"/>
  <c r="E44" i="8"/>
  <c r="F44" i="7"/>
  <c r="E44" i="7"/>
  <c r="F49" i="10"/>
  <c r="G22" i="9"/>
  <c r="E49" i="10"/>
  <c r="I49" i="10"/>
  <c r="E48" i="9"/>
  <c r="B48" i="9"/>
  <c r="C49" i="10"/>
  <c r="B22" i="9"/>
  <c r="D22" i="9"/>
  <c r="K49" i="10"/>
  <c r="G48" i="9"/>
  <c r="L23" i="10"/>
  <c r="I23" i="10"/>
  <c r="C23" i="10"/>
  <c r="B22" i="11" l="1"/>
  <c r="E49" i="12"/>
  <c r="G22" i="11"/>
  <c r="I23" i="12"/>
  <c r="F49" i="12"/>
  <c r="C23" i="12"/>
  <c r="D22" i="11"/>
  <c r="K49" i="12"/>
  <c r="E48" i="11"/>
  <c r="L23" i="12"/>
  <c r="G48" i="11"/>
  <c r="I49" i="12"/>
  <c r="C49" i="12"/>
  <c r="B48" i="11"/>
  <c r="C44" i="8"/>
  <c r="F5" i="8"/>
  <c r="F4" i="8" s="1"/>
  <c r="D5" i="8"/>
  <c r="C5" i="8"/>
  <c r="E4" i="8"/>
  <c r="C44" i="7"/>
  <c r="D5" i="7"/>
  <c r="C5" i="7"/>
  <c r="E5" i="7"/>
  <c r="F5" i="7"/>
  <c r="E4" i="7" l="1"/>
  <c r="V12" i="41" s="1"/>
  <c r="C4" i="7"/>
  <c r="C4" i="8"/>
  <c r="D4" i="8"/>
  <c r="D4" i="7"/>
  <c r="F4" i="7"/>
  <c r="E45" i="5" l="1"/>
  <c r="E47" i="5"/>
  <c r="C49" i="5"/>
  <c r="E50" i="5"/>
  <c r="C7" i="5"/>
  <c r="C8" i="5"/>
  <c r="E9" i="5"/>
  <c r="E10" i="5"/>
  <c r="C12" i="5"/>
  <c r="C14" i="5"/>
  <c r="E15" i="5"/>
  <c r="E16" i="5"/>
  <c r="C18" i="5"/>
  <c r="E19" i="5"/>
  <c r="C21" i="5"/>
  <c r="E22" i="5"/>
  <c r="E24" i="5"/>
  <c r="C26" i="5"/>
  <c r="E27" i="5"/>
  <c r="C29" i="5"/>
  <c r="C30" i="5"/>
  <c r="C31" i="5"/>
  <c r="E32" i="5"/>
  <c r="C34" i="5"/>
  <c r="E35" i="5"/>
  <c r="C37" i="5"/>
  <c r="C38" i="5"/>
  <c r="E39" i="5"/>
  <c r="C41" i="5"/>
  <c r="E41" i="5"/>
  <c r="E42" i="5"/>
  <c r="E43" i="5"/>
  <c r="C45" i="5"/>
  <c r="E46" i="5"/>
  <c r="C48" i="5"/>
  <c r="E49" i="5"/>
  <c r="C51" i="5"/>
  <c r="E7" i="5"/>
  <c r="C9" i="5"/>
  <c r="C11" i="5"/>
  <c r="C13" i="5"/>
  <c r="E14" i="5"/>
  <c r="C16" i="5"/>
  <c r="C19" i="5"/>
  <c r="E20" i="5"/>
  <c r="C22" i="5"/>
  <c r="E23" i="5"/>
  <c r="C25" i="5"/>
  <c r="E26" i="5"/>
  <c r="C28" i="5"/>
  <c r="E29" i="5"/>
  <c r="C32" i="5"/>
  <c r="E33" i="5"/>
  <c r="C35" i="5"/>
  <c r="E36" i="5"/>
  <c r="E37" i="5"/>
  <c r="E38" i="5"/>
  <c r="C40" i="5"/>
  <c r="E40" i="5"/>
  <c r="C42" i="5"/>
  <c r="C43" i="5"/>
  <c r="D45" i="5"/>
  <c r="F45" i="5"/>
  <c r="D46" i="5"/>
  <c r="F46" i="5"/>
  <c r="D47" i="5"/>
  <c r="F47" i="5"/>
  <c r="D48" i="5"/>
  <c r="F48" i="5"/>
  <c r="D49" i="5"/>
  <c r="F49" i="5"/>
  <c r="D50" i="5"/>
  <c r="F50" i="5"/>
  <c r="D51" i="5"/>
  <c r="F51" i="5"/>
  <c r="D7" i="5"/>
  <c r="F7" i="5"/>
  <c r="D8" i="5"/>
  <c r="F8" i="5"/>
  <c r="D9" i="5"/>
  <c r="F9" i="5"/>
  <c r="D10" i="5"/>
  <c r="F10" i="5"/>
  <c r="D11" i="5"/>
  <c r="F11" i="5"/>
  <c r="D12" i="5"/>
  <c r="F12" i="5"/>
  <c r="D13" i="5"/>
  <c r="F13" i="5"/>
  <c r="D14" i="5"/>
  <c r="F14" i="5"/>
  <c r="D15" i="5"/>
  <c r="F15" i="5"/>
  <c r="D16" i="5"/>
  <c r="F16" i="5"/>
  <c r="D18" i="5"/>
  <c r="F18" i="5"/>
  <c r="D19" i="5"/>
  <c r="F19" i="5"/>
  <c r="D20" i="5"/>
  <c r="F20" i="5"/>
  <c r="D21" i="5"/>
  <c r="F21" i="5"/>
  <c r="D22" i="5"/>
  <c r="F22" i="5"/>
  <c r="D23" i="5"/>
  <c r="F23" i="5"/>
  <c r="D24" i="5"/>
  <c r="F24" i="5"/>
  <c r="D25" i="5"/>
  <c r="F25" i="5"/>
  <c r="D26" i="5"/>
  <c r="F26" i="5"/>
  <c r="D27" i="5"/>
  <c r="F27" i="5"/>
  <c r="D28" i="5"/>
  <c r="F28" i="5"/>
  <c r="D29" i="5"/>
  <c r="F29" i="5"/>
  <c r="D30" i="5"/>
  <c r="F30" i="5"/>
  <c r="D31" i="5"/>
  <c r="F31" i="5"/>
  <c r="D32" i="5"/>
  <c r="F32" i="5"/>
  <c r="D33" i="5"/>
  <c r="F33" i="5"/>
  <c r="D34" i="5"/>
  <c r="F34" i="5"/>
  <c r="D35" i="5"/>
  <c r="F35" i="5"/>
  <c r="D36" i="5"/>
  <c r="F36" i="5"/>
  <c r="D37" i="5"/>
  <c r="F37" i="5"/>
  <c r="D38" i="5"/>
  <c r="F38" i="5"/>
  <c r="D39" i="5"/>
  <c r="F39" i="5"/>
  <c r="D40" i="5"/>
  <c r="F40" i="5"/>
  <c r="D41" i="5"/>
  <c r="F41" i="5"/>
  <c r="D42" i="5"/>
  <c r="F42" i="5"/>
  <c r="D43" i="5"/>
  <c r="F43" i="5"/>
  <c r="C46" i="5"/>
  <c r="C47" i="5"/>
  <c r="E48" i="5"/>
  <c r="C50" i="5"/>
  <c r="E51" i="5"/>
  <c r="E8" i="5"/>
  <c r="C10" i="5"/>
  <c r="E11" i="5"/>
  <c r="E12" i="5"/>
  <c r="E13" i="5"/>
  <c r="C15" i="5"/>
  <c r="E18" i="5"/>
  <c r="C20" i="5"/>
  <c r="E21" i="5"/>
  <c r="C23" i="5"/>
  <c r="C24" i="5"/>
  <c r="E25" i="5"/>
  <c r="C27" i="5"/>
  <c r="E28" i="5"/>
  <c r="E30" i="5"/>
  <c r="E31" i="5"/>
  <c r="C33" i="5"/>
  <c r="E34" i="5"/>
  <c r="C36" i="5"/>
  <c r="C39" i="5"/>
  <c r="F6" i="5" l="1"/>
  <c r="D6" i="5"/>
  <c r="E6" i="5"/>
  <c r="E5" i="5" s="1"/>
  <c r="C6" i="5"/>
  <c r="C5" i="5" s="1"/>
  <c r="D6" i="6"/>
  <c r="E6" i="6"/>
  <c r="F6" i="6"/>
  <c r="G6" i="6"/>
  <c r="H6" i="6"/>
  <c r="I6" i="6"/>
  <c r="J6" i="6"/>
  <c r="C6" i="6"/>
  <c r="D45" i="6"/>
  <c r="E45" i="6"/>
  <c r="F45" i="6"/>
  <c r="G45" i="6"/>
  <c r="H45" i="6"/>
  <c r="I45" i="6"/>
  <c r="J45" i="6"/>
  <c r="C45" i="6"/>
  <c r="D44" i="5"/>
  <c r="E44" i="5"/>
  <c r="F44" i="5"/>
  <c r="C44" i="5"/>
  <c r="F5" i="5"/>
  <c r="F4" i="5" l="1"/>
  <c r="E4" i="5"/>
  <c r="D5" i="5"/>
  <c r="D4" i="5" s="1"/>
  <c r="E5" i="6"/>
  <c r="H5" i="6"/>
  <c r="D5" i="6"/>
  <c r="C5" i="6"/>
  <c r="G5" i="6"/>
  <c r="I5" i="6"/>
  <c r="J5" i="6"/>
  <c r="F5" i="6"/>
  <c r="C4" i="5"/>
  <c r="V11" i="41" l="1"/>
  <c r="V13" i="41" s="1"/>
  <c r="E51" i="42" l="1"/>
  <c r="J45" i="43"/>
  <c r="F51" i="42"/>
  <c r="H45" i="43"/>
  <c r="J5" i="43" l="1"/>
  <c r="F44" i="42"/>
  <c r="E44" i="42"/>
  <c r="H5" i="43"/>
  <c r="X11" i="41" l="1"/>
  <c r="X13" i="41" s="1"/>
  <c r="E4" i="42"/>
  <c r="F4" i="42"/>
  <c r="E41" i="13"/>
  <c r="I35" i="10"/>
  <c r="E18" i="9"/>
  <c r="D37" i="9"/>
  <c r="E29" i="10"/>
  <c r="D14" i="13"/>
  <c r="B36" i="9"/>
  <c r="I46" i="10"/>
  <c r="G16" i="15"/>
  <c r="D13" i="15"/>
  <c r="D54" i="9"/>
  <c r="B43" i="10"/>
  <c r="E55" i="13"/>
  <c r="I17" i="10"/>
  <c r="E13" i="10"/>
  <c r="C50" i="10"/>
  <c r="G39" i="9"/>
  <c r="F26" i="10"/>
  <c r="L12" i="10"/>
  <c r="D47" i="13"/>
  <c r="L17" i="10"/>
  <c r="E18" i="13"/>
  <c r="L52" i="10"/>
  <c r="B27" i="13"/>
  <c r="G37" i="15"/>
  <c r="G15" i="15"/>
  <c r="G31" i="9"/>
  <c r="L34" i="10"/>
  <c r="E18" i="15"/>
  <c r="H45" i="10"/>
  <c r="D12" i="15"/>
  <c r="B37" i="10"/>
  <c r="B55" i="10"/>
  <c r="H9" i="10"/>
  <c r="B12" i="13"/>
  <c r="G30" i="9"/>
  <c r="E43" i="13"/>
  <c r="D21" i="13"/>
  <c r="B38" i="13"/>
  <c r="B8" i="13"/>
  <c r="G29" i="9"/>
  <c r="B28" i="13"/>
  <c r="C21" i="10"/>
  <c r="B31" i="13"/>
  <c r="G33" i="15"/>
  <c r="K45" i="10"/>
  <c r="D34" i="9"/>
  <c r="E43" i="9"/>
  <c r="G10" i="9"/>
  <c r="F42" i="10"/>
  <c r="D52" i="13"/>
  <c r="C11" i="10"/>
  <c r="B10" i="9"/>
  <c r="K26" i="10"/>
  <c r="K39" i="10"/>
  <c r="L21" i="10"/>
  <c r="D41" i="15"/>
  <c r="B52" i="10"/>
  <c r="F18" i="10"/>
  <c r="G15" i="13"/>
  <c r="F10" i="10"/>
  <c r="B52" i="15"/>
  <c r="E17" i="10"/>
  <c r="G15" i="9"/>
  <c r="G14" i="15"/>
  <c r="B54" i="9"/>
  <c r="G8" i="15"/>
  <c r="L30" i="10"/>
  <c r="B17" i="9"/>
  <c r="B54" i="13"/>
  <c r="E23" i="15"/>
  <c r="B53" i="15"/>
  <c r="B33" i="15"/>
  <c r="K13" i="10"/>
  <c r="E25" i="9"/>
  <c r="E8" i="9"/>
  <c r="G17" i="9"/>
  <c r="D52" i="15"/>
  <c r="F46" i="10"/>
  <c r="D32" i="13"/>
  <c r="G20" i="13"/>
  <c r="B19" i="9"/>
  <c r="B25" i="13"/>
  <c r="B12" i="10"/>
  <c r="D8" i="15"/>
  <c r="B16" i="15"/>
  <c r="K31" i="10"/>
  <c r="D55" i="15"/>
  <c r="D25" i="15"/>
  <c r="D53" i="15"/>
  <c r="E33" i="15"/>
  <c r="D32" i="15"/>
  <c r="B21" i="10"/>
  <c r="G37" i="13"/>
  <c r="B9" i="9"/>
  <c r="F24" i="10"/>
  <c r="D37" i="13"/>
  <c r="G43" i="9"/>
  <c r="I33" i="10"/>
  <c r="B48" i="13"/>
  <c r="K42" i="10"/>
  <c r="G22" i="13"/>
  <c r="D40" i="15"/>
  <c r="D46" i="15"/>
  <c r="C35" i="10"/>
  <c r="F11" i="10"/>
  <c r="B47" i="13"/>
  <c r="F27" i="10"/>
  <c r="G35" i="9"/>
  <c r="D30" i="9"/>
  <c r="B43" i="9"/>
  <c r="F15" i="10"/>
  <c r="B48" i="10"/>
  <c r="L54" i="10"/>
  <c r="K34" i="10"/>
  <c r="B32" i="9"/>
  <c r="E11" i="15"/>
  <c r="E51" i="15"/>
  <c r="B15" i="15"/>
  <c r="E25" i="15"/>
  <c r="D42" i="13"/>
  <c r="E11" i="10"/>
  <c r="D28" i="13"/>
  <c r="E29" i="13"/>
  <c r="E38" i="15"/>
  <c r="E54" i="15"/>
  <c r="B36" i="15"/>
  <c r="D11" i="13"/>
  <c r="D23" i="13"/>
  <c r="B27" i="15"/>
  <c r="G38" i="13"/>
  <c r="B50" i="10"/>
  <c r="D52" i="9"/>
  <c r="D16" i="13"/>
  <c r="L47" i="10"/>
  <c r="F44" i="10"/>
  <c r="L46" i="10"/>
  <c r="B22" i="13"/>
  <c r="B19" i="13"/>
  <c r="D26" i="13"/>
  <c r="G28" i="13"/>
  <c r="D12" i="9"/>
  <c r="E13" i="15"/>
  <c r="H30" i="10"/>
  <c r="G49" i="15"/>
  <c r="E51" i="10"/>
  <c r="B50" i="9"/>
  <c r="G26" i="9"/>
  <c r="B22" i="10"/>
  <c r="K32" i="10"/>
  <c r="K18" i="10"/>
  <c r="E22" i="15"/>
  <c r="K19" i="10"/>
  <c r="I16" i="10"/>
  <c r="G49" i="9"/>
  <c r="E28" i="10"/>
  <c r="B28" i="15"/>
  <c r="F55" i="10"/>
  <c r="E16" i="15"/>
  <c r="H46" i="10"/>
  <c r="E52" i="15"/>
  <c r="D50" i="13"/>
  <c r="H38" i="10"/>
  <c r="C53" i="10"/>
  <c r="G51" i="9"/>
  <c r="G26" i="15"/>
  <c r="B16" i="10"/>
  <c r="H31" i="10"/>
  <c r="H56" i="10"/>
  <c r="E24" i="15"/>
  <c r="E20" i="9"/>
  <c r="I18" i="10"/>
  <c r="G55" i="15"/>
  <c r="D12" i="13"/>
  <c r="B54" i="10"/>
  <c r="I56" i="10"/>
  <c r="E24" i="13"/>
  <c r="C56" i="10"/>
  <c r="E52" i="9"/>
  <c r="E35" i="9"/>
  <c r="E14" i="9"/>
  <c r="G34" i="13"/>
  <c r="E48" i="10"/>
  <c r="G41" i="9"/>
  <c r="K25" i="10"/>
  <c r="C32" i="10"/>
  <c r="D35" i="15"/>
  <c r="E30" i="10"/>
  <c r="G32" i="9"/>
  <c r="B37" i="13"/>
  <c r="H35" i="10"/>
  <c r="B9" i="13"/>
  <c r="C24" i="10"/>
  <c r="D53" i="9"/>
  <c r="C22" i="10"/>
  <c r="E34" i="10"/>
  <c r="F31" i="10"/>
  <c r="B35" i="10"/>
  <c r="E31" i="15"/>
  <c r="G23" i="15"/>
  <c r="D51" i="9"/>
  <c r="E55" i="9"/>
  <c r="G47" i="9"/>
  <c r="F25" i="10"/>
  <c r="I19" i="10"/>
  <c r="G45" i="9"/>
  <c r="B29" i="13"/>
  <c r="B41" i="10"/>
  <c r="G20" i="15"/>
  <c r="E24" i="9"/>
  <c r="K52" i="10"/>
  <c r="B14" i="10"/>
  <c r="D24" i="15"/>
  <c r="L42" i="10"/>
  <c r="E33" i="10"/>
  <c r="D29" i="9"/>
  <c r="G44" i="9"/>
  <c r="B9" i="15"/>
  <c r="E45" i="15"/>
  <c r="C44" i="10"/>
  <c r="B34" i="10"/>
  <c r="L25" i="10"/>
  <c r="D10" i="15"/>
  <c r="B32" i="15"/>
  <c r="G39" i="13"/>
  <c r="D55" i="13"/>
  <c r="B16" i="13"/>
  <c r="E11" i="9"/>
  <c r="H32" i="10"/>
  <c r="K44" i="10"/>
  <c r="G10" i="15"/>
  <c r="L41" i="10"/>
  <c r="C30" i="10"/>
  <c r="K36" i="10"/>
  <c r="E18" i="10"/>
  <c r="F13" i="10"/>
  <c r="D13" i="9"/>
  <c r="E27" i="9"/>
  <c r="D17" i="15"/>
  <c r="E36" i="9"/>
  <c r="C37" i="10"/>
  <c r="D43" i="9"/>
  <c r="G9" i="9"/>
  <c r="I52" i="10"/>
  <c r="D29" i="13"/>
  <c r="C18" i="10"/>
  <c r="B38" i="10"/>
  <c r="G40" i="13"/>
  <c r="L26" i="10"/>
  <c r="E21" i="13"/>
  <c r="B23" i="13"/>
  <c r="B45" i="15"/>
  <c r="G25" i="9"/>
  <c r="B24" i="9"/>
  <c r="G43" i="13"/>
  <c r="G44" i="15"/>
  <c r="B48" i="15"/>
  <c r="F52" i="10"/>
  <c r="B28" i="9"/>
  <c r="I26" i="10"/>
  <c r="D53" i="13"/>
  <c r="E49" i="13"/>
  <c r="E12" i="13"/>
  <c r="E21" i="10"/>
  <c r="E38" i="10"/>
  <c r="G38" i="9"/>
  <c r="B31" i="15"/>
  <c r="E40" i="13"/>
  <c r="E39" i="13"/>
  <c r="G45" i="13"/>
  <c r="E43" i="15"/>
  <c r="H10" i="10"/>
  <c r="C48" i="10"/>
  <c r="H20" i="10"/>
  <c r="E32" i="13"/>
  <c r="G13" i="15"/>
  <c r="E40" i="10"/>
  <c r="D36" i="9"/>
  <c r="K30" i="10"/>
  <c r="C51" i="10"/>
  <c r="E51" i="13"/>
  <c r="H41" i="10"/>
  <c r="G22" i="15"/>
  <c r="G31" i="15"/>
  <c r="E20" i="10"/>
  <c r="E54" i="13"/>
  <c r="F54" i="10"/>
  <c r="F35" i="10"/>
  <c r="I51" i="10"/>
  <c r="H54" i="10"/>
  <c r="B49" i="9"/>
  <c r="B34" i="15"/>
  <c r="E44" i="9"/>
  <c r="B29" i="9"/>
  <c r="D38" i="13"/>
  <c r="L53" i="10"/>
  <c r="D23" i="9"/>
  <c r="E14" i="10"/>
  <c r="K55" i="10"/>
  <c r="D37" i="15"/>
  <c r="B13" i="9"/>
  <c r="B44" i="15"/>
  <c r="E53" i="13"/>
  <c r="I31" i="10"/>
  <c r="I45" i="10"/>
  <c r="C9" i="10"/>
  <c r="D38" i="9"/>
  <c r="K50" i="10"/>
  <c r="B15" i="13"/>
  <c r="B52" i="13"/>
  <c r="K28" i="10"/>
  <c r="B26" i="13"/>
  <c r="E49" i="15"/>
  <c r="K38" i="10"/>
  <c r="L16" i="10"/>
  <c r="D43" i="13"/>
  <c r="B40" i="15"/>
  <c r="E26" i="9"/>
  <c r="L51" i="10"/>
  <c r="D40" i="9"/>
  <c r="B46" i="9"/>
  <c r="E9" i="9"/>
  <c r="F22" i="10"/>
  <c r="D11" i="9"/>
  <c r="E17" i="9"/>
  <c r="D19" i="9"/>
  <c r="D43" i="15"/>
  <c r="D36" i="13"/>
  <c r="B38" i="15"/>
  <c r="D14" i="15"/>
  <c r="B24" i="10"/>
  <c r="G46" i="9"/>
  <c r="E33" i="9"/>
  <c r="E30" i="15"/>
  <c r="D22" i="15"/>
  <c r="B34" i="13"/>
  <c r="L31" i="10"/>
  <c r="D49" i="9"/>
  <c r="B20" i="15"/>
  <c r="L39" i="10"/>
  <c r="B39" i="13"/>
  <c r="E25" i="10"/>
  <c r="E17" i="15"/>
  <c r="E19" i="15"/>
  <c r="E35" i="10"/>
  <c r="D31" i="13"/>
  <c r="D47" i="15"/>
  <c r="G44" i="13"/>
  <c r="B8" i="9"/>
  <c r="G50" i="15"/>
  <c r="G46" i="15"/>
  <c r="G42" i="9"/>
  <c r="D11" i="15"/>
  <c r="I42" i="10"/>
  <c r="K9" i="10"/>
  <c r="B18" i="10"/>
  <c r="B41" i="9"/>
  <c r="H33" i="10"/>
  <c r="C29" i="10"/>
  <c r="F48" i="10"/>
  <c r="E41" i="15"/>
  <c r="D31" i="9"/>
  <c r="E46" i="10"/>
  <c r="I14" i="10"/>
  <c r="I39" i="10"/>
  <c r="D36" i="15"/>
  <c r="E31" i="9"/>
  <c r="B25" i="9"/>
  <c r="B15" i="9"/>
  <c r="B10" i="10"/>
  <c r="F29" i="10"/>
  <c r="F56" i="10"/>
  <c r="B46" i="13"/>
  <c r="B51" i="9"/>
  <c r="D20" i="13"/>
  <c r="G48" i="13"/>
  <c r="D18" i="13"/>
  <c r="B35" i="13"/>
  <c r="I41" i="10"/>
  <c r="G11" i="15"/>
  <c r="D30" i="15"/>
  <c r="E26" i="10"/>
  <c r="B37" i="9"/>
  <c r="E30" i="9"/>
  <c r="K16" i="10"/>
  <c r="L44" i="10"/>
  <c r="C12" i="10"/>
  <c r="H29" i="10"/>
  <c r="L13" i="10"/>
  <c r="K46" i="10"/>
  <c r="E46" i="15"/>
  <c r="I27" i="10"/>
  <c r="G19" i="9"/>
  <c r="B45" i="9"/>
  <c r="B16" i="9"/>
  <c r="F28" i="10"/>
  <c r="H39" i="10"/>
  <c r="B14" i="15"/>
  <c r="H17" i="10"/>
  <c r="G47" i="13"/>
  <c r="K10" i="10"/>
  <c r="B25" i="10"/>
  <c r="C42" i="10"/>
  <c r="E47" i="10"/>
  <c r="F34" i="10"/>
  <c r="B18" i="9"/>
  <c r="G53" i="13"/>
  <c r="L35" i="10"/>
  <c r="E16" i="13"/>
  <c r="B33" i="10"/>
  <c r="H14" i="10"/>
  <c r="H37" i="10"/>
  <c r="G21" i="13"/>
  <c r="D51" i="15"/>
  <c r="G17" i="13"/>
  <c r="E45" i="13"/>
  <c r="G51" i="15"/>
  <c r="B35" i="9"/>
  <c r="D42" i="15"/>
  <c r="E41" i="9"/>
  <c r="B40" i="13"/>
  <c r="I53" i="10"/>
  <c r="B40" i="10"/>
  <c r="C27" i="10"/>
  <c r="G13" i="9"/>
  <c r="D25" i="13"/>
  <c r="I22" i="10"/>
  <c r="E55" i="10"/>
  <c r="H13" i="10"/>
  <c r="B36" i="13"/>
  <c r="L15" i="10"/>
  <c r="D17" i="13"/>
  <c r="B14" i="13"/>
  <c r="D45" i="13"/>
  <c r="E34" i="13"/>
  <c r="I21" i="10"/>
  <c r="I25" i="10"/>
  <c r="B31" i="9"/>
  <c r="C17" i="10"/>
  <c r="I38" i="10"/>
  <c r="G36" i="13"/>
  <c r="B30" i="13"/>
  <c r="G40" i="15"/>
  <c r="B51" i="13"/>
  <c r="E47" i="13"/>
  <c r="G35" i="13"/>
  <c r="D41" i="9"/>
  <c r="G14" i="9"/>
  <c r="G52" i="9"/>
  <c r="G16" i="13"/>
  <c r="B24" i="13"/>
  <c r="E53" i="10"/>
  <c r="D32" i="9"/>
  <c r="E40" i="9"/>
  <c r="I43" i="10"/>
  <c r="C47" i="10"/>
  <c r="E32" i="15"/>
  <c r="D51" i="13"/>
  <c r="B33" i="9"/>
  <c r="F43" i="10"/>
  <c r="D18" i="9"/>
  <c r="D54" i="13"/>
  <c r="I47" i="10"/>
  <c r="G53" i="15"/>
  <c r="K53" i="10"/>
  <c r="G42" i="15"/>
  <c r="B20" i="10"/>
  <c r="B9" i="10"/>
  <c r="E12" i="10"/>
  <c r="D15" i="15"/>
  <c r="G30" i="15"/>
  <c r="E37" i="13"/>
  <c r="H15" i="10"/>
  <c r="D15" i="13"/>
  <c r="E50" i="9"/>
  <c r="G12" i="15"/>
  <c r="D18" i="15"/>
  <c r="E45" i="10"/>
  <c r="E17" i="13"/>
  <c r="E10" i="15"/>
  <c r="G33" i="9"/>
  <c r="G11" i="13"/>
  <c r="C40" i="10"/>
  <c r="C20" i="10"/>
  <c r="B42" i="9"/>
  <c r="E22" i="13"/>
  <c r="D10" i="9"/>
  <c r="B11" i="13"/>
  <c r="B44" i="10"/>
  <c r="K11" i="10"/>
  <c r="B15" i="10"/>
  <c r="E52" i="13"/>
  <c r="F20" i="10"/>
  <c r="H36" i="10"/>
  <c r="B11" i="9"/>
  <c r="L48" i="10"/>
  <c r="G53" i="9"/>
  <c r="B13" i="10"/>
  <c r="G18" i="9"/>
  <c r="H48" i="10"/>
  <c r="B27" i="9"/>
  <c r="H26" i="10"/>
  <c r="D31" i="15"/>
  <c r="E55" i="15"/>
  <c r="D16" i="15"/>
  <c r="B17" i="10"/>
  <c r="G20" i="9"/>
  <c r="K37" i="10"/>
  <c r="K47" i="10"/>
  <c r="G27" i="15"/>
  <c r="B51" i="15"/>
  <c r="K51" i="10"/>
  <c r="B56" i="10"/>
  <c r="E20" i="15"/>
  <c r="D24" i="13"/>
  <c r="E39" i="10"/>
  <c r="B26" i="10"/>
  <c r="D17" i="9"/>
  <c r="L36" i="10"/>
  <c r="D9" i="13"/>
  <c r="K15" i="10"/>
  <c r="D14" i="9"/>
  <c r="G55" i="13"/>
  <c r="B23" i="9"/>
  <c r="B47" i="10"/>
  <c r="C38" i="10"/>
  <c r="C45" i="10"/>
  <c r="E48" i="13"/>
  <c r="D30" i="13"/>
  <c r="D28" i="9"/>
  <c r="L45" i="10"/>
  <c r="C26" i="10"/>
  <c r="B53" i="9"/>
  <c r="D49" i="15"/>
  <c r="F45" i="10"/>
  <c r="L19" i="10"/>
  <c r="D28" i="15"/>
  <c r="C13" i="10"/>
  <c r="I32" i="10"/>
  <c r="K27" i="10"/>
  <c r="E29" i="15"/>
  <c r="B27" i="10"/>
  <c r="E10" i="13"/>
  <c r="G28" i="9"/>
  <c r="B39" i="10"/>
  <c r="L22" i="10"/>
  <c r="F21" i="10"/>
  <c r="I40" i="10"/>
  <c r="L29" i="10"/>
  <c r="F12" i="10"/>
  <c r="E36" i="15"/>
  <c r="E24" i="10"/>
  <c r="B18" i="13"/>
  <c r="L9" i="10"/>
  <c r="E15" i="15"/>
  <c r="L40" i="10"/>
  <c r="I36" i="10"/>
  <c r="D26" i="15"/>
  <c r="G32" i="13"/>
  <c r="D45" i="15"/>
  <c r="B44" i="9"/>
  <c r="D33" i="9"/>
  <c r="E56" i="10"/>
  <c r="B39" i="9"/>
  <c r="G19" i="13"/>
  <c r="G25" i="13"/>
  <c r="G11" i="9"/>
  <c r="E51" i="9"/>
  <c r="B30" i="15"/>
  <c r="E31" i="10"/>
  <c r="B43" i="15"/>
  <c r="F19" i="10"/>
  <c r="B55" i="9"/>
  <c r="G29" i="15"/>
  <c r="I15" i="10"/>
  <c r="I50" i="10"/>
  <c r="B35" i="15"/>
  <c r="D39" i="15"/>
  <c r="K17" i="10"/>
  <c r="D33" i="15"/>
  <c r="B51" i="10"/>
  <c r="E33" i="13"/>
  <c r="I12" i="10"/>
  <c r="E53" i="9"/>
  <c r="E13" i="9"/>
  <c r="E39" i="9"/>
  <c r="H52" i="10"/>
  <c r="G9" i="15"/>
  <c r="G41" i="13"/>
  <c r="G27" i="13"/>
  <c r="G42" i="13"/>
  <c r="G54" i="9"/>
  <c r="D50" i="15"/>
  <c r="K12" i="10"/>
  <c r="D16" i="9"/>
  <c r="E42" i="15"/>
  <c r="G24" i="9"/>
  <c r="L27" i="10"/>
  <c r="E25" i="13"/>
  <c r="G36" i="15"/>
  <c r="G29" i="13"/>
  <c r="G35" i="15"/>
  <c r="E35" i="15"/>
  <c r="D41" i="13"/>
  <c r="G27" i="9"/>
  <c r="G12" i="13"/>
  <c r="K56" i="10"/>
  <c r="B19" i="10"/>
  <c r="G32" i="15"/>
  <c r="E29" i="9"/>
  <c r="I28" i="10"/>
  <c r="F36" i="10"/>
  <c r="F17" i="10"/>
  <c r="K21" i="10"/>
  <c r="B31" i="10"/>
  <c r="E12" i="9"/>
  <c r="B45" i="13"/>
  <c r="G30" i="13"/>
  <c r="E20" i="13"/>
  <c r="F9" i="10"/>
  <c r="G23" i="13"/>
  <c r="E37" i="9"/>
  <c r="G46" i="13"/>
  <c r="H11" i="10"/>
  <c r="G38" i="15"/>
  <c r="G40" i="9"/>
  <c r="K29" i="10"/>
  <c r="G52" i="13"/>
  <c r="L43" i="10"/>
  <c r="H50" i="10"/>
  <c r="I11" i="10"/>
  <c r="K14" i="10"/>
  <c r="I48" i="10"/>
  <c r="E45" i="9"/>
  <c r="D15" i="9"/>
  <c r="B34" i="9"/>
  <c r="D44" i="9"/>
  <c r="K22" i="10"/>
  <c r="I9" i="10"/>
  <c r="K20" i="10"/>
  <c r="H25" i="10"/>
  <c r="F32" i="10"/>
  <c r="C15" i="10"/>
  <c r="D21" i="9"/>
  <c r="G23" i="9"/>
  <c r="B42" i="15"/>
  <c r="G34" i="9"/>
  <c r="B30" i="9"/>
  <c r="B18" i="15"/>
  <c r="G16" i="9"/>
  <c r="H51" i="10"/>
  <c r="E30" i="13"/>
  <c r="G25" i="15"/>
  <c r="B50" i="13"/>
  <c r="D40" i="13"/>
  <c r="B40" i="9"/>
  <c r="C41" i="10"/>
  <c r="K48" i="10"/>
  <c r="D19" i="15"/>
  <c r="E37" i="10"/>
  <c r="B49" i="13"/>
  <c r="G24" i="13"/>
  <c r="F51" i="10"/>
  <c r="E9" i="13"/>
  <c r="F30" i="10"/>
  <c r="F33" i="10"/>
  <c r="C14" i="10"/>
  <c r="E13" i="13"/>
  <c r="D49" i="13"/>
  <c r="K40" i="10"/>
  <c r="B24" i="15"/>
  <c r="B46" i="15"/>
  <c r="D34" i="15"/>
  <c r="B53" i="10"/>
  <c r="K54" i="10"/>
  <c r="E36" i="13"/>
  <c r="B20" i="9"/>
  <c r="B50" i="15"/>
  <c r="B17" i="15"/>
  <c r="E43" i="10"/>
  <c r="D8" i="9"/>
  <c r="D48" i="15"/>
  <c r="D27" i="9"/>
  <c r="G24" i="15"/>
  <c r="D21" i="15"/>
  <c r="L20" i="10"/>
  <c r="E34" i="15"/>
  <c r="E50" i="15"/>
  <c r="H42" i="10"/>
  <c r="E50" i="10"/>
  <c r="B30" i="10"/>
  <c r="H55" i="10"/>
  <c r="D27" i="15"/>
  <c r="G49" i="13"/>
  <c r="E53" i="15"/>
  <c r="G26" i="13"/>
  <c r="G54" i="13"/>
  <c r="E44" i="13"/>
  <c r="E10" i="10"/>
  <c r="B26" i="9"/>
  <c r="H34" i="10"/>
  <c r="E21" i="15"/>
  <c r="E34" i="9"/>
  <c r="I20" i="10"/>
  <c r="B29" i="10"/>
  <c r="E32" i="10"/>
  <c r="D8" i="13"/>
  <c r="K43" i="10"/>
  <c r="E26" i="13"/>
  <c r="D33" i="13"/>
  <c r="E48" i="15"/>
  <c r="C19" i="10"/>
  <c r="B25" i="15"/>
  <c r="E40" i="15"/>
  <c r="E28" i="15"/>
  <c r="G18" i="13"/>
  <c r="C16" i="10"/>
  <c r="D46" i="13"/>
  <c r="L32" i="10"/>
  <c r="B45" i="10"/>
  <c r="I54" i="10"/>
  <c r="E32" i="9"/>
  <c r="H21" i="10"/>
  <c r="E44" i="15"/>
  <c r="E23" i="13"/>
  <c r="D20" i="15"/>
  <c r="C36" i="10"/>
  <c r="D22" i="13"/>
  <c r="E28" i="13"/>
  <c r="D42" i="9"/>
  <c r="E46" i="9"/>
  <c r="I44" i="10"/>
  <c r="G31" i="13"/>
  <c r="B28" i="10"/>
  <c r="I13" i="10"/>
  <c r="B46" i="10"/>
  <c r="H28" i="10"/>
  <c r="H40" i="10"/>
  <c r="H22" i="10"/>
  <c r="E27" i="15"/>
  <c r="D24" i="9"/>
  <c r="D19" i="13"/>
  <c r="G55" i="9"/>
  <c r="D35" i="9"/>
  <c r="D23" i="15"/>
  <c r="B26" i="15"/>
  <c r="G45" i="15"/>
  <c r="D45" i="9"/>
  <c r="B12" i="9"/>
  <c r="B54" i="15"/>
  <c r="E41" i="10"/>
  <c r="E44" i="10"/>
  <c r="D50" i="9"/>
  <c r="B44" i="13"/>
  <c r="E14" i="13"/>
  <c r="E47" i="15"/>
  <c r="L37" i="10"/>
  <c r="B47" i="15"/>
  <c r="B55" i="15"/>
  <c r="E31" i="13"/>
  <c r="G50" i="13"/>
  <c r="B52" i="9"/>
  <c r="B19" i="15"/>
  <c r="C34" i="10"/>
  <c r="G41" i="15"/>
  <c r="I29" i="10"/>
  <c r="E42" i="9"/>
  <c r="H27" i="10"/>
  <c r="G19" i="15"/>
  <c r="B41" i="15"/>
  <c r="E50" i="13"/>
  <c r="B29" i="15"/>
  <c r="E16" i="10"/>
  <c r="E22" i="10"/>
  <c r="B53" i="13"/>
  <c r="E15" i="10"/>
  <c r="B32" i="10"/>
  <c r="G50" i="9"/>
  <c r="F41" i="10"/>
  <c r="G54" i="15"/>
  <c r="L10" i="10"/>
  <c r="B10" i="15"/>
  <c r="D20" i="9"/>
  <c r="D48" i="13"/>
  <c r="E47" i="9"/>
  <c r="E35" i="13"/>
  <c r="L50" i="10"/>
  <c r="F16" i="10"/>
  <c r="G43" i="15"/>
  <c r="L18" i="10"/>
  <c r="L28" i="10"/>
  <c r="L38" i="10"/>
  <c r="B8" i="15"/>
  <c r="D38" i="15"/>
  <c r="K35" i="10"/>
  <c r="I30" i="10"/>
  <c r="E42" i="13"/>
  <c r="E8" i="15"/>
  <c r="E42" i="10"/>
  <c r="H16" i="10"/>
  <c r="B37" i="15"/>
  <c r="E52" i="10"/>
  <c r="B43" i="13"/>
  <c r="E27" i="13"/>
  <c r="D39" i="13"/>
  <c r="G48" i="15"/>
  <c r="D34" i="13"/>
  <c r="I24" i="10"/>
  <c r="C43" i="10"/>
  <c r="B23" i="15"/>
  <c r="B47" i="9"/>
  <c r="L55" i="10"/>
  <c r="G13" i="13"/>
  <c r="I37" i="10"/>
  <c r="G47" i="15"/>
  <c r="G33" i="13"/>
  <c r="E49" i="9"/>
  <c r="C52" i="10"/>
  <c r="E27" i="10"/>
  <c r="G10" i="13"/>
  <c r="B41" i="13"/>
  <c r="B38" i="9"/>
  <c r="G34" i="15"/>
  <c r="D13" i="13"/>
  <c r="I34" i="10"/>
  <c r="L14" i="10"/>
  <c r="G17" i="15"/>
  <c r="F47" i="10"/>
  <c r="D27" i="13"/>
  <c r="F39" i="10"/>
  <c r="D29" i="15"/>
  <c r="F40" i="10"/>
  <c r="F38" i="10"/>
  <c r="B39" i="15"/>
  <c r="E15" i="9"/>
  <c r="G9" i="13"/>
  <c r="B55" i="13"/>
  <c r="E23" i="9"/>
  <c r="D9" i="9"/>
  <c r="E38" i="9"/>
  <c r="E28" i="9"/>
  <c r="K24" i="10"/>
  <c r="B11" i="10"/>
  <c r="B21" i="13"/>
  <c r="D44" i="13"/>
  <c r="E11" i="13"/>
  <c r="H53" i="10"/>
  <c r="C55" i="10"/>
  <c r="B12" i="15"/>
  <c r="B49" i="15"/>
  <c r="H43" i="10"/>
  <c r="H47" i="10"/>
  <c r="E8" i="13"/>
  <c r="D35" i="13"/>
  <c r="E38" i="13"/>
  <c r="B33" i="13"/>
  <c r="G51" i="13"/>
  <c r="E15" i="13"/>
  <c r="C28" i="10"/>
  <c r="B10" i="13"/>
  <c r="D25" i="9"/>
  <c r="E26" i="15"/>
  <c r="L33" i="10"/>
  <c r="B32" i="13"/>
  <c r="E21" i="9"/>
  <c r="C10" i="10"/>
  <c r="E12" i="15"/>
  <c r="B17" i="13"/>
  <c r="E19" i="9"/>
  <c r="D46" i="9"/>
  <c r="B13" i="13"/>
  <c r="E54" i="9"/>
  <c r="D9" i="15"/>
  <c r="B14" i="9"/>
  <c r="I10" i="10"/>
  <c r="E9" i="10"/>
  <c r="E54" i="10"/>
  <c r="B36" i="10"/>
  <c r="H24" i="10"/>
  <c r="C39" i="10"/>
  <c r="L56" i="10"/>
  <c r="G28" i="15"/>
  <c r="G12" i="9"/>
  <c r="E39" i="15"/>
  <c r="F50" i="10"/>
  <c r="C46" i="10"/>
  <c r="G21" i="15"/>
  <c r="C33" i="10"/>
  <c r="F14" i="10"/>
  <c r="H18" i="10"/>
  <c r="D39" i="9"/>
  <c r="K33" i="10"/>
  <c r="D10" i="13"/>
  <c r="D54" i="15"/>
  <c r="H19" i="10"/>
  <c r="L11" i="10"/>
  <c r="B42" i="13"/>
  <c r="B22" i="15"/>
  <c r="E36" i="10"/>
  <c r="C54" i="10"/>
  <c r="D47" i="9"/>
  <c r="F53" i="10"/>
  <c r="D55" i="9"/>
  <c r="G21" i="9"/>
  <c r="E14" i="15"/>
  <c r="E46" i="13"/>
  <c r="E10" i="9"/>
  <c r="G18" i="15"/>
  <c r="C31" i="10"/>
  <c r="B21" i="9"/>
  <c r="B13" i="15"/>
  <c r="G39" i="15"/>
  <c r="G52" i="15"/>
  <c r="H12" i="10"/>
  <c r="C25" i="10"/>
  <c r="E19" i="10"/>
  <c r="G36" i="9"/>
  <c r="L24" i="10"/>
  <c r="G8" i="13"/>
  <c r="H44" i="10"/>
  <c r="G37" i="9"/>
  <c r="E19" i="13"/>
  <c r="G8" i="9"/>
  <c r="B20" i="13"/>
  <c r="F37" i="10"/>
  <c r="B11" i="15"/>
  <c r="E37" i="15"/>
  <c r="D26" i="9"/>
  <c r="I55" i="10"/>
  <c r="D44" i="15"/>
  <c r="E9" i="15"/>
  <c r="G14" i="13"/>
  <c r="K41" i="10"/>
  <c r="E16" i="9"/>
  <c r="B42" i="10"/>
  <c r="B42" i="12" l="1"/>
  <c r="E16" i="11"/>
  <c r="K41" i="12"/>
  <c r="G14" i="14"/>
  <c r="E9" i="16"/>
  <c r="D44" i="16"/>
  <c r="I55" i="12"/>
  <c r="D26" i="11"/>
  <c r="E37" i="16"/>
  <c r="B11" i="16"/>
  <c r="F37" i="12"/>
  <c r="B20" i="14"/>
  <c r="G8" i="11"/>
  <c r="E19" i="14"/>
  <c r="G37" i="11"/>
  <c r="H44" i="12"/>
  <c r="G8" i="14"/>
  <c r="L24" i="12"/>
  <c r="G36" i="11"/>
  <c r="E19" i="12"/>
  <c r="C25" i="12"/>
  <c r="H12" i="12"/>
  <c r="G52" i="16"/>
  <c r="G39" i="16"/>
  <c r="B13" i="16"/>
  <c r="B21" i="11"/>
  <c r="C31" i="12"/>
  <c r="G18" i="16"/>
  <c r="E10" i="11"/>
  <c r="E46" i="14"/>
  <c r="E14" i="16"/>
  <c r="G21" i="11"/>
  <c r="D55" i="11"/>
  <c r="F53" i="12"/>
  <c r="D47" i="11"/>
  <c r="C54" i="12"/>
  <c r="E36" i="12"/>
  <c r="B22" i="16"/>
  <c r="B42" i="14"/>
  <c r="L11" i="12"/>
  <c r="H19" i="12"/>
  <c r="D54" i="16"/>
  <c r="D10" i="14"/>
  <c r="K33" i="12"/>
  <c r="D39" i="11"/>
  <c r="H18" i="12"/>
  <c r="F14" i="12"/>
  <c r="C33" i="12"/>
  <c r="G21" i="16"/>
  <c r="C46" i="12"/>
  <c r="F50" i="12"/>
  <c r="E39" i="16"/>
  <c r="G12" i="11"/>
  <c r="G28" i="16"/>
  <c r="L56" i="12"/>
  <c r="C39" i="12"/>
  <c r="H24" i="12"/>
  <c r="B36" i="12"/>
  <c r="E54" i="12"/>
  <c r="E9" i="12"/>
  <c r="I10" i="12"/>
  <c r="B14" i="11"/>
  <c r="D9" i="16"/>
  <c r="E54" i="11"/>
  <c r="B13" i="14"/>
  <c r="D46" i="11"/>
  <c r="E19" i="11"/>
  <c r="B17" i="14"/>
  <c r="E12" i="16"/>
  <c r="C10" i="12"/>
  <c r="E21" i="11"/>
  <c r="B32" i="14"/>
  <c r="L33" i="12"/>
  <c r="E26" i="16"/>
  <c r="D25" i="11"/>
  <c r="B10" i="14"/>
  <c r="C28" i="12"/>
  <c r="E15" i="14"/>
  <c r="G51" i="14"/>
  <c r="B33" i="14"/>
  <c r="E38" i="14"/>
  <c r="D35" i="14"/>
  <c r="E8" i="14"/>
  <c r="H47" i="12"/>
  <c r="H43" i="12"/>
  <c r="B49" i="16"/>
  <c r="B12" i="16"/>
  <c r="C55" i="12"/>
  <c r="H53" i="12"/>
  <c r="E11" i="14"/>
  <c r="D44" i="14"/>
  <c r="B21" i="14"/>
  <c r="B11" i="12"/>
  <c r="K24" i="12"/>
  <c r="E28" i="11"/>
  <c r="E38" i="11"/>
  <c r="D9" i="11"/>
  <c r="E23" i="11"/>
  <c r="B55" i="14"/>
  <c r="G9" i="14"/>
  <c r="E15" i="11"/>
  <c r="B39" i="16"/>
  <c r="F38" i="12"/>
  <c r="F40" i="12"/>
  <c r="D29" i="16"/>
  <c r="F39" i="12"/>
  <c r="D27" i="14"/>
  <c r="F47" i="12"/>
  <c r="G17" i="16"/>
  <c r="L14" i="12"/>
  <c r="I34" i="12"/>
  <c r="D13" i="14"/>
  <c r="G34" i="16"/>
  <c r="B38" i="11"/>
  <c r="B41" i="14"/>
  <c r="G10" i="14"/>
  <c r="E27" i="12"/>
  <c r="C52" i="12"/>
  <c r="E49" i="11"/>
  <c r="G33" i="14"/>
  <c r="G47" i="16"/>
  <c r="I37" i="12"/>
  <c r="G13" i="14"/>
  <c r="L55" i="12"/>
  <c r="B47" i="11"/>
  <c r="B23" i="16"/>
  <c r="C43" i="12"/>
  <c r="I24" i="12"/>
  <c r="D34" i="14"/>
  <c r="G48" i="16"/>
  <c r="D39" i="14"/>
  <c r="E27" i="14"/>
  <c r="B43" i="14"/>
  <c r="E52" i="12"/>
  <c r="B37" i="16"/>
  <c r="H16" i="12"/>
  <c r="E42" i="12"/>
  <c r="E8" i="16"/>
  <c r="E42" i="14"/>
  <c r="I30" i="12"/>
  <c r="K35" i="12"/>
  <c r="D38" i="16"/>
  <c r="B8" i="16"/>
  <c r="L38" i="12"/>
  <c r="L28" i="12"/>
  <c r="L18" i="12"/>
  <c r="G43" i="16"/>
  <c r="F16" i="12"/>
  <c r="L50" i="12"/>
  <c r="E35" i="14"/>
  <c r="E47" i="11"/>
  <c r="D48" i="14"/>
  <c r="D20" i="11"/>
  <c r="B10" i="16"/>
  <c r="L10" i="12"/>
  <c r="G54" i="16"/>
  <c r="F41" i="12"/>
  <c r="G50" i="11"/>
  <c r="B32" i="12"/>
  <c r="E15" i="12"/>
  <c r="B53" i="14"/>
  <c r="E22" i="12"/>
  <c r="E16" i="12"/>
  <c r="B29" i="16"/>
  <c r="E50" i="14"/>
  <c r="B41" i="16"/>
  <c r="G19" i="16"/>
  <c r="H27" i="12"/>
  <c r="E42" i="11"/>
  <c r="I29" i="12"/>
  <c r="G41" i="16"/>
  <c r="C34" i="12"/>
  <c r="B19" i="16"/>
  <c r="B52" i="11"/>
  <c r="G50" i="14"/>
  <c r="E31" i="14"/>
  <c r="B55" i="16"/>
  <c r="B47" i="16"/>
  <c r="L37" i="12"/>
  <c r="E47" i="16"/>
  <c r="E14" i="14"/>
  <c r="B44" i="14"/>
  <c r="D50" i="11"/>
  <c r="E44" i="12"/>
  <c r="E41" i="12"/>
  <c r="B54" i="16"/>
  <c r="B12" i="11"/>
  <c r="D45" i="11"/>
  <c r="G45" i="16"/>
  <c r="B26" i="16"/>
  <c r="D23" i="16"/>
  <c r="D35" i="11"/>
  <c r="G55" i="11"/>
  <c r="D19" i="14"/>
  <c r="D24" i="11"/>
  <c r="E27" i="16"/>
  <c r="H22" i="12"/>
  <c r="H40" i="12"/>
  <c r="H28" i="12"/>
  <c r="B46" i="12"/>
  <c r="I13" i="12"/>
  <c r="B28" i="12"/>
  <c r="G31" i="14"/>
  <c r="I44" i="12"/>
  <c r="E46" i="11"/>
  <c r="D42" i="11"/>
  <c r="E28" i="14"/>
  <c r="D22" i="14"/>
  <c r="C36" i="12"/>
  <c r="D20" i="16"/>
  <c r="E23" i="14"/>
  <c r="E44" i="16"/>
  <c r="H21" i="12"/>
  <c r="E32" i="11"/>
  <c r="I54" i="12"/>
  <c r="B45" i="12"/>
  <c r="L32" i="12"/>
  <c r="D46" i="14"/>
  <c r="C16" i="12"/>
  <c r="G18" i="14"/>
  <c r="E28" i="16"/>
  <c r="E40" i="16"/>
  <c r="B25" i="16"/>
  <c r="C19" i="12"/>
  <c r="E48" i="16"/>
  <c r="D33" i="14"/>
  <c r="E26" i="14"/>
  <c r="K43" i="12"/>
  <c r="D8" i="14"/>
  <c r="E32" i="12"/>
  <c r="B29" i="12"/>
  <c r="I20" i="12"/>
  <c r="E34" i="11"/>
  <c r="E21" i="16"/>
  <c r="H34" i="12"/>
  <c r="B26" i="11"/>
  <c r="E10" i="12"/>
  <c r="E44" i="14"/>
  <c r="G54" i="14"/>
  <c r="G26" i="14"/>
  <c r="E53" i="16"/>
  <c r="G49" i="14"/>
  <c r="D27" i="16"/>
  <c r="H55" i="12"/>
  <c r="B30" i="12"/>
  <c r="E50" i="12"/>
  <c r="H42" i="12"/>
  <c r="E50" i="16"/>
  <c r="E34" i="16"/>
  <c r="L20" i="12"/>
  <c r="D21" i="16"/>
  <c r="G24" i="16"/>
  <c r="D27" i="11"/>
  <c r="D48" i="16"/>
  <c r="D8" i="11"/>
  <c r="E43" i="12"/>
  <c r="B17" i="16"/>
  <c r="B50" i="16"/>
  <c r="B20" i="11"/>
  <c r="E36" i="14"/>
  <c r="K54" i="12"/>
  <c r="B53" i="12"/>
  <c r="D34" i="16"/>
  <c r="B46" i="16"/>
  <c r="B24" i="16"/>
  <c r="K40" i="12"/>
  <c r="D49" i="14"/>
  <c r="E13" i="14"/>
  <c r="C14" i="12"/>
  <c r="F33" i="12"/>
  <c r="F30" i="12"/>
  <c r="E9" i="14"/>
  <c r="F51" i="12"/>
  <c r="G24" i="14"/>
  <c r="B49" i="14"/>
  <c r="E37" i="12"/>
  <c r="D19" i="16"/>
  <c r="K48" i="12"/>
  <c r="C41" i="12"/>
  <c r="B40" i="11"/>
  <c r="D40" i="14"/>
  <c r="B50" i="14"/>
  <c r="G25" i="16"/>
  <c r="E30" i="14"/>
  <c r="H51" i="12"/>
  <c r="G16" i="11"/>
  <c r="B18" i="16"/>
  <c r="B30" i="11"/>
  <c r="G34" i="11"/>
  <c r="B42" i="16"/>
  <c r="G23" i="11"/>
  <c r="D21" i="11"/>
  <c r="C15" i="12"/>
  <c r="F32" i="12"/>
  <c r="H25" i="12"/>
  <c r="K20" i="12"/>
  <c r="I9" i="12"/>
  <c r="K22" i="12"/>
  <c r="D44" i="11"/>
  <c r="B34" i="11"/>
  <c r="D15" i="11"/>
  <c r="E45" i="11"/>
  <c r="I48" i="12"/>
  <c r="K14" i="12"/>
  <c r="I11" i="12"/>
  <c r="H50" i="12"/>
  <c r="L43" i="12"/>
  <c r="G52" i="14"/>
  <c r="K29" i="12"/>
  <c r="G40" i="11"/>
  <c r="G38" i="16"/>
  <c r="H11" i="12"/>
  <c r="G46" i="14"/>
  <c r="E37" i="11"/>
  <c r="G23" i="14"/>
  <c r="F9" i="12"/>
  <c r="E20" i="14"/>
  <c r="G30" i="14"/>
  <c r="B45" i="14"/>
  <c r="E12" i="11"/>
  <c r="B31" i="12"/>
  <c r="K21" i="12"/>
  <c r="F17" i="12"/>
  <c r="F36" i="12"/>
  <c r="I28" i="12"/>
  <c r="E29" i="11"/>
  <c r="G32" i="16"/>
  <c r="B19" i="12"/>
  <c r="K56" i="12"/>
  <c r="G12" i="14"/>
  <c r="G27" i="11"/>
  <c r="D41" i="14"/>
  <c r="E35" i="16"/>
  <c r="G35" i="16"/>
  <c r="G29" i="14"/>
  <c r="G36" i="16"/>
  <c r="E25" i="14"/>
  <c r="L27" i="12"/>
  <c r="G24" i="11"/>
  <c r="E42" i="16"/>
  <c r="D16" i="11"/>
  <c r="K12" i="12"/>
  <c r="D50" i="16"/>
  <c r="G54" i="11"/>
  <c r="G42" i="14"/>
  <c r="G27" i="14"/>
  <c r="G41" i="14"/>
  <c r="G9" i="16"/>
  <c r="H52" i="12"/>
  <c r="E39" i="11"/>
  <c r="E13" i="11"/>
  <c r="E53" i="11"/>
  <c r="I12" i="12"/>
  <c r="E33" i="14"/>
  <c r="B51" i="12"/>
  <c r="D33" i="16"/>
  <c r="K17" i="12"/>
  <c r="D39" i="16"/>
  <c r="B35" i="16"/>
  <c r="I50" i="12"/>
  <c r="I15" i="12"/>
  <c r="G29" i="16"/>
  <c r="B55" i="11"/>
  <c r="F19" i="12"/>
  <c r="B43" i="16"/>
  <c r="E31" i="12"/>
  <c r="B30" i="16"/>
  <c r="E51" i="11"/>
  <c r="G11" i="11"/>
  <c r="G25" i="14"/>
  <c r="G19" i="14"/>
  <c r="B39" i="11"/>
  <c r="E56" i="12"/>
  <c r="D33" i="11"/>
  <c r="B44" i="11"/>
  <c r="D45" i="16"/>
  <c r="G32" i="14"/>
  <c r="D26" i="16"/>
  <c r="I36" i="12"/>
  <c r="L40" i="12"/>
  <c r="E15" i="16"/>
  <c r="L9" i="12"/>
  <c r="B18" i="14"/>
  <c r="E24" i="12"/>
  <c r="E36" i="16"/>
  <c r="F12" i="12"/>
  <c r="L29" i="12"/>
  <c r="I40" i="12"/>
  <c r="F21" i="12"/>
  <c r="L22" i="12"/>
  <c r="B39" i="12"/>
  <c r="G28" i="11"/>
  <c r="E10" i="14"/>
  <c r="B27" i="12"/>
  <c r="E29" i="16"/>
  <c r="K27" i="12"/>
  <c r="I32" i="12"/>
  <c r="C13" i="12"/>
  <c r="D28" i="16"/>
  <c r="L19" i="12"/>
  <c r="F45" i="12"/>
  <c r="D49" i="16"/>
  <c r="B53" i="11"/>
  <c r="C26" i="12"/>
  <c r="L45" i="12"/>
  <c r="D28" i="11"/>
  <c r="D30" i="14"/>
  <c r="E48" i="14"/>
  <c r="C45" i="12"/>
  <c r="C38" i="12"/>
  <c r="B47" i="12"/>
  <c r="B23" i="11"/>
  <c r="G55" i="14"/>
  <c r="D14" i="11"/>
  <c r="K15" i="12"/>
  <c r="D9" i="14"/>
  <c r="L36" i="12"/>
  <c r="D17" i="11"/>
  <c r="B26" i="12"/>
  <c r="E39" i="12"/>
  <c r="D24" i="14"/>
  <c r="E20" i="16"/>
  <c r="B56" i="12"/>
  <c r="K51" i="12"/>
  <c r="B51" i="16"/>
  <c r="G27" i="16"/>
  <c r="K47" i="12"/>
  <c r="K37" i="12"/>
  <c r="G20" i="11"/>
  <c r="B17" i="12"/>
  <c r="D16" i="16"/>
  <c r="E55" i="16"/>
  <c r="D31" i="16"/>
  <c r="H26" i="12"/>
  <c r="B27" i="11"/>
  <c r="H48" i="12"/>
  <c r="G18" i="11"/>
  <c r="B13" i="12"/>
  <c r="G53" i="11"/>
  <c r="L48" i="12"/>
  <c r="B11" i="11"/>
  <c r="H36" i="12"/>
  <c r="F20" i="12"/>
  <c r="E52" i="14"/>
  <c r="B15" i="12"/>
  <c r="K11" i="12"/>
  <c r="B44" i="12"/>
  <c r="B11" i="14"/>
  <c r="D10" i="11"/>
  <c r="E22" i="14"/>
  <c r="B42" i="11"/>
  <c r="C20" i="12"/>
  <c r="C40" i="12"/>
  <c r="G11" i="14"/>
  <c r="G33" i="11"/>
  <c r="E10" i="16"/>
  <c r="E17" i="14"/>
  <c r="E45" i="12"/>
  <c r="D18" i="16"/>
  <c r="G12" i="16"/>
  <c r="E50" i="11"/>
  <c r="D15" i="14"/>
  <c r="H15" i="12"/>
  <c r="E37" i="14"/>
  <c r="G30" i="16"/>
  <c r="D15" i="16"/>
  <c r="E12" i="12"/>
  <c r="B9" i="12"/>
  <c r="B20" i="12"/>
  <c r="G42" i="16"/>
  <c r="K53" i="12"/>
  <c r="G53" i="16"/>
  <c r="I47" i="12"/>
  <c r="D54" i="14"/>
  <c r="D18" i="11"/>
  <c r="F43" i="12"/>
  <c r="B33" i="11"/>
  <c r="D51" i="14"/>
  <c r="E32" i="16"/>
  <c r="C47" i="12"/>
  <c r="I43" i="12"/>
  <c r="E40" i="11"/>
  <c r="D32" i="11"/>
  <c r="E53" i="12"/>
  <c r="B24" i="14"/>
  <c r="G16" i="14"/>
  <c r="G52" i="11"/>
  <c r="G14" i="11"/>
  <c r="D41" i="11"/>
  <c r="G35" i="14"/>
  <c r="E47" i="14"/>
  <c r="B51" i="14"/>
  <c r="G40" i="16"/>
  <c r="B30" i="14"/>
  <c r="G36" i="14"/>
  <c r="I38" i="12"/>
  <c r="C17" i="12"/>
  <c r="B31" i="11"/>
  <c r="I25" i="12"/>
  <c r="I21" i="12"/>
  <c r="E34" i="14"/>
  <c r="D45" i="14"/>
  <c r="B14" i="14"/>
  <c r="D17" i="14"/>
  <c r="L15" i="12"/>
  <c r="B36" i="14"/>
  <c r="H13" i="12"/>
  <c r="E55" i="12"/>
  <c r="I22" i="12"/>
  <c r="D25" i="14"/>
  <c r="G13" i="11"/>
  <c r="C27" i="12"/>
  <c r="B40" i="12"/>
  <c r="I53" i="12"/>
  <c r="B40" i="14"/>
  <c r="E41" i="11"/>
  <c r="D42" i="16"/>
  <c r="B35" i="11"/>
  <c r="G51" i="16"/>
  <c r="E45" i="14"/>
  <c r="G17" i="14"/>
  <c r="D51" i="16"/>
  <c r="G21" i="14"/>
  <c r="H37" i="12"/>
  <c r="H14" i="12"/>
  <c r="B33" i="12"/>
  <c r="E16" i="14"/>
  <c r="L35" i="12"/>
  <c r="G53" i="14"/>
  <c r="B18" i="11"/>
  <c r="F34" i="12"/>
  <c r="E47" i="12"/>
  <c r="C42" i="12"/>
  <c r="B25" i="12"/>
  <c r="K10" i="12"/>
  <c r="G47" i="14"/>
  <c r="H17" i="12"/>
  <c r="B14" i="16"/>
  <c r="H39" i="12"/>
  <c r="F28" i="12"/>
  <c r="B16" i="11"/>
  <c r="B45" i="11"/>
  <c r="G19" i="11"/>
  <c r="I27" i="12"/>
  <c r="E46" i="16"/>
  <c r="K46" i="12"/>
  <c r="L13" i="12"/>
  <c r="H29" i="12"/>
  <c r="C12" i="12"/>
  <c r="L44" i="12"/>
  <c r="K16" i="12"/>
  <c r="E30" i="11"/>
  <c r="B37" i="11"/>
  <c r="E26" i="12"/>
  <c r="D30" i="16"/>
  <c r="G11" i="16"/>
  <c r="I41" i="12"/>
  <c r="B35" i="14"/>
  <c r="D18" i="14"/>
  <c r="G48" i="14"/>
  <c r="D20" i="14"/>
  <c r="B51" i="11"/>
  <c r="B46" i="14"/>
  <c r="F56" i="12"/>
  <c r="F29" i="12"/>
  <c r="B10" i="12"/>
  <c r="B15" i="11"/>
  <c r="B25" i="11"/>
  <c r="E31" i="11"/>
  <c r="D36" i="16"/>
  <c r="I39" i="12"/>
  <c r="I14" i="12"/>
  <c r="E46" i="12"/>
  <c r="D31" i="11"/>
  <c r="E41" i="16"/>
  <c r="F48" i="12"/>
  <c r="C29" i="12"/>
  <c r="H33" i="12"/>
  <c r="B41" i="11"/>
  <c r="B18" i="12"/>
  <c r="K9" i="12"/>
  <c r="I42" i="12"/>
  <c r="D11" i="16"/>
  <c r="G42" i="11"/>
  <c r="G46" i="16"/>
  <c r="G50" i="16"/>
  <c r="B8" i="11"/>
  <c r="G44" i="14"/>
  <c r="D47" i="16"/>
  <c r="D31" i="14"/>
  <c r="E35" i="12"/>
  <c r="E19" i="16"/>
  <c r="E17" i="16"/>
  <c r="E25" i="12"/>
  <c r="B39" i="14"/>
  <c r="L39" i="12"/>
  <c r="B20" i="16"/>
  <c r="D49" i="11"/>
  <c r="L31" i="12"/>
  <c r="B34" i="14"/>
  <c r="D22" i="16"/>
  <c r="E30" i="16"/>
  <c r="E33" i="11"/>
  <c r="G46" i="11"/>
  <c r="B24" i="12"/>
  <c r="D14" i="16"/>
  <c r="B38" i="16"/>
  <c r="D36" i="14"/>
  <c r="D43" i="16"/>
  <c r="D19" i="11"/>
  <c r="E17" i="11"/>
  <c r="D11" i="11"/>
  <c r="F22" i="12"/>
  <c r="E9" i="11"/>
  <c r="B46" i="11"/>
  <c r="D40" i="11"/>
  <c r="L51" i="12"/>
  <c r="E26" i="11"/>
  <c r="B40" i="16"/>
  <c r="D43" i="14"/>
  <c r="L16" i="12"/>
  <c r="K38" i="12"/>
  <c r="E49" i="16"/>
  <c r="B26" i="14"/>
  <c r="K28" i="12"/>
  <c r="B52" i="14"/>
  <c r="B15" i="14"/>
  <c r="K50" i="12"/>
  <c r="D38" i="11"/>
  <c r="C9" i="12"/>
  <c r="I45" i="12"/>
  <c r="I31" i="12"/>
  <c r="E53" i="14"/>
  <c r="B44" i="16"/>
  <c r="B13" i="11"/>
  <c r="D37" i="16"/>
  <c r="K55" i="12"/>
  <c r="E14" i="12"/>
  <c r="D23" i="11"/>
  <c r="L53" i="12"/>
  <c r="D38" i="14"/>
  <c r="B29" i="11"/>
  <c r="E44" i="11"/>
  <c r="B34" i="16"/>
  <c r="B49" i="11"/>
  <c r="H54" i="12"/>
  <c r="I51" i="12"/>
  <c r="F35" i="12"/>
  <c r="F54" i="12"/>
  <c r="E54" i="14"/>
  <c r="E20" i="12"/>
  <c r="G31" i="16"/>
  <c r="G22" i="16"/>
  <c r="H41" i="12"/>
  <c r="E51" i="14"/>
  <c r="C51" i="12"/>
  <c r="K30" i="12"/>
  <c r="D36" i="11"/>
  <c r="E40" i="12"/>
  <c r="G13" i="16"/>
  <c r="E32" i="14"/>
  <c r="H20" i="12"/>
  <c r="C48" i="12"/>
  <c r="H10" i="12"/>
  <c r="E43" i="16"/>
  <c r="G45" i="14"/>
  <c r="E39" i="14"/>
  <c r="E40" i="14"/>
  <c r="B31" i="16"/>
  <c r="G38" i="11"/>
  <c r="E38" i="12"/>
  <c r="E21" i="12"/>
  <c r="E12" i="14"/>
  <c r="E49" i="14"/>
  <c r="D53" i="14"/>
  <c r="I26" i="12"/>
  <c r="B28" i="11"/>
  <c r="F52" i="12"/>
  <c r="B48" i="16"/>
  <c r="G44" i="16"/>
  <c r="G43" i="14"/>
  <c r="B24" i="11"/>
  <c r="G25" i="11"/>
  <c r="B45" i="16"/>
  <c r="B23" i="14"/>
  <c r="E21" i="14"/>
  <c r="L26" i="12"/>
  <c r="G40" i="14"/>
  <c r="B38" i="12"/>
  <c r="C18" i="12"/>
  <c r="D29" i="14"/>
  <c r="I52" i="12"/>
  <c r="G9" i="11"/>
  <c r="D43" i="11"/>
  <c r="C37" i="12"/>
  <c r="E36" i="11"/>
  <c r="D17" i="16"/>
  <c r="E27" i="11"/>
  <c r="D13" i="11"/>
  <c r="F13" i="12"/>
  <c r="E18" i="12"/>
  <c r="K36" i="12"/>
  <c r="C30" i="12"/>
  <c r="L41" i="12"/>
  <c r="G10" i="16"/>
  <c r="K44" i="12"/>
  <c r="H32" i="12"/>
  <c r="E11" i="11"/>
  <c r="B16" i="14"/>
  <c r="D55" i="14"/>
  <c r="G39" i="14"/>
  <c r="B32" i="16"/>
  <c r="D10" i="16"/>
  <c r="L25" i="12"/>
  <c r="B34" i="12"/>
  <c r="C44" i="12"/>
  <c r="E45" i="16"/>
  <c r="B9" i="16"/>
  <c r="G44" i="11"/>
  <c r="D29" i="11"/>
  <c r="E33" i="12"/>
  <c r="L42" i="12"/>
  <c r="D24" i="16"/>
  <c r="B14" i="12"/>
  <c r="K52" i="12"/>
  <c r="E24" i="11"/>
  <c r="G20" i="16"/>
  <c r="B41" i="12"/>
  <c r="B29" i="14"/>
  <c r="G45" i="11"/>
  <c r="I19" i="12"/>
  <c r="F25" i="12"/>
  <c r="G47" i="11"/>
  <c r="E55" i="11"/>
  <c r="D51" i="11"/>
  <c r="G23" i="16"/>
  <c r="E31" i="16"/>
  <c r="B35" i="12"/>
  <c r="F31" i="12"/>
  <c r="E34" i="12"/>
  <c r="C22" i="12"/>
  <c r="D53" i="11"/>
  <c r="C24" i="12"/>
  <c r="B9" i="14"/>
  <c r="H35" i="12"/>
  <c r="B37" i="14"/>
  <c r="G32" i="11"/>
  <c r="E30" i="12"/>
  <c r="D35" i="16"/>
  <c r="C32" i="12"/>
  <c r="K25" i="12"/>
  <c r="G41" i="11"/>
  <c r="E48" i="12"/>
  <c r="G34" i="14"/>
  <c r="E14" i="11"/>
  <c r="E35" i="11"/>
  <c r="E52" i="11"/>
  <c r="C56" i="12"/>
  <c r="E24" i="14"/>
  <c r="I56" i="12"/>
  <c r="B54" i="12"/>
  <c r="D12" i="14"/>
  <c r="G55" i="16"/>
  <c r="I18" i="12"/>
  <c r="E20" i="11"/>
  <c r="E24" i="16"/>
  <c r="H56" i="12"/>
  <c r="H31" i="12"/>
  <c r="B16" i="12"/>
  <c r="G26" i="16"/>
  <c r="G51" i="11"/>
  <c r="C53" i="12"/>
  <c r="H38" i="12"/>
  <c r="D50" i="14"/>
  <c r="E52" i="16"/>
  <c r="H46" i="12"/>
  <c r="E16" i="16"/>
  <c r="F55" i="12"/>
  <c r="B28" i="16"/>
  <c r="E28" i="12"/>
  <c r="G49" i="11"/>
  <c r="I16" i="12"/>
  <c r="K19" i="12"/>
  <c r="E22" i="16"/>
  <c r="K18" i="12"/>
  <c r="K32" i="12"/>
  <c r="B22" i="12"/>
  <c r="G26" i="11"/>
  <c r="B50" i="11"/>
  <c r="E51" i="12"/>
  <c r="G49" i="16"/>
  <c r="H30" i="12"/>
  <c r="E13" i="16"/>
  <c r="D12" i="11"/>
  <c r="G28" i="14"/>
  <c r="D26" i="14"/>
  <c r="B19" i="14"/>
  <c r="B22" i="14"/>
  <c r="L46" i="12"/>
  <c r="F44" i="12"/>
  <c r="L47" i="12"/>
  <c r="D16" i="14"/>
  <c r="D52" i="11"/>
  <c r="B50" i="12"/>
  <c r="G38" i="14"/>
  <c r="B27" i="16"/>
  <c r="D23" i="14"/>
  <c r="D11" i="14"/>
  <c r="B36" i="16"/>
  <c r="E54" i="16"/>
  <c r="E38" i="16"/>
  <c r="E29" i="14"/>
  <c r="D28" i="14"/>
  <c r="E11" i="12"/>
  <c r="D42" i="14"/>
  <c r="E25" i="16"/>
  <c r="B15" i="16"/>
  <c r="E51" i="16"/>
  <c r="E11" i="16"/>
  <c r="B32" i="11"/>
  <c r="K34" i="12"/>
  <c r="L54" i="12"/>
  <c r="B48" i="12"/>
  <c r="F15" i="12"/>
  <c r="B43" i="11"/>
  <c r="D30" i="11"/>
  <c r="G35" i="11"/>
  <c r="F27" i="12"/>
  <c r="B47" i="14"/>
  <c r="F11" i="12"/>
  <c r="C35" i="12"/>
  <c r="D46" i="16"/>
  <c r="D40" i="16"/>
  <c r="G22" i="14"/>
  <c r="K42" i="12"/>
  <c r="B48" i="14"/>
  <c r="I33" i="12"/>
  <c r="G43" i="11"/>
  <c r="D37" i="14"/>
  <c r="F24" i="12"/>
  <c r="B9" i="11"/>
  <c r="G37" i="14"/>
  <c r="B21" i="12"/>
  <c r="D32" i="16"/>
  <c r="E33" i="16"/>
  <c r="D53" i="16"/>
  <c r="D25" i="16"/>
  <c r="D55" i="16"/>
  <c r="K31" i="12"/>
  <c r="B16" i="16"/>
  <c r="D8" i="16"/>
  <c r="B12" i="12"/>
  <c r="B25" i="14"/>
  <c r="B19" i="11"/>
  <c r="G20" i="14"/>
  <c r="D32" i="14"/>
  <c r="F46" i="12"/>
  <c r="D52" i="16"/>
  <c r="G17" i="11"/>
  <c r="E8" i="11"/>
  <c r="E25" i="11"/>
  <c r="K13" i="12"/>
  <c r="B33" i="16"/>
  <c r="B53" i="16"/>
  <c r="E23" i="16"/>
  <c r="B54" i="14"/>
  <c r="B17" i="11"/>
  <c r="L30" i="12"/>
  <c r="G8" i="16"/>
  <c r="B54" i="11"/>
  <c r="G14" i="16"/>
  <c r="G15" i="11"/>
  <c r="E17" i="12"/>
  <c r="B52" i="16"/>
  <c r="F10" i="12"/>
  <c r="G15" i="14"/>
  <c r="F18" i="12"/>
  <c r="B52" i="12"/>
  <c r="D41" i="16"/>
  <c r="L21" i="12"/>
  <c r="K39" i="12"/>
  <c r="K26" i="12"/>
  <c r="B10" i="11"/>
  <c r="C11" i="12"/>
  <c r="D52" i="14"/>
  <c r="F42" i="12"/>
  <c r="G10" i="11"/>
  <c r="E43" i="11"/>
  <c r="D34" i="11"/>
  <c r="K45" i="12"/>
  <c r="G33" i="16"/>
  <c r="B31" i="14"/>
  <c r="C21" i="12"/>
  <c r="B28" i="14"/>
  <c r="G29" i="11"/>
  <c r="B8" i="14"/>
  <c r="B38" i="14"/>
  <c r="D21" i="14"/>
  <c r="E43" i="14"/>
  <c r="G30" i="11"/>
  <c r="B12" i="14"/>
  <c r="H9" i="12"/>
  <c r="B55" i="12"/>
  <c r="B37" i="12"/>
  <c r="D12" i="16"/>
  <c r="H45" i="12"/>
  <c r="E18" i="16"/>
  <c r="L34" i="12"/>
  <c r="G31" i="11"/>
  <c r="G15" i="16"/>
  <c r="G37" i="16"/>
  <c r="B27" i="14"/>
  <c r="L52" i="12"/>
  <c r="E18" i="14"/>
  <c r="L17" i="12"/>
  <c r="D47" i="14"/>
  <c r="L12" i="12"/>
  <c r="F26" i="12"/>
  <c r="G39" i="11"/>
  <c r="C50" i="12"/>
  <c r="E13" i="12"/>
  <c r="I17" i="12"/>
  <c r="E55" i="14"/>
  <c r="B43" i="12"/>
  <c r="D54" i="11"/>
  <c r="D13" i="16"/>
  <c r="G16" i="16"/>
  <c r="I46" i="12"/>
  <c r="B36" i="11"/>
  <c r="D14" i="14"/>
  <c r="E29" i="12"/>
  <c r="D37" i="11"/>
  <c r="E18" i="11"/>
  <c r="I35" i="12"/>
  <c r="E41" i="14"/>
</calcChain>
</file>

<file path=xl/sharedStrings.xml><?xml version="1.0" encoding="utf-8"?>
<sst xmlns="http://schemas.openxmlformats.org/spreadsheetml/2006/main" count="19828" uniqueCount="287">
  <si>
    <t>Appendix 9a. Total injuries sustained by wholetime and retained duty system firefighters during operational activities, training for operational incidents and routine activities in England at 31 March 2015</t>
  </si>
  <si>
    <t>Total number of personnel injured</t>
  </si>
  <si>
    <r>
      <t>RIDDOR injuries</t>
    </r>
    <r>
      <rPr>
        <vertAlign val="superscript"/>
        <sz val="10"/>
        <rFont val="Arial"/>
        <family val="2"/>
      </rPr>
      <t>1</t>
    </r>
  </si>
  <si>
    <t>Number of 'over 3 day' injuries</t>
  </si>
  <si>
    <r>
      <t>Number of major injuries</t>
    </r>
    <r>
      <rPr>
        <vertAlign val="superscript"/>
        <sz val="10"/>
        <rFont val="Arial"/>
        <family val="2"/>
      </rPr>
      <t>2</t>
    </r>
  </si>
  <si>
    <t>Number of fatal injuries</t>
  </si>
  <si>
    <t>England</t>
  </si>
  <si>
    <t>Non-Metropolitan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</si>
  <si>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</si>
  <si>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</si>
  <si>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</si>
  <si>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</si>
  <si>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</si>
  <si>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</si>
  <si>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</si>
  <si>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</si>
  <si>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</si>
  <si>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</si>
  <si>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&amp; Somerset</t>
  </si>
  <si>
    <t>Dorset</t>
  </si>
  <si>
    <t>Durham</t>
  </si>
  <si>
    <t>East Sussex</t>
  </si>
  <si>
    <t>Essex</t>
  </si>
  <si>
    <t>Gloucestershire</t>
  </si>
  <si>
    <t>Hampshire</t>
  </si>
  <si>
    <t>Hereford &amp; Worcester</t>
  </si>
  <si>
    <t>Hertfordshire</t>
  </si>
  <si>
    <t>Humberside</t>
  </si>
  <si>
    <t>Isle of Wight</t>
  </si>
  <si>
    <t>Kent</t>
  </si>
  <si>
    <t>Lancashire</t>
  </si>
  <si>
    <t>Leicestershire</t>
  </si>
  <si>
    <t>Lincolnshire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</si>
  <si>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</si>
  <si>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</si>
  <si>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</si>
  <si>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</si>
  <si>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</si>
  <si>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</si>
  <si>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</si>
  <si>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</si>
  <si>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</si>
  <si>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</si>
  <si>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</si>
  <si>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</si>
  <si>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Wiltshire</t>
  </si>
  <si>
    <t>Isles of Scilly</t>
  </si>
  <si>
    <t>Metropolitan</t>
  </si>
  <si>
    <t>Greater Manchester</t>
  </si>
  <si>
    <t>Merseyside</t>
  </si>
  <si>
    <t>South Yorkshire</t>
  </si>
  <si>
    <t>Tyne &amp; Wear</t>
  </si>
  <si>
    <t>West Midlands</t>
  </si>
  <si>
    <t>West Yorkshire</t>
  </si>
  <si>
    <t>Greater London</t>
  </si>
  <si>
    <t>1. Reporting of Injuries, Diseases and Dangerous Occurrences Regulations (RIDDOR)</t>
  </si>
  <si>
    <t>2. Reportable major injuries are: fracture other than to fingers, thumbs or toes; amputation; dislocation of the shoulder, hip, knee or spine; loss of sight (temporary or permanent); chemical or hot metal burn to the eye or any penetrating injury to the eye;  injury resulting from an electric shock or electrical burn leading to unconsciousness or requiring resuscitation or admittance to hospital for more than 24 hours; any other injury: leading to hypothermia, heat-induced illness or unconsciousness; or requiring resuscitation; or requiring admittance to hospital for more than 24 hours; unconsciousness caused by asphyxia or exposure to harmful substance or biological agent; acute illness requiring medical treatment, or loss of consciousness arising from absorption of any substance by inhalation, ingestion or through the skin; acute illness requiring medical treatment where there is reason to believe that this resulted from exposure to a biological agent or its toxins or infected material.</t>
  </si>
  <si>
    <t>Source: DCLG Annual Returns</t>
  </si>
  <si>
    <t>Appendix 9b. Injuries sustained by wholetime and retained duty system firefighters during operational incidents in England at 31 March 2015</t>
  </si>
  <si>
    <t>At fires</t>
  </si>
  <si>
    <r>
      <t>At special service incidents</t>
    </r>
    <r>
      <rPr>
        <vertAlign val="superscript"/>
        <sz val="10"/>
        <rFont val="Arial"/>
        <family val="2"/>
      </rPr>
      <t>3</t>
    </r>
  </si>
  <si>
    <t>3. Including road traffic accidents</t>
  </si>
  <si>
    <t>Source:  DCLG Annual Returns</t>
  </si>
  <si>
    <t>Appendix 9c. Injuries sustained by wholetime and retained duty system firefighters during training in England at 31 March 2015</t>
  </si>
  <si>
    <t>Appendix 9d. Injuries sustained by wholetime and retained duty system firefighters during routine activities in England at 31 March 2015</t>
  </si>
  <si>
    <r>
      <t>2. Reportable major injuries are: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fracture other than to fingers, thumbs or toes; amputation; dislocation of the shoulder, hip, knee or spine; loss of sight (temporary or permanent); chemical or hot metal burn to the eye or any penetrating injury to the eye;  injury resulting from an electric shock or electrical burn leading to unconsciousness or requiring resuscitation or admittance to hospital for more than 24 hours; any other injury: leading to hypothermia, heat-induced illness or unconsciousness; or requiring resuscitation; or requiring admittance to hospital for more than 24 hours; unconsciousness caused by asphyxia or exposure to harmful substance or biological agent; acute illness requiring medical treatment, or loss of consciousness arising from absorption of any substance by inhalation, ingestion or through the skin; acute illness requiring medical treatment where there is reason to believe that this resulted from exposure to a biological agent or its toxins or infected material.</t>
    </r>
  </si>
  <si>
    <t>Select a year from the drop-down list in the orange box below:</t>
  </si>
  <si>
    <t>FRA</t>
  </si>
  <si>
    <t>Non Metropolitan fire and rescue authorities</t>
  </si>
  <si>
    <t>Metropolitan fire and rescue authorities</t>
  </si>
  <si>
    <t>2009-10</t>
  </si>
  <si>
    <t>2010-11</t>
  </si>
  <si>
    <t>2011-12</t>
  </si>
  <si>
    <t>2012-13</t>
  </si>
  <si>
    <t>2013-14</t>
  </si>
  <si>
    <t>2014-15</t>
  </si>
  <si>
    <t>2015-16</t>
  </si>
  <si>
    <t>RIDDOR injuries1</t>
  </si>
  <si>
    <t>Number of major injuries2</t>
  </si>
  <si>
    <r>
      <t>RIDDOR injuries</t>
    </r>
    <r>
      <rPr>
        <vertAlign val="superscript"/>
        <sz val="11"/>
        <rFont val="Calibri"/>
        <family val="2"/>
        <scheme val="minor"/>
      </rPr>
      <t>1</t>
    </r>
  </si>
  <si>
    <r>
      <t>Number of major injuries</t>
    </r>
    <r>
      <rPr>
        <vertAlign val="superscript"/>
        <sz val="11"/>
        <rFont val="Calibri"/>
        <family val="2"/>
        <scheme val="minor"/>
      </rPr>
      <t>2</t>
    </r>
  </si>
  <si>
    <t>1 Reporting of Injuries, Diseases and Dangerous Occurrences Regulations (RIDDOR)</t>
  </si>
  <si>
    <t>2 Reportable major injuries are: fracture other than to fingers, thumbs or toes; amputation; dislocation of the shoulder, hip, knee or spine; loss of sight (temporary or permanent); chemical or hot metal burn to the eye or any penetrating injury to the eye;  injury resulting from an electric shock or electrical burn leading to unconsciousness or requiring resuscitation or admittance to hospital for more than 24 hours; any other injury: leading to hypothermia, heat-induced illness or unconsciousness; or requiring resuscitation; or requiring admittance to hospital for more than 24 hours; unconsciousness caused by asphyxia or exposure to harmful substance or biological agent; acute illness requiring medical treatment, or loss of consciousness arising from absorption of any substance by inhalation, ingestion or through the skin; acute illness requiring medical treatment where there is reason to believe that this resulted from exposure to a biological agent or its toxins or infected material.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</si>
  <si>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</si>
  <si>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</si>
  <si>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</si>
  <si>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</si>
  <si>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At special service incidents3</t>
  </si>
  <si>
    <t>Appendix 9a. Total injuries sustained by wholetime and retained duty system firefighters during operational activities, training for operational incidents and routine activities in England at 31 March 2014</t>
  </si>
  <si>
    <t>Appendix 9b. Injuries sustained by wholetime and retained duty system firefighters during operational incidents in England at 31 March 2014</t>
  </si>
  <si>
    <t>Appendix 9c. Injuries sustained by wholetime and retained duty system firefighers during training in England at 31 March 2014</t>
  </si>
  <si>
    <t>Appendix 9d. Injuries sustained by wholetime and retained duty system firefighers during routine activities in England at 31 March 2014</t>
  </si>
  <si>
    <t>Appendix 9a. Total injuries sustained by wholetime and retained duty system firefighters during operational activities, training for operational incidents and routine activities in England at 31 March 2013</t>
  </si>
  <si>
    <t>Appendix 9b. Injuries sustained by wholetime and retained duty system firefighters during operational incidents in England at 31 March 2013</t>
  </si>
  <si>
    <t>Appendix 9c. Injuries sustained by wholetime and retained duty system firefighers during training in England at 31 March 2013</t>
  </si>
  <si>
    <t>Appendix 9d. Injuries sustained by wholetime and retained duty system firefighers during routine activities in England at 31 March 2013</t>
  </si>
  <si>
    <t>Appendix 9a. Total injuries sustained by wholetime and retained duty system firefighters during operational activities, training for operational incidents and routine activities in England, 2011-12</t>
  </si>
  <si>
    <t>Appendix 9b. Injuries sustained by wholetime and retained duty system firefighters during operational incidents in England, 2011-12</t>
  </si>
  <si>
    <t>Appendix 9c. Injuries sustained by wholetime and retained duty system firefighers during training in England, 2011-12</t>
  </si>
  <si>
    <t>Appendix 9d. Injuries sustained by wholetime and retained duty system firefighers during routine activities in England, 2011-12</t>
  </si>
  <si>
    <t>Appendix 9a. Total injuries sustained by wholetime and retained duty system firefighters during operational activities, training for operational incidents and routine activities in England at 31 March 2011</t>
  </si>
  <si>
    <t>Appendix 9b. Injuries sustained by wholetime and retained duty system firefighters during operational incidents in England at 31 March 2011</t>
  </si>
  <si>
    <t>Appendix 9c. Injuries sustained by wholetime and retained duty system firefighers during training in England at 31 March 2011</t>
  </si>
  <si>
    <t>Appendix 9d. Injuries sustained by wholetime and retained duty system firefighers during routine activities in England at 31 March 2011</t>
  </si>
  <si>
    <t xml:space="preserve">Appendix 11a. Total injuries sustained by wholetime and retained duty system firefighters during operational activities, training for operational  incidents and routine activities in England in 2009/10  </t>
  </si>
  <si>
    <t>Number of major injuries</t>
  </si>
  <si>
    <r>
      <t>Hampshire</t>
    </r>
    <r>
      <rPr>
        <vertAlign val="superscript"/>
        <sz val="10"/>
        <rFont val="Arial"/>
        <family val="2"/>
      </rPr>
      <t>2</t>
    </r>
  </si>
  <si>
    <t>2. Figures for major and over 3 days injuries are estimates</t>
  </si>
  <si>
    <t>Reportable major injuries are: fracture other than to fingers, thumbs or toes; amputation; dislocation of the shoulder, hip, knee or spine; loss of sight (temporary or permanent); chemical or hot metal burn to the eye or any penetrating injury to the eye;  injury resulting from an electric shock or electrical burn leading to unconsciousness or requiring resuscitation or admittance to hospital for more than 24 hours; any other injury: leading to hypothermia, heat-induced illness or unconsciousness; or requiring resuscitation; or requiring admittance to hospital for more than 24 hours; unconsciousness caused by asphyxia or exposure to harmful substance or biological agent; acute illness requiring medical treatment, or loss of consciousness arising from absorption of any substance by inhalation, ingestion or through the skin; acute illness requiring medical treatment where there is reason to believe that this resulted from exposure to a biological agent or its toxins or infected material.</t>
  </si>
  <si>
    <t>Source: CLG Annual Returns</t>
  </si>
  <si>
    <t>Appendix 11b. Injuries sustained by wholetime and retained duty system firefighters during operational incidents in England in 2009/10</t>
  </si>
  <si>
    <r>
      <t>At special service incidents</t>
    </r>
    <r>
      <rPr>
        <vertAlign val="superscript"/>
        <sz val="10"/>
        <rFont val="Arial"/>
        <family val="2"/>
      </rPr>
      <t>2</t>
    </r>
  </si>
  <si>
    <t>2. Including road traffic accidents</t>
  </si>
  <si>
    <t>Source:  CLG Annual Returns</t>
  </si>
  <si>
    <t>Appendix 11c. Injuries sustained by wholetime and retained duty system firefighers during training in England in 2009/10</t>
  </si>
  <si>
    <t>Appendix 11d. Injuries sustained by wholetime and retained duty system firefighers during routine activities in England in 2009/10</t>
  </si>
  <si>
    <r>
      <t>Reportable major injuries are: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fracture other than to fingers, thumbs or toes; amputation; dislocation of the shoulder, hip, knee or spine; loss of sight (temporary or permanent); chemical or hot metal burn to the eye or any penetrating injury to the eye;  injury resulting from an electric shock or electrical burn leading to unconsciousness or requiring resuscitation or admittance to hospital for more than 24 hours; any other injury: leading to hypothermia, heat-induced illness or unconsciousness; or requiring resuscitation; or requiring admittance to hospital for more than 24 hours; unconsciousness caused by asphyxia or exposure to harmful substance or biological agent; acute illness requiring medical treatment, or loss of consciousness arising from absorption of any substance by inhalation, ingestion or through the skin; acute illness requiring medical treatment where there is reason to believe that this resulted from exposure to a biological agent or its toxins or infected material.</t>
    </r>
  </si>
  <si>
    <t>Fatalities</t>
  </si>
  <si>
    <t>FIRE STATISTICS TABLE 0508d: Injuries sustained by firefighters and firefighter fatalities, during routine activities, by fire and rescue authority</t>
  </si>
  <si>
    <t>FIRE STATISTICS TABLE 0508c: Injuries sustained by firefighters and firefighter fatalities, during training incidents, by fire and rescue authority</t>
  </si>
  <si>
    <t>FIRE STATISTICS TABLE 0508b: Injuries sustained by firefighters and firefighter fatalities, during operational incidents, by fire and rescue authority</t>
  </si>
  <si>
    <t>FIRE STATISTICS TABLE 0508a: Injuries sustained by firefighters and firefighter fatalities, by fire and rescue authority</t>
  </si>
  <si>
    <t>Dorset &amp; Wiltshire</t>
  </si>
  <si>
    <t>2016-17</t>
  </si>
  <si>
    <t>1 year ago</t>
  </si>
  <si>
    <t>5 years ago</t>
  </si>
  <si>
    <t>All injuries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</si>
  <si>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</si>
  <si>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</si>
  <si>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</si>
  <si>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</si>
  <si>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</si>
  <si>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</si>
  <si>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</si>
  <si>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</si>
  <si>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</si>
  <si>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</si>
  <si>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</si>
  <si>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</si>
  <si>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</si>
  <si>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</si>
  <si>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</si>
  <si>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Operational incidents</t>
  </si>
  <si>
    <t>Training and routine work</t>
  </si>
  <si>
    <t>Operational</t>
  </si>
  <si>
    <t>Major injuries</t>
  </si>
  <si>
    <t>Chart 3: Total injuries to firefighters in England, 2002-03 to 2016/17</t>
  </si>
  <si>
    <t>Vehicle Incidents</t>
  </si>
  <si>
    <t>Source: FIRE STATISTICS TABLE 0508</t>
  </si>
  <si>
    <t>2017-18</t>
  </si>
  <si>
    <t>2017/18</t>
  </si>
  <si>
    <t>Injuries</t>
  </si>
  <si>
    <t>Contact: FireStatistics@homeoffice.gov.uk</t>
  </si>
  <si>
    <t>Pink cells</t>
  </si>
  <si>
    <t>are the ones picked up in the macro</t>
  </si>
  <si>
    <t>red font</t>
  </si>
  <si>
    <t>are the cells you need to check are still correct</t>
  </si>
  <si>
    <t>Link_Start</t>
  </si>
  <si>
    <t>Year</t>
  </si>
  <si>
    <t>Return_Name</t>
  </si>
  <si>
    <t>FRS_Loop</t>
  </si>
  <si>
    <t>Link_End</t>
  </si>
  <si>
    <t>2018_19</t>
  </si>
  <si>
    <t>Devon and Somerset</t>
  </si>
  <si>
    <t>B10</t>
  </si>
  <si>
    <t>\data supplied\HS\HS_</t>
  </si>
  <si>
    <t>HS1</t>
  </si>
  <si>
    <t>HS2</t>
  </si>
  <si>
    <t>B9</t>
  </si>
  <si>
    <t>C9</t>
  </si>
  <si>
    <t>D9</t>
  </si>
  <si>
    <t>E9</t>
  </si>
  <si>
    <t>F9</t>
  </si>
  <si>
    <t>G9</t>
  </si>
  <si>
    <t>B13</t>
  </si>
  <si>
    <t>C13</t>
  </si>
  <si>
    <t>D13</t>
  </si>
  <si>
    <t>E13</t>
  </si>
  <si>
    <t>F13</t>
  </si>
  <si>
    <t>G13</t>
  </si>
  <si>
    <t>B12</t>
  </si>
  <si>
    <t>C12</t>
  </si>
  <si>
    <t>D12</t>
  </si>
  <si>
    <t>E12</t>
  </si>
  <si>
    <t>F12</t>
  </si>
  <si>
    <t>G12</t>
  </si>
  <si>
    <t>B11</t>
  </si>
  <si>
    <t>C11</t>
  </si>
  <si>
    <t>D11</t>
  </si>
  <si>
    <t>E11</t>
  </si>
  <si>
    <t>F11</t>
  </si>
  <si>
    <t>G11</t>
  </si>
  <si>
    <t>C10</t>
  </si>
  <si>
    <t>D10</t>
  </si>
  <si>
    <t>E10</t>
  </si>
  <si>
    <t>F10</t>
  </si>
  <si>
    <t>G10</t>
  </si>
  <si>
    <t>Dorset and Wiltshire</t>
  </si>
  <si>
    <t>Injuries at fires</t>
  </si>
  <si>
    <t>Injuries at road traffic collisions</t>
  </si>
  <si>
    <t>Injuries at other special service incidents</t>
  </si>
  <si>
    <t>Wholetime</t>
  </si>
  <si>
    <t>Retained duty system</t>
  </si>
  <si>
    <t>Number of "Over 7 day injuries"</t>
  </si>
  <si>
    <t>Number of RIDDOR Major injuries</t>
  </si>
  <si>
    <t>Number of fatalities</t>
  </si>
  <si>
    <t>Total shifts lost</t>
  </si>
  <si>
    <t>Operational training</t>
  </si>
  <si>
    <t>Fitness training</t>
  </si>
  <si>
    <t>Injuries during routine activities</t>
  </si>
  <si>
    <t>Non-metropolitan</t>
  </si>
  <si>
    <t>Predominantly Urban</t>
  </si>
  <si>
    <t>Significantly Rural</t>
  </si>
  <si>
    <t>Predominantly Rural</t>
  </si>
  <si>
    <t>Hereford and Worcester</t>
  </si>
  <si>
    <t>Tyne and Wear</t>
  </si>
  <si>
    <t>FRS Name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</si>
  <si>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</si>
  <si>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Met/Non-met category</t>
  </si>
  <si>
    <t>Isle Of Wight</t>
  </si>
  <si>
    <t>Isles Of Scilly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</si>
  <si>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</si>
  <si>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</si>
  <si>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</si>
  <si>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</si>
  <si>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Routine Activities</t>
  </si>
  <si>
    <t>2018/19</t>
  </si>
  <si>
    <t>Training</t>
  </si>
  <si>
    <t>Fires</t>
  </si>
  <si>
    <t>Non fire incidents</t>
  </si>
  <si>
    <t>London - South</t>
  </si>
  <si>
    <t>London - North</t>
  </si>
  <si>
    <t>(No column name)</t>
  </si>
  <si>
    <t>FRS_NAME</t>
  </si>
  <si>
    <t>ORDER BY</t>
  </si>
  <si>
    <t>GROUP BY</t>
  </si>
  <si>
    <t>AND VICTIM_ROLE_CODE IN (1) --Firefighters only</t>
  </si>
  <si>
    <t>AND VICTIM_TYPE_CODE IN (2) --Non fatal casualties only</t>
  </si>
  <si>
    <t>AND IS_PRIMARY_FIRE IN ('Yes')</t>
  </si>
  <si>
    <t>AND ON_ATTENDANCE_INCIDENT_CATEGORY_DESCRIPTION IN ('Fire')</t>
  </si>
  <si>
    <t>AND TER_FRS_ID&lt;'M'</t>
  </si>
  <si>
    <t>AND INCIDENT_STATUS_CODE &gt;55</t>
  </si>
  <si>
    <t xml:space="preserve">FINANCIAL_YEAR IN ('2018/19') </t>
  </si>
  <si>
    <t>WHERE</t>
  </si>
  <si>
    <t>LEFT OUTER JOIN dbo.vVICTIM ON dbo.vINCIDENT.PUB_INCIDENT_ID = dbo.vVICTIM.PUB_INCIDENT_ID</t>
  </si>
  <si>
    <t>LEFT OUTER JOIN vFRS ON dbo.vINCIDENT.TER_FRS_ID = vFRS.FRS_ID</t>
  </si>
  <si>
    <t>dbo.vINCIDENT</t>
  </si>
  <si>
    <t>FROM</t>
  </si>
  <si>
    <t>COUNT(VICTIM_SEQ_NO)</t>
  </si>
  <si>
    <t>FRS_NAME,</t>
  </si>
  <si>
    <t>SELECT</t>
  </si>
  <si>
    <t>FRIS_201819_04_Mar</t>
  </si>
  <si>
    <t>USE</t>
  </si>
  <si>
    <t>IRS Comparison</t>
  </si>
  <si>
    <t>IRS</t>
  </si>
  <si>
    <t>Op Stats</t>
  </si>
  <si>
    <t>Sheet_Name_HS1</t>
  </si>
  <si>
    <t>Cell_Loop_HS1</t>
  </si>
  <si>
    <t>Cell_Loop_Desc2_HS2</t>
  </si>
  <si>
    <t>Cell_Loop_Desc_HS1</t>
  </si>
  <si>
    <t>Cell_Loop_Desc2_HS1</t>
  </si>
  <si>
    <t>Cell_Loop_Desc3_HS1</t>
  </si>
  <si>
    <t>Sheet_Name_HS2</t>
  </si>
  <si>
    <t>Cell_Loop_HS2</t>
  </si>
  <si>
    <t>Cell_Loop_Desc_HS2</t>
  </si>
  <si>
    <t>Cell_Loop_Desc3_HS2</t>
  </si>
  <si>
    <t>FRS_name</t>
  </si>
  <si>
    <t>FRS_type</t>
  </si>
  <si>
    <t>FRS_code</t>
  </si>
  <si>
    <t>Role</t>
  </si>
  <si>
    <t>Count</t>
  </si>
  <si>
    <t>Injury_type</t>
  </si>
  <si>
    <t>Outcome</t>
  </si>
  <si>
    <t>\\Poise.Homeoffice.Local\Home\RQG\Users\BeevorE\My Documents\003 Fire Operational Statistics\</t>
  </si>
  <si>
    <t xml:space="preserve"> </t>
  </si>
  <si>
    <t xml:space="preserve">  </t>
  </si>
  <si>
    <t>At special service incidents</t>
  </si>
  <si>
    <t>2018-19</t>
  </si>
  <si>
    <t>Last Updated: 31 October 2019</t>
  </si>
  <si>
    <t>Next Update: Autumn 2020</t>
  </si>
  <si>
    <t>Operational Incidents</t>
  </si>
  <si>
    <t>Training And Routine Work</t>
  </si>
  <si>
    <r>
      <t>At non-fire incidents</t>
    </r>
    <r>
      <rPr>
        <vertAlign val="superscript"/>
        <sz val="11"/>
        <rFont val="Calibri"/>
        <family val="2"/>
        <scheme val="minor"/>
      </rPr>
      <t>3,4</t>
    </r>
  </si>
  <si>
    <r>
      <t>Greater London</t>
    </r>
    <r>
      <rPr>
        <vertAlign val="superscript"/>
        <sz val="11"/>
        <rFont val="Calibri"/>
        <family val="2"/>
        <scheme val="minor"/>
      </rPr>
      <t>5</t>
    </r>
  </si>
  <si>
    <t>5 Greater London were unable to provide a breakdown of whether personel injuries were sustained at fires or special service incidents in 2016/17 or 2017/18, so the total number for these years has been presented here split by the proportions as reported for 2015/16.</t>
  </si>
  <si>
    <t>4 Also known as special service incidents.</t>
  </si>
  <si>
    <t>3 Including attending road traffic accidents.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</si>
</sst>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0.0%"/>
    <numFmt numFmtId="166" formatCode="#,##0.0000"/>
    <numFmt numFmtId="167" formatCode="0.0"/>
  </numFmts>
  <fonts count="39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43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0"/>
      <name val="MS Sans Serif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604A7B"/>
      <name val="Calibri"/>
      <family val="2"/>
      <scheme val="minor"/>
    </font>
    <font>
      <sz val="11"/>
      <color rgb="FF604A7B"/>
      <name val="Calibri"/>
      <family val="2"/>
      <scheme val="minor"/>
    </font>
    <font>
      <sz val="10"/>
      <color rgb="FFFF0000"/>
      <name val="MS Sans Serif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C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604A7B"/>
      </left>
      <right/>
      <top style="medium">
        <color rgb="FF604A7B"/>
      </top>
      <bottom style="medium">
        <color rgb="FF604A7B"/>
      </bottom>
      <diagonal/>
    </border>
    <border>
      <left/>
      <right/>
      <top style="medium">
        <color rgb="FF604A7B"/>
      </top>
      <bottom style="medium">
        <color rgb="FF604A7B"/>
      </bottom>
      <diagonal/>
    </border>
    <border>
      <left/>
      <right style="medium">
        <color rgb="FF604A7B"/>
      </right>
      <top style="medium">
        <color rgb="FF604A7B"/>
      </top>
      <bottom style="medium">
        <color rgb="FF604A7B"/>
      </bottom>
      <diagonal/>
    </border>
    <border>
      <left/>
      <right/>
      <top/>
      <bottom style="medium">
        <color auto="1"/>
      </bottom>
      <diagonal/>
    </border>
  </borders>
  <cellStyleXfs count="19">
    <xf numFmtId="0" fontId="0" fillId="0" borderId="0"/>
    <xf numFmtId="9" fontId="13" fillId="0" borderId="0" applyFont="0" applyFill="0" applyBorder="0" applyAlignment="0" applyProtection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8" fillId="0" borderId="0" applyNumberFormat="0" applyFill="0" applyBorder="0" applyAlignment="0" applyProtection="0"/>
    <xf numFmtId="0" fontId="27" fillId="0" borderId="0"/>
    <xf numFmtId="0" fontId="26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7" fillId="0" borderId="0"/>
    <xf numFmtId="0" fontId="5" fillId="0" borderId="0"/>
    <xf numFmtId="0" fontId="36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4" fillId="0" borderId="0"/>
  </cellStyleXfs>
  <cellXfs count="347"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4" xfId="2" applyFont="1" applyBorder="1" applyAlignment="1">
      <alignment horizontal="right" vertical="center" wrapText="1"/>
    </xf>
    <xf numFmtId="0" fontId="11" fillId="0" borderId="0" xfId="2" applyNumberFormat="1" applyFont="1" applyBorder="1" applyAlignment="1">
      <alignment vertical="center"/>
    </xf>
    <xf numFmtId="164" fontId="11" fillId="0" borderId="0" xfId="2" applyNumberFormat="1" applyFont="1" applyBorder="1" applyAlignment="1">
      <alignment vertical="center" wrapText="1"/>
    </xf>
    <xf numFmtId="164" fontId="7" fillId="0" borderId="0" xfId="2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2" applyNumberFormat="1" applyFont="1" applyBorder="1" applyAlignment="1">
      <alignment horizontal="left" vertical="center"/>
    </xf>
    <xf numFmtId="0" fontId="11" fillId="0" borderId="0" xfId="2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2" applyNumberFormat="1" applyFont="1" applyBorder="1" applyAlignment="1">
      <alignment horizontal="left" vertical="center"/>
    </xf>
    <xf numFmtId="164" fontId="7" fillId="0" borderId="0" xfId="2" applyNumberFormat="1" applyFont="1" applyBorder="1" applyAlignment="1">
      <alignment horizontal="right" vertical="center" wrapText="1"/>
    </xf>
    <xf numFmtId="0" fontId="7" fillId="0" borderId="0" xfId="3" applyNumberFormat="1" applyFont="1" applyBorder="1" applyAlignment="1">
      <alignment horizontal="left" vertical="center"/>
    </xf>
    <xf numFmtId="0" fontId="7" fillId="0" borderId="0" xfId="4" applyNumberFormat="1" applyFont="1" applyBorder="1" applyAlignment="1">
      <alignment horizontal="left" vertical="center"/>
    </xf>
    <xf numFmtId="164" fontId="7" fillId="3" borderId="0" xfId="2" applyNumberFormat="1" applyFont="1" applyFill="1" applyBorder="1" applyAlignment="1">
      <alignment horizontal="right" vertical="center" wrapText="1"/>
    </xf>
    <xf numFmtId="164" fontId="11" fillId="0" borderId="0" xfId="2" applyNumberFormat="1" applyFont="1" applyBorder="1" applyAlignment="1">
      <alignment horizontal="right" vertical="center" wrapText="1"/>
    </xf>
    <xf numFmtId="0" fontId="7" fillId="0" borderId="0" xfId="2" applyNumberFormat="1" applyFont="1" applyBorder="1" applyAlignment="1">
      <alignment vertical="center"/>
    </xf>
    <xf numFmtId="0" fontId="7" fillId="0" borderId="4" xfId="2" applyNumberFormat="1" applyFont="1" applyBorder="1" applyAlignment="1">
      <alignment horizontal="left" vertical="center"/>
    </xf>
    <xf numFmtId="164" fontId="7" fillId="0" borderId="4" xfId="2" applyNumberFormat="1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5" applyFont="1" applyBorder="1" applyAlignment="1">
      <alignment vertical="center"/>
    </xf>
    <xf numFmtId="3" fontId="7" fillId="0" borderId="0" xfId="2" applyNumberFormat="1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0" xfId="6" applyFont="1" applyBorder="1" applyAlignment="1">
      <alignment vertical="center"/>
    </xf>
    <xf numFmtId="0" fontId="10" fillId="0" borderId="0" xfId="6" applyFont="1" applyBorder="1" applyAlignment="1">
      <alignment vertical="center"/>
    </xf>
    <xf numFmtId="0" fontId="7" fillId="0" borderId="4" xfId="2" applyFont="1" applyBorder="1" applyAlignment="1">
      <alignment horizontal="centerContinuous" vertical="center" wrapText="1"/>
    </xf>
    <xf numFmtId="0" fontId="7" fillId="0" borderId="2" xfId="2" applyFont="1" applyBorder="1" applyAlignment="1">
      <alignment horizontal="right" vertical="center" wrapText="1"/>
    </xf>
    <xf numFmtId="0" fontId="13" fillId="0" borderId="2" xfId="6" applyFont="1" applyBorder="1" applyAlignment="1">
      <alignment horizontal="right" vertical="center" wrapText="1"/>
    </xf>
    <xf numFmtId="0" fontId="12" fillId="0" borderId="0" xfId="6" applyFont="1" applyAlignment="1">
      <alignment vertical="center"/>
    </xf>
    <xf numFmtId="3" fontId="11" fillId="0" borderId="0" xfId="2" applyNumberFormat="1" applyFont="1" applyFill="1" applyBorder="1" applyAlignment="1">
      <alignment horizontal="right" vertical="center"/>
    </xf>
    <xf numFmtId="0" fontId="7" fillId="0" borderId="0" xfId="6" applyFont="1" applyAlignment="1">
      <alignment vertical="center"/>
    </xf>
    <xf numFmtId="3" fontId="7" fillId="0" borderId="0" xfId="2" applyNumberFormat="1" applyFont="1" applyFill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3" applyFont="1" applyBorder="1" applyAlignment="1">
      <alignment vertical="center"/>
    </xf>
    <xf numFmtId="0" fontId="7" fillId="0" borderId="0" xfId="4" applyFont="1" applyBorder="1" applyAlignment="1">
      <alignment vertical="center"/>
    </xf>
    <xf numFmtId="3" fontId="7" fillId="3" borderId="0" xfId="2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vertical="center"/>
    </xf>
    <xf numFmtId="3" fontId="11" fillId="0" borderId="0" xfId="2" applyNumberFormat="1" applyFont="1" applyBorder="1" applyAlignment="1">
      <alignment horizontal="right" vertical="center"/>
    </xf>
    <xf numFmtId="0" fontId="7" fillId="0" borderId="4" xfId="2" applyFont="1" applyBorder="1" applyAlignment="1">
      <alignment vertical="center"/>
    </xf>
    <xf numFmtId="3" fontId="7" fillId="0" borderId="4" xfId="2" applyNumberFormat="1" applyFont="1" applyFill="1" applyBorder="1" applyAlignment="1">
      <alignment horizontal="right" vertical="center"/>
    </xf>
    <xf numFmtId="3" fontId="7" fillId="0" borderId="4" xfId="2" applyNumberFormat="1" applyFont="1" applyBorder="1" applyAlignment="1">
      <alignment horizontal="right" vertical="center"/>
    </xf>
    <xf numFmtId="3" fontId="10" fillId="0" borderId="0" xfId="2" applyNumberFormat="1" applyFont="1" applyBorder="1" applyAlignment="1">
      <alignment horizontal="right" vertical="center"/>
    </xf>
    <xf numFmtId="166" fontId="10" fillId="0" borderId="0" xfId="2" applyNumberFormat="1" applyFont="1" applyBorder="1" applyAlignment="1">
      <alignment horizontal="right" vertical="center"/>
    </xf>
    <xf numFmtId="0" fontId="10" fillId="0" borderId="0" xfId="6" applyFont="1" applyAlignment="1">
      <alignment horizontal="left" vertical="center" wrapText="1"/>
    </xf>
    <xf numFmtId="3" fontId="11" fillId="0" borderId="0" xfId="2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4" fontId="7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7" fillId="0" borderId="0" xfId="2" applyFont="1" applyBorder="1" applyAlignment="1">
      <alignment vertical="center"/>
    </xf>
    <xf numFmtId="0" fontId="7" fillId="0" borderId="4" xfId="2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7" fillId="0" borderId="4" xfId="2" applyFont="1" applyBorder="1" applyAlignment="1">
      <alignment vertical="center"/>
    </xf>
    <xf numFmtId="0" fontId="16" fillId="5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6" borderId="0" xfId="0" applyFill="1"/>
    <xf numFmtId="0" fontId="0" fillId="7" borderId="0" xfId="0" applyFill="1"/>
    <xf numFmtId="0" fontId="17" fillId="6" borderId="0" xfId="6" applyFont="1" applyFill="1" applyAlignment="1">
      <alignment vertical="center"/>
    </xf>
    <xf numFmtId="0" fontId="13" fillId="7" borderId="0" xfId="6" applyFill="1"/>
    <xf numFmtId="0" fontId="17" fillId="8" borderId="0" xfId="6" applyFont="1" applyFill="1" applyAlignment="1">
      <alignment horizontal="center" vertical="center"/>
    </xf>
    <xf numFmtId="0" fontId="0" fillId="6" borderId="6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/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0" xfId="0" applyFill="1" applyAlignment="1">
      <alignment horizontal="right" vertical="center" wrapText="1"/>
    </xf>
    <xf numFmtId="3" fontId="15" fillId="7" borderId="0" xfId="0" applyNumberFormat="1" applyFont="1" applyFill="1" applyBorder="1" applyAlignment="1">
      <alignment horizontal="right"/>
    </xf>
    <xf numFmtId="1" fontId="0" fillId="6" borderId="0" xfId="0" applyNumberFormat="1" applyFill="1"/>
    <xf numFmtId="167" fontId="0" fillId="7" borderId="0" xfId="0" applyNumberFormat="1" applyFill="1"/>
    <xf numFmtId="1" fontId="0" fillId="7" borderId="0" xfId="0" applyNumberFormat="1" applyFill="1"/>
    <xf numFmtId="0" fontId="15" fillId="6" borderId="0" xfId="0" applyFont="1" applyFill="1" applyBorder="1"/>
    <xf numFmtId="3" fontId="0" fillId="7" borderId="0" xfId="0" applyNumberFormat="1" applyFill="1" applyBorder="1" applyAlignment="1">
      <alignment horizontal="right"/>
    </xf>
    <xf numFmtId="3" fontId="0" fillId="6" borderId="0" xfId="0" applyNumberFormat="1" applyFill="1"/>
    <xf numFmtId="0" fontId="15" fillId="6" borderId="0" xfId="0" applyFont="1" applyFill="1"/>
    <xf numFmtId="0" fontId="0" fillId="6" borderId="6" xfId="0" applyFill="1" applyBorder="1"/>
    <xf numFmtId="3" fontId="0" fillId="7" borderId="6" xfId="0" applyNumberFormat="1" applyFill="1" applyBorder="1" applyAlignment="1">
      <alignment horizontal="right"/>
    </xf>
    <xf numFmtId="3" fontId="15" fillId="7" borderId="6" xfId="0" applyNumberFormat="1" applyFont="1" applyFill="1" applyBorder="1" applyAlignment="1">
      <alignment horizontal="right"/>
    </xf>
    <xf numFmtId="0" fontId="17" fillId="6" borderId="0" xfId="0" applyFont="1" applyFill="1"/>
    <xf numFmtId="0" fontId="0" fillId="6" borderId="0" xfId="0" applyFill="1" applyAlignment="1">
      <alignment horizontal="left" wrapText="1"/>
    </xf>
    <xf numFmtId="0" fontId="18" fillId="6" borderId="0" xfId="7" applyFont="1" applyFill="1"/>
    <xf numFmtId="0" fontId="0" fillId="6" borderId="0" xfId="0" applyFill="1" applyAlignment="1">
      <alignment horizontal="right"/>
    </xf>
    <xf numFmtId="0" fontId="17" fillId="9" borderId="0" xfId="6" applyFont="1" applyFill="1" applyAlignment="1">
      <alignment horizontal="center" vertical="center"/>
    </xf>
    <xf numFmtId="0" fontId="19" fillId="6" borderId="0" xfId="0" applyFont="1" applyFill="1"/>
    <xf numFmtId="3" fontId="19" fillId="7" borderId="0" xfId="0" applyNumberFormat="1" applyFont="1" applyFill="1" applyBorder="1" applyAlignment="1">
      <alignment horizontal="right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 vertical="center" wrapText="1"/>
    </xf>
    <xf numFmtId="0" fontId="0" fillId="6" borderId="8" xfId="0" applyFill="1" applyBorder="1" applyAlignment="1"/>
    <xf numFmtId="0" fontId="0" fillId="6" borderId="8" xfId="0" applyFill="1" applyBorder="1" applyAlignment="1">
      <alignment horizontal="center"/>
    </xf>
    <xf numFmtId="0" fontId="20" fillId="6" borderId="0" xfId="0" applyFont="1" applyFill="1"/>
    <xf numFmtId="0" fontId="20" fillId="6" borderId="8" xfId="0" applyFont="1" applyFill="1" applyBorder="1" applyAlignment="1"/>
    <xf numFmtId="0" fontId="20" fillId="6" borderId="8" xfId="0" applyFont="1" applyFill="1" applyBorder="1" applyAlignment="1">
      <alignment horizontal="center"/>
    </xf>
    <xf numFmtId="0" fontId="20" fillId="6" borderId="6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1" fillId="6" borderId="0" xfId="0" applyFont="1" applyFill="1"/>
    <xf numFmtId="3" fontId="21" fillId="7" borderId="0" xfId="0" applyNumberFormat="1" applyFont="1" applyFill="1" applyBorder="1" applyAlignment="1">
      <alignment horizontal="right"/>
    </xf>
    <xf numFmtId="3" fontId="20" fillId="7" borderId="0" xfId="0" applyNumberFormat="1" applyFont="1" applyFill="1" applyBorder="1" applyAlignment="1">
      <alignment horizontal="right"/>
    </xf>
    <xf numFmtId="3" fontId="20" fillId="6" borderId="0" xfId="0" applyNumberFormat="1" applyFont="1" applyFill="1"/>
    <xf numFmtId="0" fontId="20" fillId="7" borderId="0" xfId="0" applyFont="1" applyFill="1"/>
    <xf numFmtId="0" fontId="20" fillId="6" borderId="6" xfId="0" applyFont="1" applyFill="1" applyBorder="1"/>
    <xf numFmtId="3" fontId="20" fillId="7" borderId="6" xfId="0" applyNumberFormat="1" applyFont="1" applyFill="1" applyBorder="1" applyAlignment="1">
      <alignment horizontal="right"/>
    </xf>
    <xf numFmtId="0" fontId="23" fillId="6" borderId="0" xfId="0" applyFont="1" applyFill="1"/>
    <xf numFmtId="0" fontId="24" fillId="6" borderId="0" xfId="7" applyFont="1" applyFill="1"/>
    <xf numFmtId="1" fontId="20" fillId="6" borderId="0" xfId="0" applyNumberFormat="1" applyFont="1" applyFill="1"/>
    <xf numFmtId="0" fontId="20" fillId="6" borderId="0" xfId="0" applyFont="1" applyFill="1" applyAlignment="1">
      <alignment horizontal="left" wrapText="1"/>
    </xf>
    <xf numFmtId="0" fontId="20" fillId="6" borderId="0" xfId="0" applyFont="1" applyFill="1" applyAlignment="1">
      <alignment wrapText="1"/>
    </xf>
    <xf numFmtId="0" fontId="20" fillId="6" borderId="0" xfId="0" applyFont="1" applyFill="1" applyBorder="1"/>
    <xf numFmtId="0" fontId="0" fillId="7" borderId="0" xfId="0" applyFill="1" applyAlignment="1">
      <alignment horizontal="center" wrapText="1"/>
    </xf>
    <xf numFmtId="0" fontId="20" fillId="6" borderId="0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left"/>
    </xf>
    <xf numFmtId="0" fontId="20" fillId="7" borderId="0" xfId="0" applyFont="1" applyFill="1" applyAlignment="1">
      <alignment horizontal="center"/>
    </xf>
    <xf numFmtId="0" fontId="20" fillId="6" borderId="0" xfId="0" applyFont="1" applyFill="1" applyAlignment="1">
      <alignment horizontal="right" vertical="center" wrapText="1"/>
    </xf>
    <xf numFmtId="1" fontId="20" fillId="7" borderId="0" xfId="0" applyNumberFormat="1" applyFont="1" applyFill="1"/>
    <xf numFmtId="0" fontId="7" fillId="0" borderId="0" xfId="8" applyFont="1" applyBorder="1" applyAlignment="1">
      <alignment vertical="center"/>
    </xf>
    <xf numFmtId="0" fontId="7" fillId="0" borderId="4" xfId="8" applyFont="1" applyBorder="1" applyAlignment="1">
      <alignment horizontal="right" vertical="center" wrapText="1"/>
    </xf>
    <xf numFmtId="0" fontId="11" fillId="0" borderId="0" xfId="8" applyNumberFormat="1" applyFont="1" applyBorder="1" applyAlignment="1">
      <alignment vertical="center"/>
    </xf>
    <xf numFmtId="164" fontId="11" fillId="0" borderId="0" xfId="8" applyNumberFormat="1" applyFont="1" applyBorder="1" applyAlignment="1">
      <alignment vertical="center" wrapText="1"/>
    </xf>
    <xf numFmtId="0" fontId="11" fillId="0" borderId="0" xfId="8" applyNumberFormat="1" applyFont="1" applyBorder="1" applyAlignment="1">
      <alignment horizontal="left" vertical="center"/>
    </xf>
    <xf numFmtId="0" fontId="11" fillId="0" borderId="0" xfId="8" applyFont="1" applyBorder="1" applyAlignment="1">
      <alignment vertical="center"/>
    </xf>
    <xf numFmtId="0" fontId="7" fillId="0" borderId="0" xfId="8" applyNumberFormat="1" applyFont="1" applyBorder="1" applyAlignment="1">
      <alignment horizontal="left" vertical="center"/>
    </xf>
    <xf numFmtId="164" fontId="7" fillId="0" borderId="0" xfId="8" applyNumberFormat="1" applyFont="1" applyBorder="1" applyAlignment="1">
      <alignment horizontal="right" vertical="center" wrapText="1"/>
    </xf>
    <xf numFmtId="0" fontId="7" fillId="0" borderId="0" xfId="9" applyNumberFormat="1" applyFont="1" applyBorder="1" applyAlignment="1">
      <alignment horizontal="left" vertical="center"/>
    </xf>
    <xf numFmtId="0" fontId="7" fillId="0" borderId="0" xfId="10" applyNumberFormat="1" applyFont="1" applyBorder="1" applyAlignment="1">
      <alignment horizontal="left" vertical="center"/>
    </xf>
    <xf numFmtId="164" fontId="7" fillId="3" borderId="0" xfId="8" applyNumberFormat="1" applyFont="1" applyFill="1" applyBorder="1" applyAlignment="1">
      <alignment horizontal="right" vertical="center" wrapText="1"/>
    </xf>
    <xf numFmtId="164" fontId="11" fillId="0" borderId="0" xfId="8" applyNumberFormat="1" applyFont="1" applyBorder="1" applyAlignment="1">
      <alignment horizontal="right" vertical="center" wrapText="1"/>
    </xf>
    <xf numFmtId="0" fontId="7" fillId="0" borderId="0" xfId="8" applyNumberFormat="1" applyFont="1" applyBorder="1" applyAlignment="1">
      <alignment vertical="center"/>
    </xf>
    <xf numFmtId="0" fontId="7" fillId="0" borderId="4" xfId="8" applyNumberFormat="1" applyFont="1" applyBorder="1" applyAlignment="1">
      <alignment horizontal="left" vertical="center"/>
    </xf>
    <xf numFmtId="164" fontId="7" fillId="0" borderId="4" xfId="8" applyNumberFormat="1" applyFont="1" applyBorder="1" applyAlignment="1">
      <alignment horizontal="right" vertical="center" wrapText="1"/>
    </xf>
    <xf numFmtId="165" fontId="7" fillId="0" borderId="0" xfId="11" applyNumberFormat="1" applyFont="1" applyBorder="1" applyAlignment="1">
      <alignment vertical="center"/>
    </xf>
    <xf numFmtId="0" fontId="7" fillId="0" borderId="0" xfId="12" applyFont="1" applyBorder="1" applyAlignment="1">
      <alignment vertical="center"/>
    </xf>
    <xf numFmtId="3" fontId="7" fillId="0" borderId="0" xfId="8" applyNumberFormat="1" applyFont="1" applyBorder="1" applyAlignment="1">
      <alignment vertical="center"/>
    </xf>
    <xf numFmtId="0" fontId="14" fillId="0" borderId="0" xfId="8" applyFont="1" applyBorder="1" applyAlignment="1">
      <alignment vertical="center"/>
    </xf>
    <xf numFmtId="0" fontId="7" fillId="0" borderId="0" xfId="8" applyFont="1" applyFill="1" applyBorder="1" applyAlignment="1">
      <alignment vertical="center"/>
    </xf>
    <xf numFmtId="0" fontId="7" fillId="0" borderId="4" xfId="8" applyFont="1" applyBorder="1" applyAlignment="1">
      <alignment horizontal="centerContinuous" vertical="center" wrapText="1"/>
    </xf>
    <xf numFmtId="0" fontId="7" fillId="0" borderId="2" xfId="8" applyFont="1" applyBorder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164" fontId="7" fillId="0" borderId="0" xfId="8" applyNumberFormat="1" applyFont="1" applyBorder="1" applyAlignment="1">
      <alignment vertical="center"/>
    </xf>
    <xf numFmtId="3" fontId="11" fillId="0" borderId="0" xfId="8" applyNumberFormat="1" applyFont="1" applyFill="1" applyBorder="1" applyAlignment="1">
      <alignment horizontal="right" vertical="center"/>
    </xf>
    <xf numFmtId="3" fontId="7" fillId="0" borderId="0" xfId="8" applyNumberFormat="1" applyFont="1" applyFill="1" applyBorder="1" applyAlignment="1">
      <alignment horizontal="right" vertical="center"/>
    </xf>
    <xf numFmtId="3" fontId="7" fillId="0" borderId="0" xfId="8" applyNumberFormat="1" applyFont="1" applyBorder="1" applyAlignment="1">
      <alignment horizontal="right" vertical="center"/>
    </xf>
    <xf numFmtId="0" fontId="7" fillId="0" borderId="0" xfId="9" applyFont="1" applyBorder="1" applyAlignment="1">
      <alignment vertical="center"/>
    </xf>
    <xf numFmtId="0" fontId="7" fillId="0" borderId="0" xfId="10" applyFont="1" applyBorder="1" applyAlignment="1">
      <alignment vertical="center"/>
    </xf>
    <xf numFmtId="3" fontId="7" fillId="3" borderId="0" xfId="8" applyNumberFormat="1" applyFont="1" applyFill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3" fontId="11" fillId="0" borderId="0" xfId="8" applyNumberFormat="1" applyFont="1" applyBorder="1" applyAlignment="1">
      <alignment horizontal="right" vertical="center"/>
    </xf>
    <xf numFmtId="0" fontId="7" fillId="0" borderId="4" xfId="8" applyFont="1" applyBorder="1" applyAlignment="1">
      <alignment vertical="center"/>
    </xf>
    <xf numFmtId="3" fontId="7" fillId="0" borderId="4" xfId="8" applyNumberFormat="1" applyFont="1" applyFill="1" applyBorder="1" applyAlignment="1">
      <alignment horizontal="right" vertical="center"/>
    </xf>
    <xf numFmtId="3" fontId="7" fillId="0" borderId="4" xfId="8" applyNumberFormat="1" applyFont="1" applyBorder="1" applyAlignment="1">
      <alignment horizontal="right" vertical="center"/>
    </xf>
    <xf numFmtId="3" fontId="10" fillId="0" borderId="0" xfId="8" applyNumberFormat="1" applyFont="1" applyBorder="1" applyAlignment="1">
      <alignment horizontal="right" vertical="center"/>
    </xf>
    <xf numFmtId="166" fontId="10" fillId="0" borderId="0" xfId="8" applyNumberFormat="1" applyFont="1" applyBorder="1" applyAlignment="1">
      <alignment horizontal="right" vertical="center"/>
    </xf>
    <xf numFmtId="3" fontId="11" fillId="0" borderId="0" xfId="8" applyNumberFormat="1" applyFont="1" applyBorder="1" applyAlignment="1">
      <alignment horizontal="right" vertical="center" wrapText="1"/>
    </xf>
    <xf numFmtId="4" fontId="7" fillId="0" borderId="0" xfId="8" applyNumberFormat="1" applyFont="1" applyBorder="1" applyAlignment="1">
      <alignment horizontal="right" vertical="center"/>
    </xf>
    <xf numFmtId="0" fontId="7" fillId="0" borderId="0" xfId="8" applyFont="1" applyBorder="1" applyAlignment="1">
      <alignment horizontal="right" vertical="center"/>
    </xf>
    <xf numFmtId="10" fontId="7" fillId="0" borderId="0" xfId="13" applyNumberFormat="1" applyFont="1" applyBorder="1" applyAlignment="1">
      <alignment vertical="center"/>
    </xf>
    <xf numFmtId="164" fontId="7" fillId="0" borderId="0" xfId="8" applyNumberFormat="1" applyFont="1" applyBorder="1" applyAlignment="1">
      <alignment vertical="center" wrapText="1"/>
    </xf>
    <xf numFmtId="164" fontId="7" fillId="0" borderId="4" xfId="8" applyNumberFormat="1" applyFont="1" applyBorder="1" applyAlignment="1">
      <alignment vertical="center" wrapText="1"/>
    </xf>
    <xf numFmtId="3" fontId="7" fillId="0" borderId="0" xfId="8" applyNumberFormat="1" applyFont="1" applyFill="1" applyBorder="1" applyAlignment="1">
      <alignment vertical="center"/>
    </xf>
    <xf numFmtId="3" fontId="12" fillId="0" borderId="0" xfId="12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3" fontId="11" fillId="0" borderId="0" xfId="8" applyNumberFormat="1" applyFont="1" applyBorder="1" applyAlignment="1">
      <alignment vertical="center"/>
    </xf>
    <xf numFmtId="3" fontId="7" fillId="0" borderId="4" xfId="8" applyNumberFormat="1" applyFont="1" applyBorder="1" applyAlignment="1">
      <alignment vertical="center"/>
    </xf>
    <xf numFmtId="4" fontId="7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12" fillId="0" borderId="0" xfId="0" applyNumberFormat="1" applyFont="1" applyBorder="1" applyAlignment="1">
      <alignment horizontal="right" wrapText="1"/>
    </xf>
    <xf numFmtId="9" fontId="7" fillId="0" borderId="0" xfId="11" applyFont="1" applyBorder="1" applyAlignment="1">
      <alignment vertical="center"/>
    </xf>
    <xf numFmtId="164" fontId="7" fillId="0" borderId="0" xfId="2" applyNumberFormat="1" applyFont="1" applyBorder="1" applyAlignment="1">
      <alignment vertical="center" wrapText="1"/>
    </xf>
    <xf numFmtId="164" fontId="7" fillId="0" borderId="4" xfId="2" applyNumberFormat="1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3" fontId="11" fillId="0" borderId="0" xfId="2" applyNumberFormat="1" applyFont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3" fontId="7" fillId="0" borderId="4" xfId="2" applyNumberFormat="1" applyFont="1" applyBorder="1" applyAlignment="1">
      <alignment vertical="center"/>
    </xf>
    <xf numFmtId="4" fontId="7" fillId="0" borderId="0" xfId="2" applyNumberFormat="1" applyFont="1" applyBorder="1" applyAlignment="1">
      <alignment vertical="center"/>
    </xf>
    <xf numFmtId="0" fontId="7" fillId="0" borderId="0" xfId="8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7" fillId="0" borderId="0" xfId="2" applyFont="1" applyBorder="1" applyAlignment="1">
      <alignment vertical="center"/>
    </xf>
    <xf numFmtId="0" fontId="7" fillId="0" borderId="4" xfId="2" applyFont="1" applyBorder="1" applyAlignment="1">
      <alignment horizontal="right" vertical="center" wrapText="1"/>
    </xf>
    <xf numFmtId="0" fontId="7" fillId="0" borderId="4" xfId="2" applyFont="1" applyBorder="1" applyAlignment="1">
      <alignment vertical="center"/>
    </xf>
    <xf numFmtId="3" fontId="6" fillId="7" borderId="0" xfId="0" applyNumberFormat="1" applyFont="1" applyFill="1" applyBorder="1" applyAlignment="1">
      <alignment horizontal="right"/>
    </xf>
    <xf numFmtId="3" fontId="0" fillId="7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7" fillId="0" borderId="0" xfId="2" applyFont="1" applyBorder="1" applyAlignment="1">
      <alignment vertical="center"/>
    </xf>
    <xf numFmtId="0" fontId="7" fillId="0" borderId="4" xfId="2" applyFont="1" applyBorder="1" applyAlignment="1">
      <alignment horizontal="right" vertical="center" wrapText="1"/>
    </xf>
    <xf numFmtId="0" fontId="7" fillId="0" borderId="4" xfId="2" applyFont="1" applyBorder="1" applyAlignment="1">
      <alignment vertical="center"/>
    </xf>
    <xf numFmtId="0" fontId="29" fillId="0" borderId="0" xfId="0" applyFont="1"/>
    <xf numFmtId="0" fontId="0" fillId="10" borderId="0" xfId="0" applyFill="1"/>
    <xf numFmtId="3" fontId="0" fillId="10" borderId="0" xfId="1" applyNumberFormat="1" applyFont="1" applyFill="1"/>
    <xf numFmtId="165" fontId="0" fillId="10" borderId="0" xfId="1" applyNumberFormat="1" applyFont="1" applyFill="1"/>
    <xf numFmtId="3" fontId="0" fillId="0" borderId="0" xfId="0" applyNumberFormat="1"/>
    <xf numFmtId="9" fontId="0" fillId="0" borderId="0" xfId="1" applyFont="1"/>
    <xf numFmtId="0" fontId="0" fillId="11" borderId="0" xfId="0" applyFill="1"/>
    <xf numFmtId="3" fontId="0" fillId="11" borderId="0" xfId="1" applyNumberFormat="1" applyFont="1" applyFill="1"/>
    <xf numFmtId="165" fontId="0" fillId="11" borderId="0" xfId="1" applyNumberFormat="1" applyFont="1" applyFill="1"/>
    <xf numFmtId="0" fontId="0" fillId="13" borderId="0" xfId="0" applyFill="1"/>
    <xf numFmtId="3" fontId="0" fillId="13" borderId="0" xfId="0" applyNumberFormat="1" applyFill="1"/>
    <xf numFmtId="165" fontId="0" fillId="13" borderId="0" xfId="1" applyNumberFormat="1" applyFont="1" applyFill="1"/>
    <xf numFmtId="0" fontId="20" fillId="6" borderId="0" xfId="0" applyFont="1" applyFill="1" applyAlignment="1">
      <alignment horizontal="left" wrapText="1"/>
    </xf>
    <xf numFmtId="0" fontId="20" fillId="6" borderId="0" xfId="0" applyFont="1" applyFill="1" applyAlignment="1">
      <alignment horizontal="left"/>
    </xf>
    <xf numFmtId="0" fontId="32" fillId="0" borderId="0" xfId="0" applyFont="1"/>
    <xf numFmtId="0" fontId="19" fillId="11" borderId="0" xfId="0" applyFont="1" applyFill="1"/>
    <xf numFmtId="0" fontId="33" fillId="0" borderId="0" xfId="0" applyFont="1"/>
    <xf numFmtId="0" fontId="0" fillId="14" borderId="0" xfId="0" applyFill="1"/>
    <xf numFmtId="0" fontId="15" fillId="14" borderId="0" xfId="0" applyFont="1" applyFill="1"/>
    <xf numFmtId="0" fontId="33" fillId="11" borderId="0" xfId="0" quotePrefix="1" applyFont="1" applyFill="1"/>
    <xf numFmtId="0" fontId="33" fillId="11" borderId="0" xfId="0" applyFont="1" applyFill="1"/>
    <xf numFmtId="0" fontId="0" fillId="11" borderId="0" xfId="0" applyFont="1" applyFill="1"/>
    <xf numFmtId="0" fontId="0" fillId="0" borderId="0" xfId="0" applyFill="1"/>
    <xf numFmtId="0" fontId="34" fillId="0" borderId="0" xfId="0" applyFont="1"/>
    <xf numFmtId="0" fontId="7" fillId="0" borderId="0" xfId="2" applyFont="1" applyBorder="1" applyAlignment="1">
      <alignment vertical="center"/>
    </xf>
    <xf numFmtId="0" fontId="15" fillId="7" borderId="6" xfId="15" applyFont="1" applyFill="1" applyBorder="1"/>
    <xf numFmtId="0" fontId="5" fillId="7" borderId="0" xfId="15" applyFill="1"/>
    <xf numFmtId="0" fontId="5" fillId="7" borderId="12" xfId="15" applyFill="1" applyBorder="1"/>
    <xf numFmtId="0" fontId="20" fillId="7" borderId="0" xfId="15" applyFont="1" applyFill="1" applyAlignment="1">
      <alignment horizontal="left"/>
    </xf>
    <xf numFmtId="9" fontId="37" fillId="0" borderId="0" xfId="17" applyFont="1"/>
    <xf numFmtId="0" fontId="33" fillId="0" borderId="0" xfId="15" applyFont="1"/>
    <xf numFmtId="0" fontId="0" fillId="0" borderId="0" xfId="0" applyBorder="1"/>
    <xf numFmtId="0" fontId="8" fillId="0" borderId="0" xfId="2" applyFont="1" applyFill="1" applyBorder="1" applyAlignment="1">
      <alignment vertical="center" wrapText="1"/>
    </xf>
    <xf numFmtId="0" fontId="7" fillId="0" borderId="0" xfId="2" applyFont="1" applyBorder="1" applyAlignment="1">
      <alignment vertical="center" wrapText="1"/>
    </xf>
    <xf numFmtId="0" fontId="7" fillId="0" borderId="0" xfId="2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/>
    <xf numFmtId="0" fontId="11" fillId="0" borderId="0" xfId="2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5" applyFont="1" applyFill="1" applyBorder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6" applyFont="1" applyFill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left" vertical="center"/>
    </xf>
    <xf numFmtId="0" fontId="7" fillId="0" borderId="4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12" fillId="0" borderId="0" xfId="6" applyFont="1" applyFill="1" applyAlignment="1">
      <alignment horizontal="left" vertical="center"/>
    </xf>
    <xf numFmtId="0" fontId="7" fillId="0" borderId="0" xfId="6" applyFont="1" applyFill="1" applyAlignment="1">
      <alignment horizontal="left" vertical="center"/>
    </xf>
    <xf numFmtId="3" fontId="7" fillId="0" borderId="0" xfId="2" applyNumberFormat="1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4" fillId="0" borderId="0" xfId="18"/>
    <xf numFmtId="0" fontId="4" fillId="0" borderId="0" xfId="15" applyFont="1"/>
    <xf numFmtId="0" fontId="4" fillId="15" borderId="0" xfId="15" applyFont="1" applyFill="1"/>
    <xf numFmtId="3" fontId="4" fillId="0" borderId="0" xfId="15" applyNumberFormat="1" applyFont="1"/>
    <xf numFmtId="0" fontId="20" fillId="0" borderId="0" xfId="0" applyFont="1"/>
    <xf numFmtId="0" fontId="20" fillId="0" borderId="0" xfId="0" applyFont="1" applyBorder="1"/>
    <xf numFmtId="0" fontId="20" fillId="11" borderId="0" xfId="0" applyFont="1" applyFill="1"/>
    <xf numFmtId="0" fontId="33" fillId="0" borderId="0" xfId="18" applyFont="1"/>
    <xf numFmtId="0" fontId="5" fillId="0" borderId="0" xfId="15"/>
    <xf numFmtId="0" fontId="3" fillId="14" borderId="0" xfId="15" applyFont="1" applyFill="1"/>
    <xf numFmtId="0" fontId="15" fillId="14" borderId="0" xfId="15" applyFont="1" applyFill="1"/>
    <xf numFmtId="0" fontId="5" fillId="11" borderId="0" xfId="15" applyFill="1"/>
    <xf numFmtId="0" fontId="33" fillId="0" borderId="0" xfId="15" applyFont="1" applyFill="1"/>
    <xf numFmtId="0" fontId="34" fillId="0" borderId="0" xfId="15" applyFont="1"/>
    <xf numFmtId="0" fontId="3" fillId="0" borderId="0" xfId="15" applyFont="1" applyFill="1"/>
    <xf numFmtId="0" fontId="0" fillId="11" borderId="0" xfId="0" applyFill="1" applyAlignment="1">
      <alignment horizontal="left"/>
    </xf>
    <xf numFmtId="0" fontId="2" fillId="0" borderId="0" xfId="15" applyFont="1" applyFill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3" fontId="0" fillId="0" borderId="0" xfId="0" applyNumberFormat="1" applyBorder="1"/>
    <xf numFmtId="0" fontId="0" fillId="6" borderId="0" xfId="0" applyFill="1" applyAlignment="1"/>
    <xf numFmtId="0" fontId="18" fillId="7" borderId="0" xfId="7" applyFill="1" applyAlignment="1">
      <alignment wrapText="1"/>
    </xf>
    <xf numFmtId="0" fontId="18" fillId="7" borderId="0" xfId="7" applyFill="1" applyAlignment="1">
      <alignment horizontal="right"/>
    </xf>
    <xf numFmtId="0" fontId="20" fillId="6" borderId="7" xfId="0" applyFont="1" applyFill="1" applyBorder="1" applyAlignment="1">
      <alignment horizontal="center" vertical="center" wrapText="1"/>
    </xf>
    <xf numFmtId="0" fontId="17" fillId="8" borderId="0" xfId="6" applyFont="1" applyFill="1" applyAlignment="1">
      <alignment horizontal="center" vertical="center"/>
    </xf>
    <xf numFmtId="3" fontId="1" fillId="7" borderId="0" xfId="0" applyNumberFormat="1" applyFont="1" applyFill="1" applyBorder="1" applyAlignment="1">
      <alignment horizontal="right"/>
    </xf>
    <xf numFmtId="3" fontId="1" fillId="7" borderId="6" xfId="0" applyNumberFormat="1" applyFont="1" applyFill="1" applyBorder="1" applyAlignment="1">
      <alignment horizontal="right"/>
    </xf>
    <xf numFmtId="0" fontId="0" fillId="6" borderId="6" xfId="0" applyFill="1" applyBorder="1" applyAlignment="1"/>
    <xf numFmtId="0" fontId="20" fillId="6" borderId="6" xfId="0" applyFont="1" applyFill="1" applyBorder="1" applyAlignment="1"/>
    <xf numFmtId="0" fontId="38" fillId="6" borderId="6" xfId="0" applyFont="1" applyFill="1" applyBorder="1" applyAlignment="1"/>
    <xf numFmtId="0" fontId="8" fillId="2" borderId="0" xfId="8" applyFont="1" applyFill="1" applyBorder="1" applyAlignment="1">
      <alignment vertical="center" wrapText="1"/>
    </xf>
    <xf numFmtId="0" fontId="7" fillId="0" borderId="0" xfId="8" applyFont="1" applyBorder="1" applyAlignment="1">
      <alignment vertical="center"/>
    </xf>
    <xf numFmtId="0" fontId="7" fillId="0" borderId="0" xfId="8" applyFont="1" applyBorder="1" applyAlignment="1">
      <alignment horizontal="right" vertical="center" wrapText="1"/>
    </xf>
    <xf numFmtId="0" fontId="7" fillId="0" borderId="4" xfId="8" applyFont="1" applyBorder="1" applyAlignment="1">
      <alignment horizontal="right" vertical="center" wrapText="1"/>
    </xf>
    <xf numFmtId="0" fontId="7" fillId="0" borderId="4" xfId="8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4" xfId="8" applyFont="1" applyBorder="1" applyAlignment="1">
      <alignment vertical="center"/>
    </xf>
    <xf numFmtId="0" fontId="7" fillId="0" borderId="2" xfId="8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5" xfId="8" applyFont="1" applyBorder="1" applyAlignment="1">
      <alignment horizontal="right" vertical="center" wrapText="1"/>
    </xf>
    <xf numFmtId="0" fontId="8" fillId="2" borderId="0" xfId="2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right" vertical="center" wrapText="1"/>
    </xf>
    <xf numFmtId="0" fontId="7" fillId="0" borderId="4" xfId="2" applyFont="1" applyBorder="1" applyAlignment="1">
      <alignment horizontal="right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0" borderId="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0" xfId="8" applyFont="1" applyBorder="1" applyAlignment="1">
      <alignment horizontal="center" vertical="center" wrapText="1"/>
    </xf>
    <xf numFmtId="0" fontId="8" fillId="2" borderId="1" xfId="8" applyFont="1" applyFill="1" applyBorder="1" applyAlignment="1">
      <alignment vertical="center" wrapText="1"/>
    </xf>
    <xf numFmtId="0" fontId="8" fillId="2" borderId="2" xfId="8" applyFont="1" applyFill="1" applyBorder="1" applyAlignment="1">
      <alignment vertical="center" wrapText="1"/>
    </xf>
    <xf numFmtId="0" fontId="8" fillId="2" borderId="3" xfId="8" applyFont="1" applyFill="1" applyBorder="1" applyAlignment="1">
      <alignment vertical="center" wrapText="1"/>
    </xf>
    <xf numFmtId="0" fontId="7" fillId="0" borderId="4" xfId="8" applyFont="1" applyBorder="1" applyAlignment="1">
      <alignment horizontal="right" vertical="center"/>
    </xf>
    <xf numFmtId="0" fontId="8" fillId="2" borderId="1" xfId="2" applyFont="1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8" fillId="2" borderId="3" xfId="2" applyFont="1" applyFill="1" applyBorder="1" applyAlignment="1">
      <alignment vertical="center" wrapText="1"/>
    </xf>
    <xf numFmtId="0" fontId="7" fillId="0" borderId="0" xfId="6" applyFont="1" applyAlignment="1">
      <alignment horizontal="left" vertical="center" wrapText="1"/>
    </xf>
    <xf numFmtId="0" fontId="7" fillId="0" borderId="4" xfId="2" applyFont="1" applyBorder="1" applyAlignment="1">
      <alignment horizontal="right" vertical="center"/>
    </xf>
    <xf numFmtId="0" fontId="0" fillId="6" borderId="0" xfId="0" applyFill="1" applyAlignment="1">
      <alignment horizontal="left" wrapText="1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16" fillId="4" borderId="0" xfId="0" applyFont="1" applyFill="1" applyAlignment="1">
      <alignment horizontal="left" wrapText="1"/>
    </xf>
    <xf numFmtId="0" fontId="17" fillId="8" borderId="0" xfId="6" applyFont="1" applyFill="1" applyAlignment="1">
      <alignment horizontal="center" vertical="center"/>
    </xf>
    <xf numFmtId="0" fontId="0" fillId="6" borderId="0" xfId="0" applyFill="1" applyAlignment="1">
      <alignment horizontal="left"/>
    </xf>
    <xf numFmtId="0" fontId="0" fillId="6" borderId="6" xfId="0" applyFill="1" applyBorder="1" applyAlignment="1">
      <alignment horizontal="center"/>
    </xf>
    <xf numFmtId="0" fontId="20" fillId="6" borderId="7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/>
    </xf>
    <xf numFmtId="0" fontId="20" fillId="6" borderId="8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30" fillId="12" borderId="9" xfId="0" applyFont="1" applyFill="1" applyBorder="1" applyAlignment="1">
      <alignment horizontal="left"/>
    </xf>
    <xf numFmtId="0" fontId="30" fillId="12" borderId="10" xfId="0" applyFont="1" applyFill="1" applyBorder="1" applyAlignment="1">
      <alignment horizontal="left"/>
    </xf>
    <xf numFmtId="0" fontId="30" fillId="12" borderId="11" xfId="0" applyFont="1" applyFill="1" applyBorder="1" applyAlignment="1">
      <alignment horizontal="left"/>
    </xf>
    <xf numFmtId="0" fontId="31" fillId="7" borderId="9" xfId="0" applyFont="1" applyFill="1" applyBorder="1" applyAlignment="1">
      <alignment horizontal="left"/>
    </xf>
    <xf numFmtId="0" fontId="31" fillId="7" borderId="10" xfId="0" applyFont="1" applyFill="1" applyBorder="1" applyAlignment="1">
      <alignment horizontal="left"/>
    </xf>
    <xf numFmtId="0" fontId="31" fillId="7" borderId="11" xfId="0" applyFont="1" applyFill="1" applyBorder="1" applyAlignment="1">
      <alignment horizontal="left"/>
    </xf>
    <xf numFmtId="0" fontId="18" fillId="7" borderId="0" xfId="7" applyFill="1" applyAlignment="1">
      <alignment horizontal="right"/>
    </xf>
    <xf numFmtId="0" fontId="18" fillId="7" borderId="0" xfId="7" applyFill="1" applyAlignment="1">
      <alignment horizontal="right" wrapText="1"/>
    </xf>
    <xf numFmtId="0" fontId="20" fillId="6" borderId="0" xfId="0" applyFont="1" applyFill="1" applyAlignment="1">
      <alignment horizontal="left" wrapText="1"/>
    </xf>
    <xf numFmtId="0" fontId="20" fillId="6" borderId="7" xfId="0" applyFont="1" applyFill="1" applyBorder="1" applyAlignment="1">
      <alignment horizontal="center" vertical="center"/>
    </xf>
    <xf numFmtId="0" fontId="20" fillId="6" borderId="0" xfId="0" applyFont="1" applyFill="1" applyAlignment="1">
      <alignment horizontal="left"/>
    </xf>
    <xf numFmtId="0" fontId="25" fillId="6" borderId="0" xfId="0" applyFont="1" applyFill="1" applyAlignment="1">
      <alignment horizontal="left" wrapText="1"/>
    </xf>
    <xf numFmtId="0" fontId="24" fillId="6" borderId="0" xfId="7" applyFont="1" applyFill="1" applyAlignment="1">
      <alignment horizontal="left"/>
    </xf>
    <xf numFmtId="0" fontId="36" fillId="7" borderId="0" xfId="16" applyFill="1" applyAlignment="1">
      <alignment horizontal="left"/>
    </xf>
  </cellXfs>
  <cellStyles count="19">
    <cellStyle name="Hyperlink" xfId="7" xr:uid="{00000000-0005-0000-0000-000000000000}"/>
    <cellStyle name="Hyperlink 2" xfId="16" xr:uid="{14D701DD-FA19-42B6-AAE8-F25DA7CD25CF}"/>
    <cellStyle name="Normal" xfId="0" builtinId="0"/>
    <cellStyle name="Normal 2" xfId="6" xr:uid="{00000000-0005-0000-0000-000002000000}"/>
    <cellStyle name="Normal 3" xfId="15" xr:uid="{0E8AF1F4-7C23-4282-9293-80294B04E8FA}"/>
    <cellStyle name="Normal 4" xfId="18" xr:uid="{65791FD8-E091-4A43-A069-10C945A606E8}"/>
    <cellStyle name="Normal 5" xfId="14" xr:uid="{D2692BEA-E100-465D-9356-1730401922DB}"/>
    <cellStyle name="Normal_Book1" xfId="5" xr:uid="{00000000-0005-0000-0000-000003000000}"/>
    <cellStyle name="Normal_Book1 2" xfId="12" xr:uid="{00000000-0005-0000-0000-000004000000}"/>
    <cellStyle name="Normal_Ethnicity and gender" xfId="4" xr:uid="{00000000-0005-0000-0000-000005000000}"/>
    <cellStyle name="Normal_Ethnicity and gender 2" xfId="10" xr:uid="{00000000-0005-0000-0000-000006000000}"/>
    <cellStyle name="Normal_Gender" xfId="3" xr:uid="{00000000-0005-0000-0000-000007000000}"/>
    <cellStyle name="Normal_Gender 2" xfId="9" xr:uid="{00000000-0005-0000-0000-000008000000}"/>
    <cellStyle name="Normal_Injuries" xfId="2" xr:uid="{00000000-0005-0000-0000-000009000000}"/>
    <cellStyle name="Normal_Injuries 2" xfId="8" xr:uid="{00000000-0005-0000-0000-00000A000000}"/>
    <cellStyle name="Normal_Operational Activities" xfId="13" xr:uid="{00000000-0005-0000-0000-00000B000000}"/>
    <cellStyle name="Percent" xfId="1" builtinId="5"/>
    <cellStyle name="Percent 2" xfId="11" xr:uid="{00000000-0005-0000-0000-00000D000000}"/>
    <cellStyle name="Percent 3" xfId="17" xr:uid="{A5912910-FFFE-46A4-B15A-369EA78D5948}"/>
  </cellStyles>
  <dxfs count="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78313648293956E-2"/>
          <c:y val="5.4977398658501056E-2"/>
          <c:w val="0.92169931102362235"/>
          <c:h val="0.886579278905850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Charts!$H$4</c:f>
              <c:strCache>
                <c:ptCount val="1"/>
                <c:pt idx="0">
                  <c:v>Operational incidents</c:v>
                </c:pt>
              </c:strCache>
            </c:strRef>
          </c:tx>
          <c:spPr>
            <a:solidFill>
              <a:srgbClr val="CC99FF"/>
            </a:solidFill>
            <a:ln>
              <a:noFill/>
            </a:ln>
            <a:effectLst/>
          </c:spPr>
          <c:invertIfNegative val="0"/>
          <c:cat>
            <c:strRef>
              <c:f>Charts!$I$3:$X$3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Charts!$I$4:$X$4</c:f>
              <c:numCache>
                <c:formatCode>#,##0</c:formatCode>
                <c:ptCount val="16"/>
                <c:pt idx="0">
                  <c:v>2909</c:v>
                </c:pt>
                <c:pt idx="1">
                  <c:v>3420</c:v>
                </c:pt>
                <c:pt idx="2">
                  <c:v>2476</c:v>
                </c:pt>
                <c:pt idx="3">
                  <c:v>2122</c:v>
                </c:pt>
                <c:pt idx="4">
                  <c:v>1999</c:v>
                </c:pt>
                <c:pt idx="5">
                  <c:v>1800</c:v>
                </c:pt>
                <c:pt idx="6">
                  <c:v>1486</c:v>
                </c:pt>
                <c:pt idx="7">
                  <c:v>1432</c:v>
                </c:pt>
                <c:pt idx="8">
                  <c:v>1229</c:v>
                </c:pt>
                <c:pt idx="9">
                  <c:v>1220</c:v>
                </c:pt>
                <c:pt idx="10">
                  <c:v>957</c:v>
                </c:pt>
                <c:pt idx="11">
                  <c:v>1097</c:v>
                </c:pt>
                <c:pt idx="12">
                  <c:v>1037</c:v>
                </c:pt>
                <c:pt idx="13">
                  <c:v>1049</c:v>
                </c:pt>
                <c:pt idx="14">
                  <c:v>1071</c:v>
                </c:pt>
                <c:pt idx="15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3-47FB-8EAA-B4F6C4AEF2D8}"/>
            </c:ext>
          </c:extLst>
        </c:ser>
        <c:ser>
          <c:idx val="1"/>
          <c:order val="1"/>
          <c:tx>
            <c:strRef>
              <c:f>Charts!$H$5</c:f>
              <c:strCache>
                <c:ptCount val="1"/>
                <c:pt idx="0">
                  <c:v>Training and routine work</c:v>
                </c:pt>
              </c:strCache>
            </c:strRef>
          </c:tx>
          <c:spPr>
            <a:solidFill>
              <a:srgbClr val="604A7B"/>
            </a:solidFill>
            <a:ln>
              <a:noFill/>
            </a:ln>
            <a:effectLst/>
          </c:spPr>
          <c:invertIfNegative val="0"/>
          <c:cat>
            <c:strRef>
              <c:f>Charts!$I$3:$X$3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Charts!$I$5:$X$5</c:f>
              <c:numCache>
                <c:formatCode>#,##0</c:formatCode>
                <c:ptCount val="16"/>
                <c:pt idx="0">
                  <c:v>3390</c:v>
                </c:pt>
                <c:pt idx="1">
                  <c:v>3092</c:v>
                </c:pt>
                <c:pt idx="2">
                  <c:v>3078</c:v>
                </c:pt>
                <c:pt idx="3">
                  <c:v>2471</c:v>
                </c:pt>
                <c:pt idx="4">
                  <c:v>2313</c:v>
                </c:pt>
                <c:pt idx="5">
                  <c:v>2491</c:v>
                </c:pt>
                <c:pt idx="6">
                  <c:v>2342</c:v>
                </c:pt>
                <c:pt idx="7">
                  <c:v>2408</c:v>
                </c:pt>
                <c:pt idx="8">
                  <c:v>2266</c:v>
                </c:pt>
                <c:pt idx="9">
                  <c:v>2163</c:v>
                </c:pt>
                <c:pt idx="10">
                  <c:v>2271</c:v>
                </c:pt>
                <c:pt idx="11">
                  <c:v>2049</c:v>
                </c:pt>
                <c:pt idx="12">
                  <c:v>1590</c:v>
                </c:pt>
                <c:pt idx="13">
                  <c:v>1553</c:v>
                </c:pt>
                <c:pt idx="14">
                  <c:v>1452</c:v>
                </c:pt>
                <c:pt idx="15">
                  <c:v>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3-47FB-8EAA-B4F6C4AE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0914560"/>
        <c:axId val="141983744"/>
      </c:barChart>
      <c:catAx>
        <c:axId val="13091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983744"/>
        <c:crosses val="autoZero"/>
        <c:auto val="1"/>
        <c:lblAlgn val="ctr"/>
        <c:lblOffset val="100"/>
        <c:noMultiLvlLbl val="0"/>
      </c:catAx>
      <c:valAx>
        <c:axId val="14198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91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752329396325459"/>
          <c:y val="6.8386941021639294E-2"/>
          <c:w val="0.73652329396325467"/>
          <c:h val="7.812554680664918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15</xdr:row>
      <xdr:rowOff>200024</xdr:rowOff>
    </xdr:from>
    <xdr:to>
      <xdr:col>17</xdr:col>
      <xdr:colOff>0</xdr:colOff>
      <xdr:row>39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52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53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54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55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2"/>
  </sheetPr>
  <dimension ref="B1:H67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9.26953125" style="122"/>
    <col min="2" max="2" width="28.7265625" style="122" customWidth="1"/>
    <col min="3" max="4" width="20" style="122" customWidth="1"/>
    <col min="5" max="5" width="15.26953125" style="122" customWidth="1"/>
    <col min="6" max="6" width="17.7265625" style="122" customWidth="1"/>
    <col min="7" max="257" width="9.26953125" style="122"/>
    <col min="258" max="258" width="28.7265625" style="122" customWidth="1"/>
    <col min="259" max="260" width="20" style="122" customWidth="1"/>
    <col min="261" max="261" width="15.26953125" style="122" customWidth="1"/>
    <col min="262" max="262" width="17.7265625" style="122" customWidth="1"/>
    <col min="263" max="513" width="9.26953125" style="122"/>
    <col min="514" max="514" width="28.7265625" style="122" customWidth="1"/>
    <col min="515" max="516" width="20" style="122" customWidth="1"/>
    <col min="517" max="517" width="15.26953125" style="122" customWidth="1"/>
    <col min="518" max="518" width="17.7265625" style="122" customWidth="1"/>
    <col min="519" max="769" width="9.26953125" style="122"/>
    <col min="770" max="770" width="28.7265625" style="122" customWidth="1"/>
    <col min="771" max="772" width="20" style="122" customWidth="1"/>
    <col min="773" max="773" width="15.26953125" style="122" customWidth="1"/>
    <col min="774" max="774" width="17.7265625" style="122" customWidth="1"/>
    <col min="775" max="1025" width="9.26953125" style="122"/>
    <col min="1026" max="1026" width="28.7265625" style="122" customWidth="1"/>
    <col min="1027" max="1028" width="20" style="122" customWidth="1"/>
    <col min="1029" max="1029" width="15.26953125" style="122" customWidth="1"/>
    <col min="1030" max="1030" width="17.7265625" style="122" customWidth="1"/>
    <col min="1031" max="1281" width="9.26953125" style="122"/>
    <col min="1282" max="1282" width="28.7265625" style="122" customWidth="1"/>
    <col min="1283" max="1284" width="20" style="122" customWidth="1"/>
    <col min="1285" max="1285" width="15.26953125" style="122" customWidth="1"/>
    <col min="1286" max="1286" width="17.7265625" style="122" customWidth="1"/>
    <col min="1287" max="1537" width="9.26953125" style="122"/>
    <col min="1538" max="1538" width="28.7265625" style="122" customWidth="1"/>
    <col min="1539" max="1540" width="20" style="122" customWidth="1"/>
    <col min="1541" max="1541" width="15.26953125" style="122" customWidth="1"/>
    <col min="1542" max="1542" width="17.7265625" style="122" customWidth="1"/>
    <col min="1543" max="1793" width="9.26953125" style="122"/>
    <col min="1794" max="1794" width="28.7265625" style="122" customWidth="1"/>
    <col min="1795" max="1796" width="20" style="122" customWidth="1"/>
    <col min="1797" max="1797" width="15.26953125" style="122" customWidth="1"/>
    <col min="1798" max="1798" width="17.7265625" style="122" customWidth="1"/>
    <col min="1799" max="2049" width="9.26953125" style="122"/>
    <col min="2050" max="2050" width="28.7265625" style="122" customWidth="1"/>
    <col min="2051" max="2052" width="20" style="122" customWidth="1"/>
    <col min="2053" max="2053" width="15.26953125" style="122" customWidth="1"/>
    <col min="2054" max="2054" width="17.7265625" style="122" customWidth="1"/>
    <col min="2055" max="2305" width="9.26953125" style="122"/>
    <col min="2306" max="2306" width="28.7265625" style="122" customWidth="1"/>
    <col min="2307" max="2308" width="20" style="122" customWidth="1"/>
    <col min="2309" max="2309" width="15.26953125" style="122" customWidth="1"/>
    <col min="2310" max="2310" width="17.7265625" style="122" customWidth="1"/>
    <col min="2311" max="2561" width="9.26953125" style="122"/>
    <col min="2562" max="2562" width="28.7265625" style="122" customWidth="1"/>
    <col min="2563" max="2564" width="20" style="122" customWidth="1"/>
    <col min="2565" max="2565" width="15.26953125" style="122" customWidth="1"/>
    <col min="2566" max="2566" width="17.7265625" style="122" customWidth="1"/>
    <col min="2567" max="2817" width="9.26953125" style="122"/>
    <col min="2818" max="2818" width="28.7265625" style="122" customWidth="1"/>
    <col min="2819" max="2820" width="20" style="122" customWidth="1"/>
    <col min="2821" max="2821" width="15.26953125" style="122" customWidth="1"/>
    <col min="2822" max="2822" width="17.7265625" style="122" customWidth="1"/>
    <col min="2823" max="3073" width="9.26953125" style="122"/>
    <col min="3074" max="3074" width="28.7265625" style="122" customWidth="1"/>
    <col min="3075" max="3076" width="20" style="122" customWidth="1"/>
    <col min="3077" max="3077" width="15.26953125" style="122" customWidth="1"/>
    <col min="3078" max="3078" width="17.7265625" style="122" customWidth="1"/>
    <col min="3079" max="3329" width="9.26953125" style="122"/>
    <col min="3330" max="3330" width="28.7265625" style="122" customWidth="1"/>
    <col min="3331" max="3332" width="20" style="122" customWidth="1"/>
    <col min="3333" max="3333" width="15.26953125" style="122" customWidth="1"/>
    <col min="3334" max="3334" width="17.7265625" style="122" customWidth="1"/>
    <col min="3335" max="3585" width="9.26953125" style="122"/>
    <col min="3586" max="3586" width="28.7265625" style="122" customWidth="1"/>
    <col min="3587" max="3588" width="20" style="122" customWidth="1"/>
    <col min="3589" max="3589" width="15.26953125" style="122" customWidth="1"/>
    <col min="3590" max="3590" width="17.7265625" style="122" customWidth="1"/>
    <col min="3591" max="3841" width="9.26953125" style="122"/>
    <col min="3842" max="3842" width="28.7265625" style="122" customWidth="1"/>
    <col min="3843" max="3844" width="20" style="122" customWidth="1"/>
    <col min="3845" max="3845" width="15.26953125" style="122" customWidth="1"/>
    <col min="3846" max="3846" width="17.7265625" style="122" customWidth="1"/>
    <col min="3847" max="4097" width="9.26953125" style="122"/>
    <col min="4098" max="4098" width="28.7265625" style="122" customWidth="1"/>
    <col min="4099" max="4100" width="20" style="122" customWidth="1"/>
    <col min="4101" max="4101" width="15.26953125" style="122" customWidth="1"/>
    <col min="4102" max="4102" width="17.7265625" style="122" customWidth="1"/>
    <col min="4103" max="4353" width="9.26953125" style="122"/>
    <col min="4354" max="4354" width="28.7265625" style="122" customWidth="1"/>
    <col min="4355" max="4356" width="20" style="122" customWidth="1"/>
    <col min="4357" max="4357" width="15.26953125" style="122" customWidth="1"/>
    <col min="4358" max="4358" width="17.7265625" style="122" customWidth="1"/>
    <col min="4359" max="4609" width="9.26953125" style="122"/>
    <col min="4610" max="4610" width="28.7265625" style="122" customWidth="1"/>
    <col min="4611" max="4612" width="20" style="122" customWidth="1"/>
    <col min="4613" max="4613" width="15.26953125" style="122" customWidth="1"/>
    <col min="4614" max="4614" width="17.7265625" style="122" customWidth="1"/>
    <col min="4615" max="4865" width="9.26953125" style="122"/>
    <col min="4866" max="4866" width="28.7265625" style="122" customWidth="1"/>
    <col min="4867" max="4868" width="20" style="122" customWidth="1"/>
    <col min="4869" max="4869" width="15.26953125" style="122" customWidth="1"/>
    <col min="4870" max="4870" width="17.7265625" style="122" customWidth="1"/>
    <col min="4871" max="5121" width="9.26953125" style="122"/>
    <col min="5122" max="5122" width="28.7265625" style="122" customWidth="1"/>
    <col min="5123" max="5124" width="20" style="122" customWidth="1"/>
    <col min="5125" max="5125" width="15.26953125" style="122" customWidth="1"/>
    <col min="5126" max="5126" width="17.7265625" style="122" customWidth="1"/>
    <col min="5127" max="5377" width="9.26953125" style="122"/>
    <col min="5378" max="5378" width="28.7265625" style="122" customWidth="1"/>
    <col min="5379" max="5380" width="20" style="122" customWidth="1"/>
    <col min="5381" max="5381" width="15.26953125" style="122" customWidth="1"/>
    <col min="5382" max="5382" width="17.7265625" style="122" customWidth="1"/>
    <col min="5383" max="5633" width="9.26953125" style="122"/>
    <col min="5634" max="5634" width="28.7265625" style="122" customWidth="1"/>
    <col min="5635" max="5636" width="20" style="122" customWidth="1"/>
    <col min="5637" max="5637" width="15.26953125" style="122" customWidth="1"/>
    <col min="5638" max="5638" width="17.7265625" style="122" customWidth="1"/>
    <col min="5639" max="5889" width="9.26953125" style="122"/>
    <col min="5890" max="5890" width="28.7265625" style="122" customWidth="1"/>
    <col min="5891" max="5892" width="20" style="122" customWidth="1"/>
    <col min="5893" max="5893" width="15.26953125" style="122" customWidth="1"/>
    <col min="5894" max="5894" width="17.7265625" style="122" customWidth="1"/>
    <col min="5895" max="6145" width="9.26953125" style="122"/>
    <col min="6146" max="6146" width="28.7265625" style="122" customWidth="1"/>
    <col min="6147" max="6148" width="20" style="122" customWidth="1"/>
    <col min="6149" max="6149" width="15.26953125" style="122" customWidth="1"/>
    <col min="6150" max="6150" width="17.7265625" style="122" customWidth="1"/>
    <col min="6151" max="6401" width="9.26953125" style="122"/>
    <col min="6402" max="6402" width="28.7265625" style="122" customWidth="1"/>
    <col min="6403" max="6404" width="20" style="122" customWidth="1"/>
    <col min="6405" max="6405" width="15.26953125" style="122" customWidth="1"/>
    <col min="6406" max="6406" width="17.7265625" style="122" customWidth="1"/>
    <col min="6407" max="6657" width="9.26953125" style="122"/>
    <col min="6658" max="6658" width="28.7265625" style="122" customWidth="1"/>
    <col min="6659" max="6660" width="20" style="122" customWidth="1"/>
    <col min="6661" max="6661" width="15.26953125" style="122" customWidth="1"/>
    <col min="6662" max="6662" width="17.7265625" style="122" customWidth="1"/>
    <col min="6663" max="6913" width="9.26953125" style="122"/>
    <col min="6914" max="6914" width="28.7265625" style="122" customWidth="1"/>
    <col min="6915" max="6916" width="20" style="122" customWidth="1"/>
    <col min="6917" max="6917" width="15.26953125" style="122" customWidth="1"/>
    <col min="6918" max="6918" width="17.7265625" style="122" customWidth="1"/>
    <col min="6919" max="7169" width="9.26953125" style="122"/>
    <col min="7170" max="7170" width="28.7265625" style="122" customWidth="1"/>
    <col min="7171" max="7172" width="20" style="122" customWidth="1"/>
    <col min="7173" max="7173" width="15.26953125" style="122" customWidth="1"/>
    <col min="7174" max="7174" width="17.7265625" style="122" customWidth="1"/>
    <col min="7175" max="7425" width="9.26953125" style="122"/>
    <col min="7426" max="7426" width="28.7265625" style="122" customWidth="1"/>
    <col min="7427" max="7428" width="20" style="122" customWidth="1"/>
    <col min="7429" max="7429" width="15.26953125" style="122" customWidth="1"/>
    <col min="7430" max="7430" width="17.7265625" style="122" customWidth="1"/>
    <col min="7431" max="7681" width="9.26953125" style="122"/>
    <col min="7682" max="7682" width="28.7265625" style="122" customWidth="1"/>
    <col min="7683" max="7684" width="20" style="122" customWidth="1"/>
    <col min="7685" max="7685" width="15.26953125" style="122" customWidth="1"/>
    <col min="7686" max="7686" width="17.7265625" style="122" customWidth="1"/>
    <col min="7687" max="7937" width="9.26953125" style="122"/>
    <col min="7938" max="7938" width="28.7265625" style="122" customWidth="1"/>
    <col min="7939" max="7940" width="20" style="122" customWidth="1"/>
    <col min="7941" max="7941" width="15.26953125" style="122" customWidth="1"/>
    <col min="7942" max="7942" width="17.7265625" style="122" customWidth="1"/>
    <col min="7943" max="8193" width="9.26953125" style="122"/>
    <col min="8194" max="8194" width="28.7265625" style="122" customWidth="1"/>
    <col min="8195" max="8196" width="20" style="122" customWidth="1"/>
    <col min="8197" max="8197" width="15.26953125" style="122" customWidth="1"/>
    <col min="8198" max="8198" width="17.7265625" style="122" customWidth="1"/>
    <col min="8199" max="8449" width="9.26953125" style="122"/>
    <col min="8450" max="8450" width="28.7265625" style="122" customWidth="1"/>
    <col min="8451" max="8452" width="20" style="122" customWidth="1"/>
    <col min="8453" max="8453" width="15.26953125" style="122" customWidth="1"/>
    <col min="8454" max="8454" width="17.7265625" style="122" customWidth="1"/>
    <col min="8455" max="8705" width="9.26953125" style="122"/>
    <col min="8706" max="8706" width="28.7265625" style="122" customWidth="1"/>
    <col min="8707" max="8708" width="20" style="122" customWidth="1"/>
    <col min="8709" max="8709" width="15.26953125" style="122" customWidth="1"/>
    <col min="8710" max="8710" width="17.7265625" style="122" customWidth="1"/>
    <col min="8711" max="8961" width="9.26953125" style="122"/>
    <col min="8962" max="8962" width="28.7265625" style="122" customWidth="1"/>
    <col min="8963" max="8964" width="20" style="122" customWidth="1"/>
    <col min="8965" max="8965" width="15.26953125" style="122" customWidth="1"/>
    <col min="8966" max="8966" width="17.7265625" style="122" customWidth="1"/>
    <col min="8967" max="9217" width="9.26953125" style="122"/>
    <col min="9218" max="9218" width="28.7265625" style="122" customWidth="1"/>
    <col min="9219" max="9220" width="20" style="122" customWidth="1"/>
    <col min="9221" max="9221" width="15.26953125" style="122" customWidth="1"/>
    <col min="9222" max="9222" width="17.7265625" style="122" customWidth="1"/>
    <col min="9223" max="9473" width="9.26953125" style="122"/>
    <col min="9474" max="9474" width="28.7265625" style="122" customWidth="1"/>
    <col min="9475" max="9476" width="20" style="122" customWidth="1"/>
    <col min="9477" max="9477" width="15.26953125" style="122" customWidth="1"/>
    <col min="9478" max="9478" width="17.7265625" style="122" customWidth="1"/>
    <col min="9479" max="9729" width="9.26953125" style="122"/>
    <col min="9730" max="9730" width="28.7265625" style="122" customWidth="1"/>
    <col min="9731" max="9732" width="20" style="122" customWidth="1"/>
    <col min="9733" max="9733" width="15.26953125" style="122" customWidth="1"/>
    <col min="9734" max="9734" width="17.7265625" style="122" customWidth="1"/>
    <col min="9735" max="9985" width="9.26953125" style="122"/>
    <col min="9986" max="9986" width="28.7265625" style="122" customWidth="1"/>
    <col min="9987" max="9988" width="20" style="122" customWidth="1"/>
    <col min="9989" max="9989" width="15.26953125" style="122" customWidth="1"/>
    <col min="9990" max="9990" width="17.7265625" style="122" customWidth="1"/>
    <col min="9991" max="10241" width="9.26953125" style="122"/>
    <col min="10242" max="10242" width="28.7265625" style="122" customWidth="1"/>
    <col min="10243" max="10244" width="20" style="122" customWidth="1"/>
    <col min="10245" max="10245" width="15.26953125" style="122" customWidth="1"/>
    <col min="10246" max="10246" width="17.7265625" style="122" customWidth="1"/>
    <col min="10247" max="10497" width="9.26953125" style="122"/>
    <col min="10498" max="10498" width="28.7265625" style="122" customWidth="1"/>
    <col min="10499" max="10500" width="20" style="122" customWidth="1"/>
    <col min="10501" max="10501" width="15.26953125" style="122" customWidth="1"/>
    <col min="10502" max="10502" width="17.7265625" style="122" customWidth="1"/>
    <col min="10503" max="10753" width="9.26953125" style="122"/>
    <col min="10754" max="10754" width="28.7265625" style="122" customWidth="1"/>
    <col min="10755" max="10756" width="20" style="122" customWidth="1"/>
    <col min="10757" max="10757" width="15.26953125" style="122" customWidth="1"/>
    <col min="10758" max="10758" width="17.7265625" style="122" customWidth="1"/>
    <col min="10759" max="11009" width="9.26953125" style="122"/>
    <col min="11010" max="11010" width="28.7265625" style="122" customWidth="1"/>
    <col min="11011" max="11012" width="20" style="122" customWidth="1"/>
    <col min="11013" max="11013" width="15.26953125" style="122" customWidth="1"/>
    <col min="11014" max="11014" width="17.7265625" style="122" customWidth="1"/>
    <col min="11015" max="11265" width="9.26953125" style="122"/>
    <col min="11266" max="11266" width="28.7265625" style="122" customWidth="1"/>
    <col min="11267" max="11268" width="20" style="122" customWidth="1"/>
    <col min="11269" max="11269" width="15.26953125" style="122" customWidth="1"/>
    <col min="11270" max="11270" width="17.7265625" style="122" customWidth="1"/>
    <col min="11271" max="11521" width="9.26953125" style="122"/>
    <col min="11522" max="11522" width="28.7265625" style="122" customWidth="1"/>
    <col min="11523" max="11524" width="20" style="122" customWidth="1"/>
    <col min="11525" max="11525" width="15.26953125" style="122" customWidth="1"/>
    <col min="11526" max="11526" width="17.7265625" style="122" customWidth="1"/>
    <col min="11527" max="11777" width="9.26953125" style="122"/>
    <col min="11778" max="11778" width="28.7265625" style="122" customWidth="1"/>
    <col min="11779" max="11780" width="20" style="122" customWidth="1"/>
    <col min="11781" max="11781" width="15.26953125" style="122" customWidth="1"/>
    <col min="11782" max="11782" width="17.7265625" style="122" customWidth="1"/>
    <col min="11783" max="12033" width="9.26953125" style="122"/>
    <col min="12034" max="12034" width="28.7265625" style="122" customWidth="1"/>
    <col min="12035" max="12036" width="20" style="122" customWidth="1"/>
    <col min="12037" max="12037" width="15.26953125" style="122" customWidth="1"/>
    <col min="12038" max="12038" width="17.7265625" style="122" customWidth="1"/>
    <col min="12039" max="12289" width="9.26953125" style="122"/>
    <col min="12290" max="12290" width="28.7265625" style="122" customWidth="1"/>
    <col min="12291" max="12292" width="20" style="122" customWidth="1"/>
    <col min="12293" max="12293" width="15.26953125" style="122" customWidth="1"/>
    <col min="12294" max="12294" width="17.7265625" style="122" customWidth="1"/>
    <col min="12295" max="12545" width="9.26953125" style="122"/>
    <col min="12546" max="12546" width="28.7265625" style="122" customWidth="1"/>
    <col min="12547" max="12548" width="20" style="122" customWidth="1"/>
    <col min="12549" max="12549" width="15.26953125" style="122" customWidth="1"/>
    <col min="12550" max="12550" width="17.7265625" style="122" customWidth="1"/>
    <col min="12551" max="12801" width="9.26953125" style="122"/>
    <col min="12802" max="12802" width="28.7265625" style="122" customWidth="1"/>
    <col min="12803" max="12804" width="20" style="122" customWidth="1"/>
    <col min="12805" max="12805" width="15.26953125" style="122" customWidth="1"/>
    <col min="12806" max="12806" width="17.7265625" style="122" customWidth="1"/>
    <col min="12807" max="13057" width="9.26953125" style="122"/>
    <col min="13058" max="13058" width="28.7265625" style="122" customWidth="1"/>
    <col min="13059" max="13060" width="20" style="122" customWidth="1"/>
    <col min="13061" max="13061" width="15.26953125" style="122" customWidth="1"/>
    <col min="13062" max="13062" width="17.7265625" style="122" customWidth="1"/>
    <col min="13063" max="13313" width="9.26953125" style="122"/>
    <col min="13314" max="13314" width="28.7265625" style="122" customWidth="1"/>
    <col min="13315" max="13316" width="20" style="122" customWidth="1"/>
    <col min="13317" max="13317" width="15.26953125" style="122" customWidth="1"/>
    <col min="13318" max="13318" width="17.7265625" style="122" customWidth="1"/>
    <col min="13319" max="13569" width="9.26953125" style="122"/>
    <col min="13570" max="13570" width="28.7265625" style="122" customWidth="1"/>
    <col min="13571" max="13572" width="20" style="122" customWidth="1"/>
    <col min="13573" max="13573" width="15.26953125" style="122" customWidth="1"/>
    <col min="13574" max="13574" width="17.7265625" style="122" customWidth="1"/>
    <col min="13575" max="13825" width="9.26953125" style="122"/>
    <col min="13826" max="13826" width="28.7265625" style="122" customWidth="1"/>
    <col min="13827" max="13828" width="20" style="122" customWidth="1"/>
    <col min="13829" max="13829" width="15.26953125" style="122" customWidth="1"/>
    <col min="13830" max="13830" width="17.7265625" style="122" customWidth="1"/>
    <col min="13831" max="14081" width="9.26953125" style="122"/>
    <col min="14082" max="14082" width="28.7265625" style="122" customWidth="1"/>
    <col min="14083" max="14084" width="20" style="122" customWidth="1"/>
    <col min="14085" max="14085" width="15.26953125" style="122" customWidth="1"/>
    <col min="14086" max="14086" width="17.7265625" style="122" customWidth="1"/>
    <col min="14087" max="14337" width="9.26953125" style="122"/>
    <col min="14338" max="14338" width="28.7265625" style="122" customWidth="1"/>
    <col min="14339" max="14340" width="20" style="122" customWidth="1"/>
    <col min="14341" max="14341" width="15.26953125" style="122" customWidth="1"/>
    <col min="14342" max="14342" width="17.7265625" style="122" customWidth="1"/>
    <col min="14343" max="14593" width="9.26953125" style="122"/>
    <col min="14594" max="14594" width="28.7265625" style="122" customWidth="1"/>
    <col min="14595" max="14596" width="20" style="122" customWidth="1"/>
    <col min="14597" max="14597" width="15.26953125" style="122" customWidth="1"/>
    <col min="14598" max="14598" width="17.7265625" style="122" customWidth="1"/>
    <col min="14599" max="14849" width="9.26953125" style="122"/>
    <col min="14850" max="14850" width="28.7265625" style="122" customWidth="1"/>
    <col min="14851" max="14852" width="20" style="122" customWidth="1"/>
    <col min="14853" max="14853" width="15.26953125" style="122" customWidth="1"/>
    <col min="14854" max="14854" width="17.7265625" style="122" customWidth="1"/>
    <col min="14855" max="15105" width="9.26953125" style="122"/>
    <col min="15106" max="15106" width="28.7265625" style="122" customWidth="1"/>
    <col min="15107" max="15108" width="20" style="122" customWidth="1"/>
    <col min="15109" max="15109" width="15.26953125" style="122" customWidth="1"/>
    <col min="15110" max="15110" width="17.7265625" style="122" customWidth="1"/>
    <col min="15111" max="15361" width="9.26953125" style="122"/>
    <col min="15362" max="15362" width="28.7265625" style="122" customWidth="1"/>
    <col min="15363" max="15364" width="20" style="122" customWidth="1"/>
    <col min="15365" max="15365" width="15.26953125" style="122" customWidth="1"/>
    <col min="15366" max="15366" width="17.7265625" style="122" customWidth="1"/>
    <col min="15367" max="15617" width="9.26953125" style="122"/>
    <col min="15618" max="15618" width="28.7265625" style="122" customWidth="1"/>
    <col min="15619" max="15620" width="20" style="122" customWidth="1"/>
    <col min="15621" max="15621" width="15.26953125" style="122" customWidth="1"/>
    <col min="15622" max="15622" width="17.7265625" style="122" customWidth="1"/>
    <col min="15623" max="15873" width="9.26953125" style="122"/>
    <col min="15874" max="15874" width="28.7265625" style="122" customWidth="1"/>
    <col min="15875" max="15876" width="20" style="122" customWidth="1"/>
    <col min="15877" max="15877" width="15.26953125" style="122" customWidth="1"/>
    <col min="15878" max="15878" width="17.7265625" style="122" customWidth="1"/>
    <col min="15879" max="16129" width="9.26953125" style="122"/>
    <col min="16130" max="16130" width="28.7265625" style="122" customWidth="1"/>
    <col min="16131" max="16132" width="20" style="122" customWidth="1"/>
    <col min="16133" max="16133" width="15.26953125" style="122" customWidth="1"/>
    <col min="16134" max="16134" width="17.7265625" style="122" customWidth="1"/>
    <col min="16135" max="16384" width="9.26953125" style="122"/>
  </cols>
  <sheetData>
    <row r="1" spans="2:8" ht="60" customHeight="1" x14ac:dyDescent="0.3">
      <c r="B1" s="286" t="s">
        <v>104</v>
      </c>
      <c r="C1" s="286"/>
      <c r="D1" s="286"/>
      <c r="E1" s="286"/>
      <c r="F1" s="286"/>
    </row>
    <row r="2" spans="2:8" ht="14.5" x14ac:dyDescent="0.3">
      <c r="B2" s="287"/>
      <c r="C2" s="288" t="s">
        <v>1</v>
      </c>
      <c r="D2" s="290" t="s">
        <v>2</v>
      </c>
      <c r="E2" s="290"/>
    </row>
    <row r="3" spans="2:8" ht="25" x14ac:dyDescent="0.3">
      <c r="B3" s="287"/>
      <c r="C3" s="289"/>
      <c r="D3" s="123" t="s">
        <v>3</v>
      </c>
      <c r="E3" s="123" t="s">
        <v>105</v>
      </c>
      <c r="F3" s="123" t="s">
        <v>5</v>
      </c>
    </row>
    <row r="4" spans="2:8" ht="24" customHeight="1" x14ac:dyDescent="0.3">
      <c r="B4" s="124" t="s">
        <v>6</v>
      </c>
      <c r="C4" s="125">
        <v>3840</v>
      </c>
      <c r="D4" s="125">
        <v>785</v>
      </c>
      <c r="E4" s="125">
        <v>78</v>
      </c>
      <c r="F4" s="125">
        <v>3</v>
      </c>
      <c r="G4" s="145"/>
      <c r="H4" s="145"/>
    </row>
    <row r="5" spans="2:8" s="127" customFormat="1" ht="25.5" customHeight="1" x14ac:dyDescent="0.3">
      <c r="B5" s="126" t="s">
        <v>7</v>
      </c>
      <c r="C5" s="125">
        <v>2628</v>
      </c>
      <c r="D5" s="125">
        <v>507</v>
      </c>
      <c r="E5" s="125">
        <v>60</v>
      </c>
      <c r="F5" s="125">
        <v>3</v>
      </c>
    </row>
    <row r="6" spans="2:8" ht="12.75" customHeight="1" x14ac:dyDescent="0.3">
      <c r="B6" s="128" t="s">
        <v>8</v>
      </c>
      <c r="C6" s="163">
        <v>101</v>
      </c>
      <c r="D6" s="163">
        <v>15</v>
      </c>
      <c r="E6" s="163">
        <v>0</v>
      </c>
      <c r="F6" s="163">
        <v>0</v>
      </c>
    </row>
    <row r="7" spans="2:8" ht="12.75" customHeight="1" x14ac:dyDescent="0.3">
      <c r="B7" s="128" t="s">
        <v>9</v>
      </c>
      <c r="C7" s="163">
        <v>152</v>
      </c>
      <c r="D7" s="163">
        <v>32</v>
      </c>
      <c r="E7" s="163">
        <v>0</v>
      </c>
      <c r="F7" s="163">
        <v>0</v>
      </c>
    </row>
    <row r="8" spans="2:8" x14ac:dyDescent="0.3">
      <c r="B8" s="128" t="s">
        <v>10</v>
      </c>
      <c r="C8" s="163">
        <v>73</v>
      </c>
      <c r="D8" s="163">
        <v>13</v>
      </c>
      <c r="E8" s="163">
        <v>3</v>
      </c>
      <c r="F8" s="163">
        <v>1</v>
      </c>
    </row>
    <row r="9" spans="2:8" ht="12.75" customHeight="1" x14ac:dyDescent="0.3">
      <c r="B9" s="128" t="s">
        <v>11</v>
      </c>
      <c r="C9" s="163">
        <v>54</v>
      </c>
      <c r="D9" s="163">
        <v>5</v>
      </c>
      <c r="E9" s="163">
        <v>0</v>
      </c>
      <c r="F9" s="163">
        <v>0</v>
      </c>
      <c r="H9" s="145"/>
    </row>
    <row r="10" spans="2:8" ht="12.75" customHeight="1" x14ac:dyDescent="0.3">
      <c r="B10" s="128" t="s">
        <v>12</v>
      </c>
      <c r="C10" s="163">
        <v>136</v>
      </c>
      <c r="D10" s="163">
        <v>23</v>
      </c>
      <c r="E10" s="163">
        <v>0</v>
      </c>
      <c r="F10" s="163">
        <v>0</v>
      </c>
    </row>
    <row r="11" spans="2:8" ht="12.75" customHeight="1" x14ac:dyDescent="0.3">
      <c r="B11" s="128" t="s">
        <v>13</v>
      </c>
      <c r="C11" s="163">
        <v>18</v>
      </c>
      <c r="D11" s="163">
        <v>2</v>
      </c>
      <c r="E11" s="163">
        <v>0</v>
      </c>
      <c r="F11" s="163">
        <v>0</v>
      </c>
    </row>
    <row r="12" spans="2:8" ht="12.75" customHeight="1" x14ac:dyDescent="0.3">
      <c r="B12" s="128" t="s">
        <v>14</v>
      </c>
      <c r="C12" s="163">
        <v>23</v>
      </c>
      <c r="D12" s="163">
        <v>6</v>
      </c>
      <c r="E12" s="163">
        <v>0</v>
      </c>
      <c r="F12" s="163">
        <v>0</v>
      </c>
    </row>
    <row r="13" spans="2:8" ht="12.75" customHeight="1" x14ac:dyDescent="0.3">
      <c r="B13" s="128" t="s">
        <v>15</v>
      </c>
      <c r="C13" s="163">
        <v>55</v>
      </c>
      <c r="D13" s="163">
        <v>15</v>
      </c>
      <c r="E13" s="163">
        <v>0</v>
      </c>
      <c r="F13" s="163">
        <v>0</v>
      </c>
    </row>
    <row r="14" spans="2:8" ht="12.75" customHeight="1" x14ac:dyDescent="0.3">
      <c r="B14" s="128" t="s">
        <v>16</v>
      </c>
      <c r="C14" s="163">
        <v>26</v>
      </c>
      <c r="D14" s="163">
        <v>5</v>
      </c>
      <c r="E14" s="163">
        <v>0</v>
      </c>
      <c r="F14" s="163">
        <v>1</v>
      </c>
    </row>
    <row r="15" spans="2:8" ht="12.75" customHeight="1" x14ac:dyDescent="0.3">
      <c r="B15" s="128" t="s">
        <v>17</v>
      </c>
      <c r="C15" s="163">
        <v>57</v>
      </c>
      <c r="D15" s="163">
        <v>10</v>
      </c>
      <c r="E15" s="163">
        <v>0</v>
      </c>
      <c r="F15" s="163">
        <v>0</v>
      </c>
    </row>
    <row r="16" spans="2:8" ht="12.75" customHeight="1" x14ac:dyDescent="0.3">
      <c r="B16" s="130" t="s">
        <v>18</v>
      </c>
      <c r="C16" s="163">
        <v>168</v>
      </c>
      <c r="D16" s="163">
        <v>32</v>
      </c>
      <c r="E16" s="163">
        <v>1</v>
      </c>
      <c r="F16" s="163">
        <v>0</v>
      </c>
    </row>
    <row r="17" spans="2:6" s="181" customFormat="1" ht="12.75" customHeight="1" x14ac:dyDescent="0.3">
      <c r="B17" s="130" t="s">
        <v>122</v>
      </c>
      <c r="C17" s="163">
        <v>126</v>
      </c>
      <c r="D17" s="163">
        <v>22</v>
      </c>
      <c r="E17" s="163">
        <v>2</v>
      </c>
      <c r="F17" s="163">
        <v>0</v>
      </c>
    </row>
    <row r="18" spans="2:6" ht="12.75" customHeight="1" x14ac:dyDescent="0.3">
      <c r="B18" s="128" t="s">
        <v>20</v>
      </c>
      <c r="C18" s="163">
        <v>20</v>
      </c>
      <c r="D18" s="163">
        <v>4</v>
      </c>
      <c r="E18" s="163">
        <v>0</v>
      </c>
      <c r="F18" s="163">
        <v>0</v>
      </c>
    </row>
    <row r="19" spans="2:6" ht="12.75" customHeight="1" x14ac:dyDescent="0.3">
      <c r="B19" s="128" t="s">
        <v>21</v>
      </c>
      <c r="C19" s="163">
        <v>98</v>
      </c>
      <c r="D19" s="163">
        <v>11</v>
      </c>
      <c r="E19" s="163">
        <v>3</v>
      </c>
      <c r="F19" s="163">
        <v>0</v>
      </c>
    </row>
    <row r="20" spans="2:6" ht="12.75" customHeight="1" x14ac:dyDescent="0.3">
      <c r="B20" s="128" t="s">
        <v>22</v>
      </c>
      <c r="C20" s="163">
        <v>105</v>
      </c>
      <c r="D20" s="163">
        <v>24</v>
      </c>
      <c r="E20" s="163">
        <v>2</v>
      </c>
      <c r="F20" s="163">
        <v>0</v>
      </c>
    </row>
    <row r="21" spans="2:6" x14ac:dyDescent="0.3">
      <c r="B21" s="128" t="s">
        <v>23</v>
      </c>
      <c r="C21" s="163">
        <v>76</v>
      </c>
      <c r="D21" s="163">
        <v>12</v>
      </c>
      <c r="E21" s="163">
        <v>1</v>
      </c>
      <c r="F21" s="163">
        <v>0</v>
      </c>
    </row>
    <row r="22" spans="2:6" ht="12.75" customHeight="1" x14ac:dyDescent="0.3">
      <c r="B22" s="128" t="s">
        <v>106</v>
      </c>
      <c r="C22" s="163">
        <v>89</v>
      </c>
      <c r="D22" s="163">
        <v>23</v>
      </c>
      <c r="E22" s="163">
        <v>15</v>
      </c>
      <c r="F22" s="163">
        <v>0</v>
      </c>
    </row>
    <row r="23" spans="2:6" x14ac:dyDescent="0.3">
      <c r="B23" s="128" t="s">
        <v>25</v>
      </c>
      <c r="C23" s="163">
        <v>91</v>
      </c>
      <c r="D23" s="163">
        <v>19</v>
      </c>
      <c r="E23" s="163">
        <v>2</v>
      </c>
      <c r="F23" s="163">
        <v>0</v>
      </c>
    </row>
    <row r="24" spans="2:6" x14ac:dyDescent="0.3">
      <c r="B24" s="128" t="s">
        <v>26</v>
      </c>
      <c r="C24" s="163">
        <v>85</v>
      </c>
      <c r="D24" s="163">
        <v>22</v>
      </c>
      <c r="E24" s="163">
        <v>6</v>
      </c>
      <c r="F24" s="163">
        <v>0</v>
      </c>
    </row>
    <row r="25" spans="2:6" x14ac:dyDescent="0.3">
      <c r="B25" s="128" t="s">
        <v>27</v>
      </c>
      <c r="C25" s="163">
        <v>84</v>
      </c>
      <c r="D25" s="163">
        <v>13</v>
      </c>
      <c r="E25" s="163">
        <v>1</v>
      </c>
      <c r="F25" s="163">
        <v>0</v>
      </c>
    </row>
    <row r="26" spans="2:6" x14ac:dyDescent="0.3">
      <c r="B26" s="131" t="s">
        <v>28</v>
      </c>
      <c r="C26" s="163">
        <v>7</v>
      </c>
      <c r="D26" s="163">
        <v>0</v>
      </c>
      <c r="E26" s="163">
        <v>0</v>
      </c>
      <c r="F26" s="163">
        <v>1</v>
      </c>
    </row>
    <row r="27" spans="2:6" x14ac:dyDescent="0.3">
      <c r="B27" s="128" t="s">
        <v>29</v>
      </c>
      <c r="C27" s="163">
        <v>112</v>
      </c>
      <c r="D27" s="163">
        <v>18</v>
      </c>
      <c r="E27" s="163">
        <v>1</v>
      </c>
      <c r="F27" s="163">
        <v>0</v>
      </c>
    </row>
    <row r="28" spans="2:6" x14ac:dyDescent="0.3">
      <c r="B28" s="128" t="s">
        <v>30</v>
      </c>
      <c r="C28" s="163">
        <v>74</v>
      </c>
      <c r="D28" s="163">
        <v>23</v>
      </c>
      <c r="E28" s="163">
        <v>2</v>
      </c>
      <c r="F28" s="163">
        <v>0</v>
      </c>
    </row>
    <row r="29" spans="2:6" x14ac:dyDescent="0.3">
      <c r="B29" s="128" t="s">
        <v>31</v>
      </c>
      <c r="C29" s="163">
        <v>34</v>
      </c>
      <c r="D29" s="163">
        <v>7</v>
      </c>
      <c r="E29" s="163">
        <v>2</v>
      </c>
      <c r="F29" s="163">
        <v>0</v>
      </c>
    </row>
    <row r="30" spans="2:6" x14ac:dyDescent="0.3">
      <c r="B30" s="128" t="s">
        <v>32</v>
      </c>
      <c r="C30" s="163">
        <v>40</v>
      </c>
      <c r="D30" s="163">
        <v>17</v>
      </c>
      <c r="E30" s="163">
        <v>1</v>
      </c>
      <c r="F30" s="163">
        <v>0</v>
      </c>
    </row>
    <row r="31" spans="2:6" x14ac:dyDescent="0.3">
      <c r="B31" s="128" t="s">
        <v>33</v>
      </c>
      <c r="C31" s="163">
        <v>91</v>
      </c>
      <c r="D31" s="163">
        <v>21</v>
      </c>
      <c r="E31" s="163">
        <v>0</v>
      </c>
      <c r="F31" s="163">
        <v>0</v>
      </c>
    </row>
    <row r="32" spans="2:6" x14ac:dyDescent="0.3">
      <c r="B32" s="128" t="s">
        <v>34</v>
      </c>
      <c r="C32" s="163">
        <v>45</v>
      </c>
      <c r="D32" s="163">
        <v>7</v>
      </c>
      <c r="E32" s="163">
        <v>1</v>
      </c>
      <c r="F32" s="163">
        <v>0</v>
      </c>
    </row>
    <row r="33" spans="2:6" x14ac:dyDescent="0.3">
      <c r="B33" s="128" t="s">
        <v>35</v>
      </c>
      <c r="C33" s="163">
        <v>78</v>
      </c>
      <c r="D33" s="163">
        <v>15</v>
      </c>
      <c r="E33" s="163">
        <v>0</v>
      </c>
      <c r="F33" s="163">
        <v>0</v>
      </c>
    </row>
    <row r="34" spans="2:6" x14ac:dyDescent="0.3">
      <c r="B34" s="128" t="s">
        <v>36</v>
      </c>
      <c r="C34" s="163">
        <v>29</v>
      </c>
      <c r="D34" s="163">
        <v>7</v>
      </c>
      <c r="E34" s="163">
        <v>7</v>
      </c>
      <c r="F34" s="163">
        <v>0</v>
      </c>
    </row>
    <row r="35" spans="2:6" x14ac:dyDescent="0.3">
      <c r="B35" s="128" t="s">
        <v>37</v>
      </c>
      <c r="C35" s="163">
        <v>65</v>
      </c>
      <c r="D35" s="163">
        <v>16</v>
      </c>
      <c r="E35" s="163">
        <v>0</v>
      </c>
      <c r="F35" s="163">
        <v>0</v>
      </c>
    </row>
    <row r="36" spans="2:6" x14ac:dyDescent="0.3">
      <c r="B36" s="128" t="s">
        <v>38</v>
      </c>
      <c r="C36" s="163">
        <v>65</v>
      </c>
      <c r="D36" s="163">
        <v>13</v>
      </c>
      <c r="E36" s="163">
        <v>0</v>
      </c>
      <c r="F36" s="163">
        <v>0</v>
      </c>
    </row>
    <row r="37" spans="2:6" x14ac:dyDescent="0.3">
      <c r="B37" s="128" t="s">
        <v>39</v>
      </c>
      <c r="C37" s="163">
        <v>34</v>
      </c>
      <c r="D37" s="163">
        <v>3</v>
      </c>
      <c r="E37" s="163">
        <v>6</v>
      </c>
      <c r="F37" s="163">
        <v>0</v>
      </c>
    </row>
    <row r="38" spans="2:6" x14ac:dyDescent="0.3">
      <c r="B38" s="128" t="s">
        <v>40</v>
      </c>
      <c r="C38" s="163">
        <v>69</v>
      </c>
      <c r="D38" s="163">
        <v>14</v>
      </c>
      <c r="E38" s="163">
        <v>0</v>
      </c>
      <c r="F38" s="163">
        <v>0</v>
      </c>
    </row>
    <row r="39" spans="2:6" x14ac:dyDescent="0.3">
      <c r="B39" s="128" t="s">
        <v>41</v>
      </c>
      <c r="C39" s="163">
        <v>55</v>
      </c>
      <c r="D39" s="163">
        <v>7</v>
      </c>
      <c r="E39" s="163">
        <v>1</v>
      </c>
      <c r="F39" s="163">
        <v>0</v>
      </c>
    </row>
    <row r="40" spans="2:6" x14ac:dyDescent="0.3">
      <c r="B40" s="128" t="s">
        <v>42</v>
      </c>
      <c r="C40" s="163">
        <v>88</v>
      </c>
      <c r="D40" s="163">
        <v>6</v>
      </c>
      <c r="E40" s="163">
        <v>1</v>
      </c>
      <c r="F40" s="163">
        <v>0</v>
      </c>
    </row>
    <row r="41" spans="2:6" x14ac:dyDescent="0.3">
      <c r="B41" s="128" t="s">
        <v>43</v>
      </c>
      <c r="C41" s="163">
        <v>44</v>
      </c>
      <c r="D41" s="163">
        <v>13</v>
      </c>
      <c r="E41" s="163">
        <v>1</v>
      </c>
      <c r="F41" s="163">
        <v>0</v>
      </c>
    </row>
    <row r="42" spans="2:6" x14ac:dyDescent="0.3">
      <c r="B42" s="128" t="s">
        <v>44</v>
      </c>
      <c r="C42" s="163">
        <v>60</v>
      </c>
      <c r="D42" s="163">
        <v>12</v>
      </c>
      <c r="E42" s="163">
        <v>1</v>
      </c>
      <c r="F42" s="163">
        <v>0</v>
      </c>
    </row>
    <row r="43" spans="2:6" x14ac:dyDescent="0.3">
      <c r="B43" s="131" t="s">
        <v>46</v>
      </c>
      <c r="C43" s="163">
        <v>1</v>
      </c>
      <c r="D43" s="163">
        <v>0</v>
      </c>
      <c r="E43" s="163">
        <v>0</v>
      </c>
      <c r="F43" s="163">
        <v>0</v>
      </c>
    </row>
    <row r="44" spans="2:6" s="127" customFormat="1" ht="25.5" customHeight="1" x14ac:dyDescent="0.3">
      <c r="B44" s="124" t="s">
        <v>47</v>
      </c>
      <c r="C44" s="125">
        <v>1212</v>
      </c>
      <c r="D44" s="125">
        <v>278</v>
      </c>
      <c r="E44" s="125">
        <v>18</v>
      </c>
      <c r="F44" s="125">
        <v>0</v>
      </c>
    </row>
    <row r="45" spans="2:6" ht="12.75" customHeight="1" x14ac:dyDescent="0.3">
      <c r="B45" s="134" t="s">
        <v>48</v>
      </c>
      <c r="C45" s="163">
        <v>102</v>
      </c>
      <c r="D45" s="163">
        <v>25</v>
      </c>
      <c r="E45" s="163">
        <v>0</v>
      </c>
      <c r="F45" s="163">
        <v>0</v>
      </c>
    </row>
    <row r="46" spans="2:6" ht="12.75" customHeight="1" x14ac:dyDescent="0.3">
      <c r="B46" s="128" t="s">
        <v>49</v>
      </c>
      <c r="C46" s="163">
        <v>79</v>
      </c>
      <c r="D46" s="163">
        <v>9</v>
      </c>
      <c r="E46" s="163">
        <v>0</v>
      </c>
      <c r="F46" s="163">
        <v>0</v>
      </c>
    </row>
    <row r="47" spans="2:6" ht="12.75" customHeight="1" x14ac:dyDescent="0.3">
      <c r="B47" s="128" t="s">
        <v>50</v>
      </c>
      <c r="C47" s="163">
        <v>118</v>
      </c>
      <c r="D47" s="163">
        <v>23</v>
      </c>
      <c r="E47" s="163">
        <v>0</v>
      </c>
      <c r="F47" s="163">
        <v>0</v>
      </c>
    </row>
    <row r="48" spans="2:6" ht="12.75" customHeight="1" x14ac:dyDescent="0.3">
      <c r="B48" s="128" t="s">
        <v>51</v>
      </c>
      <c r="C48" s="163">
        <v>63</v>
      </c>
      <c r="D48" s="163">
        <v>17</v>
      </c>
      <c r="E48" s="163">
        <v>2</v>
      </c>
      <c r="F48" s="163">
        <v>0</v>
      </c>
    </row>
    <row r="49" spans="2:6" ht="12.75" customHeight="1" x14ac:dyDescent="0.3">
      <c r="B49" s="128" t="s">
        <v>52</v>
      </c>
      <c r="C49" s="163">
        <v>157</v>
      </c>
      <c r="D49" s="163">
        <v>15</v>
      </c>
      <c r="E49" s="163">
        <v>1</v>
      </c>
      <c r="F49" s="163">
        <v>0</v>
      </c>
    </row>
    <row r="50" spans="2:6" ht="12.75" customHeight="1" x14ac:dyDescent="0.3">
      <c r="B50" s="128" t="s">
        <v>53</v>
      </c>
      <c r="C50" s="163">
        <v>172</v>
      </c>
      <c r="D50" s="163">
        <v>20</v>
      </c>
      <c r="E50" s="163">
        <v>3</v>
      </c>
      <c r="F50" s="163">
        <v>0</v>
      </c>
    </row>
    <row r="51" spans="2:6" ht="12.75" customHeight="1" x14ac:dyDescent="0.3">
      <c r="B51" s="135" t="s">
        <v>54</v>
      </c>
      <c r="C51" s="164">
        <v>521</v>
      </c>
      <c r="D51" s="164">
        <v>169</v>
      </c>
      <c r="E51" s="164">
        <v>12</v>
      </c>
      <c r="F51" s="164">
        <v>0</v>
      </c>
    </row>
    <row r="53" spans="2:6" ht="12.75" customHeight="1" x14ac:dyDescent="0.3">
      <c r="B53" s="12" t="s">
        <v>55</v>
      </c>
      <c r="C53" s="137"/>
    </row>
    <row r="54" spans="2:6" ht="11.25" customHeight="1" x14ac:dyDescent="0.3">
      <c r="B54" s="122" t="s">
        <v>107</v>
      </c>
    </row>
    <row r="55" spans="2:6" ht="12.75" customHeight="1" x14ac:dyDescent="0.3">
      <c r="B55" s="291" t="s">
        <v>108</v>
      </c>
      <c r="C55" s="292"/>
      <c r="D55" s="292"/>
      <c r="E55" s="292"/>
      <c r="F55" s="292"/>
    </row>
    <row r="56" spans="2:6" ht="12.75" customHeight="1" x14ac:dyDescent="0.3">
      <c r="B56" s="292"/>
      <c r="C56" s="292"/>
      <c r="D56" s="292"/>
      <c r="E56" s="292"/>
      <c r="F56" s="292"/>
    </row>
    <row r="57" spans="2:6" ht="12.75" customHeight="1" x14ac:dyDescent="0.3">
      <c r="B57" s="292"/>
      <c r="C57" s="292"/>
      <c r="D57" s="292"/>
      <c r="E57" s="292"/>
      <c r="F57" s="292"/>
    </row>
    <row r="58" spans="2:6" ht="12.75" customHeight="1" x14ac:dyDescent="0.3">
      <c r="B58" s="292"/>
      <c r="C58" s="292"/>
      <c r="D58" s="292"/>
      <c r="E58" s="292"/>
      <c r="F58" s="292"/>
    </row>
    <row r="59" spans="2:6" ht="12.75" customHeight="1" x14ac:dyDescent="0.3">
      <c r="B59" s="292"/>
      <c r="C59" s="292"/>
      <c r="D59" s="292"/>
      <c r="E59" s="292"/>
      <c r="F59" s="292"/>
    </row>
    <row r="60" spans="2:6" ht="12.75" customHeight="1" x14ac:dyDescent="0.3">
      <c r="B60" s="292"/>
      <c r="C60" s="292"/>
      <c r="D60" s="292"/>
      <c r="E60" s="292"/>
      <c r="F60" s="292"/>
    </row>
    <row r="61" spans="2:6" ht="39" customHeight="1" x14ac:dyDescent="0.3">
      <c r="B61" s="292"/>
      <c r="C61" s="292"/>
      <c r="D61" s="292"/>
      <c r="E61" s="292"/>
      <c r="F61" s="292"/>
    </row>
    <row r="62" spans="2:6" ht="12.75" customHeight="1" x14ac:dyDescent="0.3">
      <c r="B62" s="23"/>
      <c r="C62" s="23"/>
      <c r="D62" s="23"/>
      <c r="E62" s="23"/>
      <c r="F62" s="23"/>
    </row>
    <row r="63" spans="2:6" ht="12.75" customHeight="1" x14ac:dyDescent="0.3">
      <c r="B63" s="138" t="s">
        <v>109</v>
      </c>
      <c r="C63" s="139"/>
      <c r="D63" s="139"/>
      <c r="E63" s="139"/>
    </row>
    <row r="64" spans="2:6" x14ac:dyDescent="0.3">
      <c r="B64" s="140"/>
      <c r="C64" s="139"/>
      <c r="D64" s="139"/>
      <c r="E64" s="139"/>
    </row>
    <row r="65" spans="2:5" x14ac:dyDescent="0.3">
      <c r="C65" s="139"/>
      <c r="D65" s="139"/>
      <c r="E65" s="139"/>
    </row>
    <row r="66" spans="2:5" x14ac:dyDescent="0.3">
      <c r="B66" s="141"/>
      <c r="C66" s="139"/>
      <c r="D66" s="139"/>
      <c r="E66" s="139"/>
    </row>
    <row r="67" spans="2:5" x14ac:dyDescent="0.3">
      <c r="C67" s="139"/>
      <c r="D67" s="139"/>
      <c r="E67" s="139"/>
    </row>
  </sheetData>
  <mergeCells count="5">
    <mergeCell ref="B1:F1"/>
    <mergeCell ref="B2:B3"/>
    <mergeCell ref="C2:C3"/>
    <mergeCell ref="D2:E2"/>
    <mergeCell ref="B55:F6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22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1" hidden="1" customWidth="1"/>
    <col min="2" max="2" width="24.7265625" style="122" customWidth="1"/>
    <col min="3" max="3" width="11" style="122" customWidth="1"/>
    <col min="4" max="4" width="11.7265625" style="122" customWidth="1"/>
    <col min="5" max="10" width="11" style="122" customWidth="1"/>
    <col min="11" max="255" width="9.26953125" style="122"/>
    <col min="256" max="256" width="0" style="122" hidden="1" customWidth="1"/>
    <col min="257" max="257" width="3" style="122" customWidth="1"/>
    <col min="258" max="258" width="24.7265625" style="122" customWidth="1"/>
    <col min="259" max="259" width="11" style="122" customWidth="1"/>
    <col min="260" max="260" width="11.7265625" style="122" customWidth="1"/>
    <col min="261" max="266" width="11" style="122" customWidth="1"/>
    <col min="267" max="511" width="9.26953125" style="122"/>
    <col min="512" max="512" width="0" style="122" hidden="1" customWidth="1"/>
    <col min="513" max="513" width="3" style="122" customWidth="1"/>
    <col min="514" max="514" width="24.7265625" style="122" customWidth="1"/>
    <col min="515" max="515" width="11" style="122" customWidth="1"/>
    <col min="516" max="516" width="11.7265625" style="122" customWidth="1"/>
    <col min="517" max="522" width="11" style="122" customWidth="1"/>
    <col min="523" max="767" width="9.26953125" style="122"/>
    <col min="768" max="768" width="0" style="122" hidden="1" customWidth="1"/>
    <col min="769" max="769" width="3" style="122" customWidth="1"/>
    <col min="770" max="770" width="24.7265625" style="122" customWidth="1"/>
    <col min="771" max="771" width="11" style="122" customWidth="1"/>
    <col min="772" max="772" width="11.7265625" style="122" customWidth="1"/>
    <col min="773" max="778" width="11" style="122" customWidth="1"/>
    <col min="779" max="1023" width="9.26953125" style="122"/>
    <col min="1024" max="1024" width="0" style="122" hidden="1" customWidth="1"/>
    <col min="1025" max="1025" width="3" style="122" customWidth="1"/>
    <col min="1026" max="1026" width="24.7265625" style="122" customWidth="1"/>
    <col min="1027" max="1027" width="11" style="122" customWidth="1"/>
    <col min="1028" max="1028" width="11.7265625" style="122" customWidth="1"/>
    <col min="1029" max="1034" width="11" style="122" customWidth="1"/>
    <col min="1035" max="1279" width="9.26953125" style="122"/>
    <col min="1280" max="1280" width="0" style="122" hidden="1" customWidth="1"/>
    <col min="1281" max="1281" width="3" style="122" customWidth="1"/>
    <col min="1282" max="1282" width="24.7265625" style="122" customWidth="1"/>
    <col min="1283" max="1283" width="11" style="122" customWidth="1"/>
    <col min="1284" max="1284" width="11.7265625" style="122" customWidth="1"/>
    <col min="1285" max="1290" width="11" style="122" customWidth="1"/>
    <col min="1291" max="1535" width="9.26953125" style="122"/>
    <col min="1536" max="1536" width="0" style="122" hidden="1" customWidth="1"/>
    <col min="1537" max="1537" width="3" style="122" customWidth="1"/>
    <col min="1538" max="1538" width="24.7265625" style="122" customWidth="1"/>
    <col min="1539" max="1539" width="11" style="122" customWidth="1"/>
    <col min="1540" max="1540" width="11.7265625" style="122" customWidth="1"/>
    <col min="1541" max="1546" width="11" style="122" customWidth="1"/>
    <col min="1547" max="1791" width="9.26953125" style="122"/>
    <col min="1792" max="1792" width="0" style="122" hidden="1" customWidth="1"/>
    <col min="1793" max="1793" width="3" style="122" customWidth="1"/>
    <col min="1794" max="1794" width="24.7265625" style="122" customWidth="1"/>
    <col min="1795" max="1795" width="11" style="122" customWidth="1"/>
    <col min="1796" max="1796" width="11.7265625" style="122" customWidth="1"/>
    <col min="1797" max="1802" width="11" style="122" customWidth="1"/>
    <col min="1803" max="2047" width="9.26953125" style="122"/>
    <col min="2048" max="2048" width="0" style="122" hidden="1" customWidth="1"/>
    <col min="2049" max="2049" width="3" style="122" customWidth="1"/>
    <col min="2050" max="2050" width="24.7265625" style="122" customWidth="1"/>
    <col min="2051" max="2051" width="11" style="122" customWidth="1"/>
    <col min="2052" max="2052" width="11.7265625" style="122" customWidth="1"/>
    <col min="2053" max="2058" width="11" style="122" customWidth="1"/>
    <col min="2059" max="2303" width="9.26953125" style="122"/>
    <col min="2304" max="2304" width="0" style="122" hidden="1" customWidth="1"/>
    <col min="2305" max="2305" width="3" style="122" customWidth="1"/>
    <col min="2306" max="2306" width="24.7265625" style="122" customWidth="1"/>
    <col min="2307" max="2307" width="11" style="122" customWidth="1"/>
    <col min="2308" max="2308" width="11.7265625" style="122" customWidth="1"/>
    <col min="2309" max="2314" width="11" style="122" customWidth="1"/>
    <col min="2315" max="2559" width="9.26953125" style="122"/>
    <col min="2560" max="2560" width="0" style="122" hidden="1" customWidth="1"/>
    <col min="2561" max="2561" width="3" style="122" customWidth="1"/>
    <col min="2562" max="2562" width="24.7265625" style="122" customWidth="1"/>
    <col min="2563" max="2563" width="11" style="122" customWidth="1"/>
    <col min="2564" max="2564" width="11.7265625" style="122" customWidth="1"/>
    <col min="2565" max="2570" width="11" style="122" customWidth="1"/>
    <col min="2571" max="2815" width="9.26953125" style="122"/>
    <col min="2816" max="2816" width="0" style="122" hidden="1" customWidth="1"/>
    <col min="2817" max="2817" width="3" style="122" customWidth="1"/>
    <col min="2818" max="2818" width="24.7265625" style="122" customWidth="1"/>
    <col min="2819" max="2819" width="11" style="122" customWidth="1"/>
    <col min="2820" max="2820" width="11.7265625" style="122" customWidth="1"/>
    <col min="2821" max="2826" width="11" style="122" customWidth="1"/>
    <col min="2827" max="3071" width="9.26953125" style="122"/>
    <col min="3072" max="3072" width="0" style="122" hidden="1" customWidth="1"/>
    <col min="3073" max="3073" width="3" style="122" customWidth="1"/>
    <col min="3074" max="3074" width="24.7265625" style="122" customWidth="1"/>
    <col min="3075" max="3075" width="11" style="122" customWidth="1"/>
    <col min="3076" max="3076" width="11.7265625" style="122" customWidth="1"/>
    <col min="3077" max="3082" width="11" style="122" customWidth="1"/>
    <col min="3083" max="3327" width="9.26953125" style="122"/>
    <col min="3328" max="3328" width="0" style="122" hidden="1" customWidth="1"/>
    <col min="3329" max="3329" width="3" style="122" customWidth="1"/>
    <col min="3330" max="3330" width="24.7265625" style="122" customWidth="1"/>
    <col min="3331" max="3331" width="11" style="122" customWidth="1"/>
    <col min="3332" max="3332" width="11.7265625" style="122" customWidth="1"/>
    <col min="3333" max="3338" width="11" style="122" customWidth="1"/>
    <col min="3339" max="3583" width="9.26953125" style="122"/>
    <col min="3584" max="3584" width="0" style="122" hidden="1" customWidth="1"/>
    <col min="3585" max="3585" width="3" style="122" customWidth="1"/>
    <col min="3586" max="3586" width="24.7265625" style="122" customWidth="1"/>
    <col min="3587" max="3587" width="11" style="122" customWidth="1"/>
    <col min="3588" max="3588" width="11.7265625" style="122" customWidth="1"/>
    <col min="3589" max="3594" width="11" style="122" customWidth="1"/>
    <col min="3595" max="3839" width="9.26953125" style="122"/>
    <col min="3840" max="3840" width="0" style="122" hidden="1" customWidth="1"/>
    <col min="3841" max="3841" width="3" style="122" customWidth="1"/>
    <col min="3842" max="3842" width="24.7265625" style="122" customWidth="1"/>
    <col min="3843" max="3843" width="11" style="122" customWidth="1"/>
    <col min="3844" max="3844" width="11.7265625" style="122" customWidth="1"/>
    <col min="3845" max="3850" width="11" style="122" customWidth="1"/>
    <col min="3851" max="4095" width="9.26953125" style="122"/>
    <col min="4096" max="4096" width="0" style="122" hidden="1" customWidth="1"/>
    <col min="4097" max="4097" width="3" style="122" customWidth="1"/>
    <col min="4098" max="4098" width="24.7265625" style="122" customWidth="1"/>
    <col min="4099" max="4099" width="11" style="122" customWidth="1"/>
    <col min="4100" max="4100" width="11.7265625" style="122" customWidth="1"/>
    <col min="4101" max="4106" width="11" style="122" customWidth="1"/>
    <col min="4107" max="4351" width="9.26953125" style="122"/>
    <col min="4352" max="4352" width="0" style="122" hidden="1" customWidth="1"/>
    <col min="4353" max="4353" width="3" style="122" customWidth="1"/>
    <col min="4354" max="4354" width="24.7265625" style="122" customWidth="1"/>
    <col min="4355" max="4355" width="11" style="122" customWidth="1"/>
    <col min="4356" max="4356" width="11.7265625" style="122" customWidth="1"/>
    <col min="4357" max="4362" width="11" style="122" customWidth="1"/>
    <col min="4363" max="4607" width="9.26953125" style="122"/>
    <col min="4608" max="4608" width="0" style="122" hidden="1" customWidth="1"/>
    <col min="4609" max="4609" width="3" style="122" customWidth="1"/>
    <col min="4610" max="4610" width="24.7265625" style="122" customWidth="1"/>
    <col min="4611" max="4611" width="11" style="122" customWidth="1"/>
    <col min="4612" max="4612" width="11.7265625" style="122" customWidth="1"/>
    <col min="4613" max="4618" width="11" style="122" customWidth="1"/>
    <col min="4619" max="4863" width="9.26953125" style="122"/>
    <col min="4864" max="4864" width="0" style="122" hidden="1" customWidth="1"/>
    <col min="4865" max="4865" width="3" style="122" customWidth="1"/>
    <col min="4866" max="4866" width="24.7265625" style="122" customWidth="1"/>
    <col min="4867" max="4867" width="11" style="122" customWidth="1"/>
    <col min="4868" max="4868" width="11.7265625" style="122" customWidth="1"/>
    <col min="4869" max="4874" width="11" style="122" customWidth="1"/>
    <col min="4875" max="5119" width="9.26953125" style="122"/>
    <col min="5120" max="5120" width="0" style="122" hidden="1" customWidth="1"/>
    <col min="5121" max="5121" width="3" style="122" customWidth="1"/>
    <col min="5122" max="5122" width="24.7265625" style="122" customWidth="1"/>
    <col min="5123" max="5123" width="11" style="122" customWidth="1"/>
    <col min="5124" max="5124" width="11.7265625" style="122" customWidth="1"/>
    <col min="5125" max="5130" width="11" style="122" customWidth="1"/>
    <col min="5131" max="5375" width="9.26953125" style="122"/>
    <col min="5376" max="5376" width="0" style="122" hidden="1" customWidth="1"/>
    <col min="5377" max="5377" width="3" style="122" customWidth="1"/>
    <col min="5378" max="5378" width="24.7265625" style="122" customWidth="1"/>
    <col min="5379" max="5379" width="11" style="122" customWidth="1"/>
    <col min="5380" max="5380" width="11.7265625" style="122" customWidth="1"/>
    <col min="5381" max="5386" width="11" style="122" customWidth="1"/>
    <col min="5387" max="5631" width="9.26953125" style="122"/>
    <col min="5632" max="5632" width="0" style="122" hidden="1" customWidth="1"/>
    <col min="5633" max="5633" width="3" style="122" customWidth="1"/>
    <col min="5634" max="5634" width="24.7265625" style="122" customWidth="1"/>
    <col min="5635" max="5635" width="11" style="122" customWidth="1"/>
    <col min="5636" max="5636" width="11.7265625" style="122" customWidth="1"/>
    <col min="5637" max="5642" width="11" style="122" customWidth="1"/>
    <col min="5643" max="5887" width="9.26953125" style="122"/>
    <col min="5888" max="5888" width="0" style="122" hidden="1" customWidth="1"/>
    <col min="5889" max="5889" width="3" style="122" customWidth="1"/>
    <col min="5890" max="5890" width="24.7265625" style="122" customWidth="1"/>
    <col min="5891" max="5891" width="11" style="122" customWidth="1"/>
    <col min="5892" max="5892" width="11.7265625" style="122" customWidth="1"/>
    <col min="5893" max="5898" width="11" style="122" customWidth="1"/>
    <col min="5899" max="6143" width="9.26953125" style="122"/>
    <col min="6144" max="6144" width="0" style="122" hidden="1" customWidth="1"/>
    <col min="6145" max="6145" width="3" style="122" customWidth="1"/>
    <col min="6146" max="6146" width="24.7265625" style="122" customWidth="1"/>
    <col min="6147" max="6147" width="11" style="122" customWidth="1"/>
    <col min="6148" max="6148" width="11.7265625" style="122" customWidth="1"/>
    <col min="6149" max="6154" width="11" style="122" customWidth="1"/>
    <col min="6155" max="6399" width="9.26953125" style="122"/>
    <col min="6400" max="6400" width="0" style="122" hidden="1" customWidth="1"/>
    <col min="6401" max="6401" width="3" style="122" customWidth="1"/>
    <col min="6402" max="6402" width="24.7265625" style="122" customWidth="1"/>
    <col min="6403" max="6403" width="11" style="122" customWidth="1"/>
    <col min="6404" max="6404" width="11.7265625" style="122" customWidth="1"/>
    <col min="6405" max="6410" width="11" style="122" customWidth="1"/>
    <col min="6411" max="6655" width="9.26953125" style="122"/>
    <col min="6656" max="6656" width="0" style="122" hidden="1" customWidth="1"/>
    <col min="6657" max="6657" width="3" style="122" customWidth="1"/>
    <col min="6658" max="6658" width="24.7265625" style="122" customWidth="1"/>
    <col min="6659" max="6659" width="11" style="122" customWidth="1"/>
    <col min="6660" max="6660" width="11.7265625" style="122" customWidth="1"/>
    <col min="6661" max="6666" width="11" style="122" customWidth="1"/>
    <col min="6667" max="6911" width="9.26953125" style="122"/>
    <col min="6912" max="6912" width="0" style="122" hidden="1" customWidth="1"/>
    <col min="6913" max="6913" width="3" style="122" customWidth="1"/>
    <col min="6914" max="6914" width="24.7265625" style="122" customWidth="1"/>
    <col min="6915" max="6915" width="11" style="122" customWidth="1"/>
    <col min="6916" max="6916" width="11.7265625" style="122" customWidth="1"/>
    <col min="6917" max="6922" width="11" style="122" customWidth="1"/>
    <col min="6923" max="7167" width="9.26953125" style="122"/>
    <col min="7168" max="7168" width="0" style="122" hidden="1" customWidth="1"/>
    <col min="7169" max="7169" width="3" style="122" customWidth="1"/>
    <col min="7170" max="7170" width="24.7265625" style="122" customWidth="1"/>
    <col min="7171" max="7171" width="11" style="122" customWidth="1"/>
    <col min="7172" max="7172" width="11.7265625" style="122" customWidth="1"/>
    <col min="7173" max="7178" width="11" style="122" customWidth="1"/>
    <col min="7179" max="7423" width="9.26953125" style="122"/>
    <col min="7424" max="7424" width="0" style="122" hidden="1" customWidth="1"/>
    <col min="7425" max="7425" width="3" style="122" customWidth="1"/>
    <col min="7426" max="7426" width="24.7265625" style="122" customWidth="1"/>
    <col min="7427" max="7427" width="11" style="122" customWidth="1"/>
    <col min="7428" max="7428" width="11.7265625" style="122" customWidth="1"/>
    <col min="7429" max="7434" width="11" style="122" customWidth="1"/>
    <col min="7435" max="7679" width="9.26953125" style="122"/>
    <col min="7680" max="7680" width="0" style="122" hidden="1" customWidth="1"/>
    <col min="7681" max="7681" width="3" style="122" customWidth="1"/>
    <col min="7682" max="7682" width="24.7265625" style="122" customWidth="1"/>
    <col min="7683" max="7683" width="11" style="122" customWidth="1"/>
    <col min="7684" max="7684" width="11.7265625" style="122" customWidth="1"/>
    <col min="7685" max="7690" width="11" style="122" customWidth="1"/>
    <col min="7691" max="7935" width="9.26953125" style="122"/>
    <col min="7936" max="7936" width="0" style="122" hidden="1" customWidth="1"/>
    <col min="7937" max="7937" width="3" style="122" customWidth="1"/>
    <col min="7938" max="7938" width="24.7265625" style="122" customWidth="1"/>
    <col min="7939" max="7939" width="11" style="122" customWidth="1"/>
    <col min="7940" max="7940" width="11.7265625" style="122" customWidth="1"/>
    <col min="7941" max="7946" width="11" style="122" customWidth="1"/>
    <col min="7947" max="8191" width="9.26953125" style="122"/>
    <col min="8192" max="8192" width="0" style="122" hidden="1" customWidth="1"/>
    <col min="8193" max="8193" width="3" style="122" customWidth="1"/>
    <col min="8194" max="8194" width="24.7265625" style="122" customWidth="1"/>
    <col min="8195" max="8195" width="11" style="122" customWidth="1"/>
    <col min="8196" max="8196" width="11.7265625" style="122" customWidth="1"/>
    <col min="8197" max="8202" width="11" style="122" customWidth="1"/>
    <col min="8203" max="8447" width="9.26953125" style="122"/>
    <col min="8448" max="8448" width="0" style="122" hidden="1" customWidth="1"/>
    <col min="8449" max="8449" width="3" style="122" customWidth="1"/>
    <col min="8450" max="8450" width="24.7265625" style="122" customWidth="1"/>
    <col min="8451" max="8451" width="11" style="122" customWidth="1"/>
    <col min="8452" max="8452" width="11.7265625" style="122" customWidth="1"/>
    <col min="8453" max="8458" width="11" style="122" customWidth="1"/>
    <col min="8459" max="8703" width="9.26953125" style="122"/>
    <col min="8704" max="8704" width="0" style="122" hidden="1" customWidth="1"/>
    <col min="8705" max="8705" width="3" style="122" customWidth="1"/>
    <col min="8706" max="8706" width="24.7265625" style="122" customWidth="1"/>
    <col min="8707" max="8707" width="11" style="122" customWidth="1"/>
    <col min="8708" max="8708" width="11.7265625" style="122" customWidth="1"/>
    <col min="8709" max="8714" width="11" style="122" customWidth="1"/>
    <col min="8715" max="8959" width="9.26953125" style="122"/>
    <col min="8960" max="8960" width="0" style="122" hidden="1" customWidth="1"/>
    <col min="8961" max="8961" width="3" style="122" customWidth="1"/>
    <col min="8962" max="8962" width="24.7265625" style="122" customWidth="1"/>
    <col min="8963" max="8963" width="11" style="122" customWidth="1"/>
    <col min="8964" max="8964" width="11.7265625" style="122" customWidth="1"/>
    <col min="8965" max="8970" width="11" style="122" customWidth="1"/>
    <col min="8971" max="9215" width="9.26953125" style="122"/>
    <col min="9216" max="9216" width="0" style="122" hidden="1" customWidth="1"/>
    <col min="9217" max="9217" width="3" style="122" customWidth="1"/>
    <col min="9218" max="9218" width="24.7265625" style="122" customWidth="1"/>
    <col min="9219" max="9219" width="11" style="122" customWidth="1"/>
    <col min="9220" max="9220" width="11.7265625" style="122" customWidth="1"/>
    <col min="9221" max="9226" width="11" style="122" customWidth="1"/>
    <col min="9227" max="9471" width="9.26953125" style="122"/>
    <col min="9472" max="9472" width="0" style="122" hidden="1" customWidth="1"/>
    <col min="9473" max="9473" width="3" style="122" customWidth="1"/>
    <col min="9474" max="9474" width="24.7265625" style="122" customWidth="1"/>
    <col min="9475" max="9475" width="11" style="122" customWidth="1"/>
    <col min="9476" max="9476" width="11.7265625" style="122" customWidth="1"/>
    <col min="9477" max="9482" width="11" style="122" customWidth="1"/>
    <col min="9483" max="9727" width="9.26953125" style="122"/>
    <col min="9728" max="9728" width="0" style="122" hidden="1" customWidth="1"/>
    <col min="9729" max="9729" width="3" style="122" customWidth="1"/>
    <col min="9730" max="9730" width="24.7265625" style="122" customWidth="1"/>
    <col min="9731" max="9731" width="11" style="122" customWidth="1"/>
    <col min="9732" max="9732" width="11.7265625" style="122" customWidth="1"/>
    <col min="9733" max="9738" width="11" style="122" customWidth="1"/>
    <col min="9739" max="9983" width="9.26953125" style="122"/>
    <col min="9984" max="9984" width="0" style="122" hidden="1" customWidth="1"/>
    <col min="9985" max="9985" width="3" style="122" customWidth="1"/>
    <col min="9986" max="9986" width="24.7265625" style="122" customWidth="1"/>
    <col min="9987" max="9987" width="11" style="122" customWidth="1"/>
    <col min="9988" max="9988" width="11.7265625" style="122" customWidth="1"/>
    <col min="9989" max="9994" width="11" style="122" customWidth="1"/>
    <col min="9995" max="10239" width="9.26953125" style="122"/>
    <col min="10240" max="10240" width="0" style="122" hidden="1" customWidth="1"/>
    <col min="10241" max="10241" width="3" style="122" customWidth="1"/>
    <col min="10242" max="10242" width="24.7265625" style="122" customWidth="1"/>
    <col min="10243" max="10243" width="11" style="122" customWidth="1"/>
    <col min="10244" max="10244" width="11.7265625" style="122" customWidth="1"/>
    <col min="10245" max="10250" width="11" style="122" customWidth="1"/>
    <col min="10251" max="10495" width="9.26953125" style="122"/>
    <col min="10496" max="10496" width="0" style="122" hidden="1" customWidth="1"/>
    <col min="10497" max="10497" width="3" style="122" customWidth="1"/>
    <col min="10498" max="10498" width="24.7265625" style="122" customWidth="1"/>
    <col min="10499" max="10499" width="11" style="122" customWidth="1"/>
    <col min="10500" max="10500" width="11.7265625" style="122" customWidth="1"/>
    <col min="10501" max="10506" width="11" style="122" customWidth="1"/>
    <col min="10507" max="10751" width="9.26953125" style="122"/>
    <col min="10752" max="10752" width="0" style="122" hidden="1" customWidth="1"/>
    <col min="10753" max="10753" width="3" style="122" customWidth="1"/>
    <col min="10754" max="10754" width="24.7265625" style="122" customWidth="1"/>
    <col min="10755" max="10755" width="11" style="122" customWidth="1"/>
    <col min="10756" max="10756" width="11.7265625" style="122" customWidth="1"/>
    <col min="10757" max="10762" width="11" style="122" customWidth="1"/>
    <col min="10763" max="11007" width="9.26953125" style="122"/>
    <col min="11008" max="11008" width="0" style="122" hidden="1" customWidth="1"/>
    <col min="11009" max="11009" width="3" style="122" customWidth="1"/>
    <col min="11010" max="11010" width="24.7265625" style="122" customWidth="1"/>
    <col min="11011" max="11011" width="11" style="122" customWidth="1"/>
    <col min="11012" max="11012" width="11.7265625" style="122" customWidth="1"/>
    <col min="11013" max="11018" width="11" style="122" customWidth="1"/>
    <col min="11019" max="11263" width="9.26953125" style="122"/>
    <col min="11264" max="11264" width="0" style="122" hidden="1" customWidth="1"/>
    <col min="11265" max="11265" width="3" style="122" customWidth="1"/>
    <col min="11266" max="11266" width="24.7265625" style="122" customWidth="1"/>
    <col min="11267" max="11267" width="11" style="122" customWidth="1"/>
    <col min="11268" max="11268" width="11.7265625" style="122" customWidth="1"/>
    <col min="11269" max="11274" width="11" style="122" customWidth="1"/>
    <col min="11275" max="11519" width="9.26953125" style="122"/>
    <col min="11520" max="11520" width="0" style="122" hidden="1" customWidth="1"/>
    <col min="11521" max="11521" width="3" style="122" customWidth="1"/>
    <col min="11522" max="11522" width="24.7265625" style="122" customWidth="1"/>
    <col min="11523" max="11523" width="11" style="122" customWidth="1"/>
    <col min="11524" max="11524" width="11.7265625" style="122" customWidth="1"/>
    <col min="11525" max="11530" width="11" style="122" customWidth="1"/>
    <col min="11531" max="11775" width="9.26953125" style="122"/>
    <col min="11776" max="11776" width="0" style="122" hidden="1" customWidth="1"/>
    <col min="11777" max="11777" width="3" style="122" customWidth="1"/>
    <col min="11778" max="11778" width="24.7265625" style="122" customWidth="1"/>
    <col min="11779" max="11779" width="11" style="122" customWidth="1"/>
    <col min="11780" max="11780" width="11.7265625" style="122" customWidth="1"/>
    <col min="11781" max="11786" width="11" style="122" customWidth="1"/>
    <col min="11787" max="12031" width="9.26953125" style="122"/>
    <col min="12032" max="12032" width="0" style="122" hidden="1" customWidth="1"/>
    <col min="12033" max="12033" width="3" style="122" customWidth="1"/>
    <col min="12034" max="12034" width="24.7265625" style="122" customWidth="1"/>
    <col min="12035" max="12035" width="11" style="122" customWidth="1"/>
    <col min="12036" max="12036" width="11.7265625" style="122" customWidth="1"/>
    <col min="12037" max="12042" width="11" style="122" customWidth="1"/>
    <col min="12043" max="12287" width="9.26953125" style="122"/>
    <col min="12288" max="12288" width="0" style="122" hidden="1" customWidth="1"/>
    <col min="12289" max="12289" width="3" style="122" customWidth="1"/>
    <col min="12290" max="12290" width="24.7265625" style="122" customWidth="1"/>
    <col min="12291" max="12291" width="11" style="122" customWidth="1"/>
    <col min="12292" max="12292" width="11.7265625" style="122" customWidth="1"/>
    <col min="12293" max="12298" width="11" style="122" customWidth="1"/>
    <col min="12299" max="12543" width="9.26953125" style="122"/>
    <col min="12544" max="12544" width="0" style="122" hidden="1" customWidth="1"/>
    <col min="12545" max="12545" width="3" style="122" customWidth="1"/>
    <col min="12546" max="12546" width="24.7265625" style="122" customWidth="1"/>
    <col min="12547" max="12547" width="11" style="122" customWidth="1"/>
    <col min="12548" max="12548" width="11.7265625" style="122" customWidth="1"/>
    <col min="12549" max="12554" width="11" style="122" customWidth="1"/>
    <col min="12555" max="12799" width="9.26953125" style="122"/>
    <col min="12800" max="12800" width="0" style="122" hidden="1" customWidth="1"/>
    <col min="12801" max="12801" width="3" style="122" customWidth="1"/>
    <col min="12802" max="12802" width="24.7265625" style="122" customWidth="1"/>
    <col min="12803" max="12803" width="11" style="122" customWidth="1"/>
    <col min="12804" max="12804" width="11.7265625" style="122" customWidth="1"/>
    <col min="12805" max="12810" width="11" style="122" customWidth="1"/>
    <col min="12811" max="13055" width="9.26953125" style="122"/>
    <col min="13056" max="13056" width="0" style="122" hidden="1" customWidth="1"/>
    <col min="13057" max="13057" width="3" style="122" customWidth="1"/>
    <col min="13058" max="13058" width="24.7265625" style="122" customWidth="1"/>
    <col min="13059" max="13059" width="11" style="122" customWidth="1"/>
    <col min="13060" max="13060" width="11.7265625" style="122" customWidth="1"/>
    <col min="13061" max="13066" width="11" style="122" customWidth="1"/>
    <col min="13067" max="13311" width="9.26953125" style="122"/>
    <col min="13312" max="13312" width="0" style="122" hidden="1" customWidth="1"/>
    <col min="13313" max="13313" width="3" style="122" customWidth="1"/>
    <col min="13314" max="13314" width="24.7265625" style="122" customWidth="1"/>
    <col min="13315" max="13315" width="11" style="122" customWidth="1"/>
    <col min="13316" max="13316" width="11.7265625" style="122" customWidth="1"/>
    <col min="13317" max="13322" width="11" style="122" customWidth="1"/>
    <col min="13323" max="13567" width="9.26953125" style="122"/>
    <col min="13568" max="13568" width="0" style="122" hidden="1" customWidth="1"/>
    <col min="13569" max="13569" width="3" style="122" customWidth="1"/>
    <col min="13570" max="13570" width="24.7265625" style="122" customWidth="1"/>
    <col min="13571" max="13571" width="11" style="122" customWidth="1"/>
    <col min="13572" max="13572" width="11.7265625" style="122" customWidth="1"/>
    <col min="13573" max="13578" width="11" style="122" customWidth="1"/>
    <col min="13579" max="13823" width="9.26953125" style="122"/>
    <col min="13824" max="13824" width="0" style="122" hidden="1" customWidth="1"/>
    <col min="13825" max="13825" width="3" style="122" customWidth="1"/>
    <col min="13826" max="13826" width="24.7265625" style="122" customWidth="1"/>
    <col min="13827" max="13827" width="11" style="122" customWidth="1"/>
    <col min="13828" max="13828" width="11.7265625" style="122" customWidth="1"/>
    <col min="13829" max="13834" width="11" style="122" customWidth="1"/>
    <col min="13835" max="14079" width="9.26953125" style="122"/>
    <col min="14080" max="14080" width="0" style="122" hidden="1" customWidth="1"/>
    <col min="14081" max="14081" width="3" style="122" customWidth="1"/>
    <col min="14082" max="14082" width="24.7265625" style="122" customWidth="1"/>
    <col min="14083" max="14083" width="11" style="122" customWidth="1"/>
    <col min="14084" max="14084" width="11.7265625" style="122" customWidth="1"/>
    <col min="14085" max="14090" width="11" style="122" customWidth="1"/>
    <col min="14091" max="14335" width="9.26953125" style="122"/>
    <col min="14336" max="14336" width="0" style="122" hidden="1" customWidth="1"/>
    <col min="14337" max="14337" width="3" style="122" customWidth="1"/>
    <col min="14338" max="14338" width="24.7265625" style="122" customWidth="1"/>
    <col min="14339" max="14339" width="11" style="122" customWidth="1"/>
    <col min="14340" max="14340" width="11.7265625" style="122" customWidth="1"/>
    <col min="14341" max="14346" width="11" style="122" customWidth="1"/>
    <col min="14347" max="14591" width="9.26953125" style="122"/>
    <col min="14592" max="14592" width="0" style="122" hidden="1" customWidth="1"/>
    <col min="14593" max="14593" width="3" style="122" customWidth="1"/>
    <col min="14594" max="14594" width="24.7265625" style="122" customWidth="1"/>
    <col min="14595" max="14595" width="11" style="122" customWidth="1"/>
    <col min="14596" max="14596" width="11.7265625" style="122" customWidth="1"/>
    <col min="14597" max="14602" width="11" style="122" customWidth="1"/>
    <col min="14603" max="14847" width="9.26953125" style="122"/>
    <col min="14848" max="14848" width="0" style="122" hidden="1" customWidth="1"/>
    <col min="14849" max="14849" width="3" style="122" customWidth="1"/>
    <col min="14850" max="14850" width="24.7265625" style="122" customWidth="1"/>
    <col min="14851" max="14851" width="11" style="122" customWidth="1"/>
    <col min="14852" max="14852" width="11.7265625" style="122" customWidth="1"/>
    <col min="14853" max="14858" width="11" style="122" customWidth="1"/>
    <col min="14859" max="15103" width="9.26953125" style="122"/>
    <col min="15104" max="15104" width="0" style="122" hidden="1" customWidth="1"/>
    <col min="15105" max="15105" width="3" style="122" customWidth="1"/>
    <col min="15106" max="15106" width="24.7265625" style="122" customWidth="1"/>
    <col min="15107" max="15107" width="11" style="122" customWidth="1"/>
    <col min="15108" max="15108" width="11.7265625" style="122" customWidth="1"/>
    <col min="15109" max="15114" width="11" style="122" customWidth="1"/>
    <col min="15115" max="15359" width="9.26953125" style="122"/>
    <col min="15360" max="15360" width="0" style="122" hidden="1" customWidth="1"/>
    <col min="15361" max="15361" width="3" style="122" customWidth="1"/>
    <col min="15362" max="15362" width="24.7265625" style="122" customWidth="1"/>
    <col min="15363" max="15363" width="11" style="122" customWidth="1"/>
    <col min="15364" max="15364" width="11.7265625" style="122" customWidth="1"/>
    <col min="15365" max="15370" width="11" style="122" customWidth="1"/>
    <col min="15371" max="15615" width="9.26953125" style="122"/>
    <col min="15616" max="15616" width="0" style="122" hidden="1" customWidth="1"/>
    <col min="15617" max="15617" width="3" style="122" customWidth="1"/>
    <col min="15618" max="15618" width="24.7265625" style="122" customWidth="1"/>
    <col min="15619" max="15619" width="11" style="122" customWidth="1"/>
    <col min="15620" max="15620" width="11.7265625" style="122" customWidth="1"/>
    <col min="15621" max="15626" width="11" style="122" customWidth="1"/>
    <col min="15627" max="15871" width="9.26953125" style="122"/>
    <col min="15872" max="15872" width="0" style="122" hidden="1" customWidth="1"/>
    <col min="15873" max="15873" width="3" style="122" customWidth="1"/>
    <col min="15874" max="15874" width="24.7265625" style="122" customWidth="1"/>
    <col min="15875" max="15875" width="11" style="122" customWidth="1"/>
    <col min="15876" max="15876" width="11.7265625" style="122" customWidth="1"/>
    <col min="15877" max="15882" width="11" style="122" customWidth="1"/>
    <col min="15883" max="16127" width="9.26953125" style="122"/>
    <col min="16128" max="16128" width="0" style="122" hidden="1" customWidth="1"/>
    <col min="16129" max="16129" width="3" style="122" customWidth="1"/>
    <col min="16130" max="16130" width="24.7265625" style="122" customWidth="1"/>
    <col min="16131" max="16131" width="11" style="122" customWidth="1"/>
    <col min="16132" max="16132" width="11.7265625" style="122" customWidth="1"/>
    <col min="16133" max="16138" width="11" style="122" customWidth="1"/>
    <col min="16139" max="16384" width="9.26953125" style="122"/>
  </cols>
  <sheetData>
    <row r="1" spans="1:12" ht="48" customHeight="1" x14ac:dyDescent="0.3">
      <c r="B1" s="286" t="s">
        <v>97</v>
      </c>
      <c r="C1" s="286"/>
      <c r="D1" s="286"/>
      <c r="E1" s="286"/>
      <c r="F1" s="286"/>
      <c r="G1" s="286"/>
      <c r="H1" s="286"/>
      <c r="I1" s="286"/>
      <c r="J1" s="286"/>
    </row>
    <row r="2" spans="1:12" ht="12.75" customHeight="1" x14ac:dyDescent="0.3">
      <c r="B2" s="287"/>
      <c r="C2" s="311" t="s">
        <v>1</v>
      </c>
      <c r="D2" s="311"/>
      <c r="E2" s="294" t="s">
        <v>2</v>
      </c>
      <c r="F2" s="294"/>
      <c r="G2" s="294"/>
      <c r="H2" s="294"/>
      <c r="I2" s="295" t="s">
        <v>5</v>
      </c>
      <c r="J2" s="295"/>
    </row>
    <row r="3" spans="1:12" ht="30" customHeight="1" x14ac:dyDescent="0.3">
      <c r="A3" s="4"/>
      <c r="B3" s="287"/>
      <c r="C3" s="296"/>
      <c r="D3" s="296"/>
      <c r="E3" s="142" t="s">
        <v>3</v>
      </c>
      <c r="F3" s="142"/>
      <c r="G3" s="142" t="s">
        <v>4</v>
      </c>
      <c r="H3" s="142"/>
      <c r="I3" s="296"/>
      <c r="J3" s="296"/>
    </row>
    <row r="4" spans="1:12" ht="45.75" customHeight="1" x14ac:dyDescent="0.3">
      <c r="B4" s="293"/>
      <c r="C4" s="143" t="s">
        <v>59</v>
      </c>
      <c r="D4" s="144" t="s">
        <v>60</v>
      </c>
      <c r="E4" s="143" t="s">
        <v>59</v>
      </c>
      <c r="F4" s="144" t="s">
        <v>60</v>
      </c>
      <c r="G4" s="143" t="s">
        <v>59</v>
      </c>
      <c r="H4" s="144" t="s">
        <v>60</v>
      </c>
      <c r="I4" s="143" t="s">
        <v>59</v>
      </c>
      <c r="J4" s="144" t="s">
        <v>60</v>
      </c>
    </row>
    <row r="5" spans="1:12" ht="30" customHeight="1" x14ac:dyDescent="0.3">
      <c r="B5" s="127" t="s">
        <v>6</v>
      </c>
      <c r="C5" s="133">
        <v>966</v>
      </c>
      <c r="D5" s="133">
        <v>254</v>
      </c>
      <c r="E5" s="133">
        <v>183</v>
      </c>
      <c r="F5" s="133">
        <v>45</v>
      </c>
      <c r="G5" s="133">
        <v>19</v>
      </c>
      <c r="H5" s="133">
        <v>2</v>
      </c>
      <c r="I5" s="133">
        <v>0</v>
      </c>
      <c r="J5" s="133">
        <v>0</v>
      </c>
      <c r="L5" s="145"/>
    </row>
    <row r="6" spans="1:12" s="127" customFormat="1" ht="25.5" customHeight="1" x14ac:dyDescent="0.3">
      <c r="A6" s="9"/>
      <c r="B6" s="127" t="s">
        <v>7</v>
      </c>
      <c r="C6" s="146">
        <v>605</v>
      </c>
      <c r="D6" s="146">
        <v>176</v>
      </c>
      <c r="E6" s="146">
        <v>117</v>
      </c>
      <c r="F6" s="146">
        <v>25</v>
      </c>
      <c r="G6" s="146">
        <v>14</v>
      </c>
      <c r="H6" s="146">
        <v>0</v>
      </c>
      <c r="I6" s="146">
        <v>0</v>
      </c>
      <c r="J6" s="146">
        <v>0</v>
      </c>
    </row>
    <row r="7" spans="1:12" ht="12.75" customHeight="1" x14ac:dyDescent="0.3">
      <c r="A7" s="12">
        <v>51</v>
      </c>
      <c r="B7" s="122" t="s">
        <v>8</v>
      </c>
      <c r="C7" s="147">
        <v>14</v>
      </c>
      <c r="D7" s="147">
        <v>3</v>
      </c>
      <c r="E7" s="147">
        <v>3</v>
      </c>
      <c r="F7" s="147">
        <v>0</v>
      </c>
      <c r="G7" s="147">
        <v>0</v>
      </c>
      <c r="H7" s="148">
        <v>0</v>
      </c>
      <c r="I7" s="148">
        <v>0</v>
      </c>
      <c r="J7" s="148">
        <v>0</v>
      </c>
    </row>
    <row r="8" spans="1:12" ht="12.75" customHeight="1" x14ac:dyDescent="0.3">
      <c r="A8" s="12">
        <v>52</v>
      </c>
      <c r="B8" s="122" t="s">
        <v>9</v>
      </c>
      <c r="C8" s="147">
        <v>13</v>
      </c>
      <c r="D8" s="147">
        <v>2</v>
      </c>
      <c r="E8" s="147">
        <v>5</v>
      </c>
      <c r="F8" s="147">
        <v>0</v>
      </c>
      <c r="G8" s="147">
        <v>0</v>
      </c>
      <c r="H8" s="148">
        <v>0</v>
      </c>
      <c r="I8" s="148">
        <v>0</v>
      </c>
      <c r="J8" s="148">
        <v>0</v>
      </c>
    </row>
    <row r="9" spans="1:12" ht="12.75" customHeight="1" x14ac:dyDescent="0.3">
      <c r="A9" s="12">
        <v>86</v>
      </c>
      <c r="B9" s="122" t="s">
        <v>10</v>
      </c>
      <c r="C9" s="148">
        <v>11</v>
      </c>
      <c r="D9" s="148">
        <v>2</v>
      </c>
      <c r="E9" s="148">
        <v>3</v>
      </c>
      <c r="F9" s="148">
        <v>1</v>
      </c>
      <c r="G9" s="148">
        <v>2</v>
      </c>
      <c r="H9" s="148">
        <v>0</v>
      </c>
      <c r="I9" s="148">
        <v>0</v>
      </c>
      <c r="J9" s="148">
        <v>0</v>
      </c>
    </row>
    <row r="10" spans="1:12" ht="12.75" customHeight="1" x14ac:dyDescent="0.3">
      <c r="A10" s="12">
        <v>53</v>
      </c>
      <c r="B10" s="122" t="s">
        <v>11</v>
      </c>
      <c r="C10" s="147">
        <v>8</v>
      </c>
      <c r="D10" s="147">
        <v>2</v>
      </c>
      <c r="E10" s="147">
        <v>1</v>
      </c>
      <c r="F10" s="147">
        <v>1</v>
      </c>
      <c r="G10" s="147">
        <v>0</v>
      </c>
      <c r="H10" s="148">
        <v>0</v>
      </c>
      <c r="I10" s="148">
        <v>0</v>
      </c>
      <c r="J10" s="148">
        <v>0</v>
      </c>
    </row>
    <row r="11" spans="1:12" ht="12.75" customHeight="1" x14ac:dyDescent="0.3">
      <c r="A11" s="12">
        <v>54</v>
      </c>
      <c r="B11" s="122" t="s">
        <v>12</v>
      </c>
      <c r="C11" s="147">
        <v>28</v>
      </c>
      <c r="D11" s="147">
        <v>5</v>
      </c>
      <c r="E11" s="147">
        <v>3</v>
      </c>
      <c r="F11" s="147">
        <v>0</v>
      </c>
      <c r="G11" s="147">
        <v>0</v>
      </c>
      <c r="H11" s="148">
        <v>0</v>
      </c>
      <c r="I11" s="148">
        <v>0</v>
      </c>
      <c r="J11" s="148">
        <v>0</v>
      </c>
    </row>
    <row r="12" spans="1:12" ht="12.75" customHeight="1" x14ac:dyDescent="0.3">
      <c r="A12" s="12">
        <v>55</v>
      </c>
      <c r="B12" s="122" t="s">
        <v>13</v>
      </c>
      <c r="C12" s="147">
        <v>16</v>
      </c>
      <c r="D12" s="147">
        <v>5</v>
      </c>
      <c r="E12" s="147">
        <v>1</v>
      </c>
      <c r="F12" s="147">
        <v>1</v>
      </c>
      <c r="G12" s="147">
        <v>1</v>
      </c>
      <c r="H12" s="148">
        <v>0</v>
      </c>
      <c r="I12" s="148">
        <v>0</v>
      </c>
      <c r="J12" s="148">
        <v>0</v>
      </c>
    </row>
    <row r="13" spans="1:12" ht="12.75" customHeight="1" x14ac:dyDescent="0.3">
      <c r="A13" s="12">
        <v>56</v>
      </c>
      <c r="B13" s="122" t="s">
        <v>14</v>
      </c>
      <c r="C13" s="147">
        <v>11</v>
      </c>
      <c r="D13" s="147">
        <v>4</v>
      </c>
      <c r="E13" s="147">
        <v>1</v>
      </c>
      <c r="F13" s="147">
        <v>0</v>
      </c>
      <c r="G13" s="147">
        <v>0</v>
      </c>
      <c r="H13" s="148">
        <v>0</v>
      </c>
      <c r="I13" s="148">
        <v>0</v>
      </c>
      <c r="J13" s="148">
        <v>0</v>
      </c>
    </row>
    <row r="14" spans="1:12" ht="12.75" customHeight="1" x14ac:dyDescent="0.3">
      <c r="A14" s="12">
        <v>57</v>
      </c>
      <c r="B14" s="122" t="s">
        <v>15</v>
      </c>
      <c r="C14" s="147">
        <v>14</v>
      </c>
      <c r="D14" s="147">
        <v>2</v>
      </c>
      <c r="E14" s="147">
        <v>1</v>
      </c>
      <c r="F14" s="147">
        <v>1</v>
      </c>
      <c r="G14" s="147">
        <v>0</v>
      </c>
      <c r="H14" s="148">
        <v>0</v>
      </c>
      <c r="I14" s="148">
        <v>0</v>
      </c>
      <c r="J14" s="148">
        <v>0</v>
      </c>
    </row>
    <row r="15" spans="1:12" ht="12.75" customHeight="1" x14ac:dyDescent="0.3">
      <c r="A15" s="12">
        <v>59</v>
      </c>
      <c r="B15" s="122" t="s">
        <v>16</v>
      </c>
      <c r="C15" s="147">
        <v>10</v>
      </c>
      <c r="D15" s="147">
        <v>2</v>
      </c>
      <c r="E15" s="147">
        <v>2</v>
      </c>
      <c r="F15" s="147">
        <v>0</v>
      </c>
      <c r="G15" s="147">
        <v>0</v>
      </c>
      <c r="H15" s="148">
        <v>0</v>
      </c>
      <c r="I15" s="148">
        <v>0</v>
      </c>
      <c r="J15" s="148">
        <v>0</v>
      </c>
    </row>
    <row r="16" spans="1:12" ht="12.75" customHeight="1" x14ac:dyDescent="0.3">
      <c r="A16" s="12">
        <v>60</v>
      </c>
      <c r="B16" s="122" t="s">
        <v>17</v>
      </c>
      <c r="C16" s="147">
        <v>14</v>
      </c>
      <c r="D16" s="147">
        <v>9</v>
      </c>
      <c r="E16" s="147">
        <v>4</v>
      </c>
      <c r="F16" s="147">
        <v>1</v>
      </c>
      <c r="G16" s="147">
        <v>0</v>
      </c>
      <c r="H16" s="148">
        <v>0</v>
      </c>
      <c r="I16" s="148">
        <v>0</v>
      </c>
      <c r="J16" s="148">
        <v>0</v>
      </c>
    </row>
    <row r="17" spans="1:10" ht="12.75" customHeight="1" x14ac:dyDescent="0.3">
      <c r="A17" s="12">
        <v>61</v>
      </c>
      <c r="B17" s="149" t="s">
        <v>18</v>
      </c>
      <c r="C17" s="147">
        <v>22</v>
      </c>
      <c r="D17" s="147">
        <v>2</v>
      </c>
      <c r="E17" s="147">
        <v>4</v>
      </c>
      <c r="F17" s="147">
        <v>0</v>
      </c>
      <c r="G17" s="147">
        <v>1</v>
      </c>
      <c r="H17" s="148">
        <v>0</v>
      </c>
      <c r="I17" s="148">
        <v>0</v>
      </c>
      <c r="J17" s="148">
        <v>0</v>
      </c>
    </row>
    <row r="18" spans="1:10" s="181" customFormat="1" ht="12.75" customHeight="1" x14ac:dyDescent="0.3">
      <c r="A18" s="12"/>
      <c r="B18" s="130" t="s">
        <v>122</v>
      </c>
      <c r="C18" s="163">
        <v>27</v>
      </c>
      <c r="D18" s="163">
        <v>10</v>
      </c>
      <c r="E18" s="163">
        <v>6</v>
      </c>
      <c r="F18" s="163">
        <v>3</v>
      </c>
      <c r="G18" s="163">
        <v>0</v>
      </c>
      <c r="H18" s="163">
        <v>0</v>
      </c>
      <c r="I18" s="163">
        <v>0</v>
      </c>
      <c r="J18" s="163">
        <v>0</v>
      </c>
    </row>
    <row r="19" spans="1:10" ht="12.75" customHeight="1" x14ac:dyDescent="0.3">
      <c r="A19" s="12">
        <v>58</v>
      </c>
      <c r="B19" s="122" t="s">
        <v>20</v>
      </c>
      <c r="C19" s="147">
        <v>3</v>
      </c>
      <c r="D19" s="147">
        <v>1</v>
      </c>
      <c r="E19" s="147">
        <v>1</v>
      </c>
      <c r="F19" s="147">
        <v>0</v>
      </c>
      <c r="G19" s="147">
        <v>0</v>
      </c>
      <c r="H19" s="148">
        <v>0</v>
      </c>
      <c r="I19" s="148">
        <v>0</v>
      </c>
      <c r="J19" s="148">
        <v>0</v>
      </c>
    </row>
    <row r="20" spans="1:10" ht="12.75" customHeight="1" x14ac:dyDescent="0.3">
      <c r="A20" s="12">
        <v>63</v>
      </c>
      <c r="B20" s="122" t="s">
        <v>21</v>
      </c>
      <c r="C20" s="147">
        <v>24</v>
      </c>
      <c r="D20" s="147">
        <v>11</v>
      </c>
      <c r="E20" s="147">
        <v>3</v>
      </c>
      <c r="F20" s="147">
        <v>1</v>
      </c>
      <c r="G20" s="147">
        <v>0</v>
      </c>
      <c r="H20" s="148">
        <v>0</v>
      </c>
      <c r="I20" s="148">
        <v>0</v>
      </c>
      <c r="J20" s="148">
        <v>0</v>
      </c>
    </row>
    <row r="21" spans="1:10" ht="12.75" customHeight="1" x14ac:dyDescent="0.3">
      <c r="A21" s="12">
        <v>64</v>
      </c>
      <c r="B21" s="122" t="s">
        <v>22</v>
      </c>
      <c r="C21" s="147">
        <v>12</v>
      </c>
      <c r="D21" s="147">
        <v>7</v>
      </c>
      <c r="E21" s="147">
        <v>1</v>
      </c>
      <c r="F21" s="147">
        <v>3</v>
      </c>
      <c r="G21" s="147">
        <v>0</v>
      </c>
      <c r="H21" s="148">
        <v>0</v>
      </c>
      <c r="I21" s="148">
        <v>0</v>
      </c>
      <c r="J21" s="148">
        <v>0</v>
      </c>
    </row>
    <row r="22" spans="1:10" ht="12.75" customHeight="1" x14ac:dyDescent="0.3">
      <c r="A22" s="12">
        <v>65</v>
      </c>
      <c r="B22" s="122" t="s">
        <v>23</v>
      </c>
      <c r="C22" s="147">
        <v>12</v>
      </c>
      <c r="D22" s="147">
        <v>3</v>
      </c>
      <c r="E22" s="147">
        <v>2</v>
      </c>
      <c r="F22" s="147">
        <v>0</v>
      </c>
      <c r="G22" s="147">
        <v>0</v>
      </c>
      <c r="H22" s="148">
        <v>0</v>
      </c>
      <c r="I22" s="148">
        <v>0</v>
      </c>
      <c r="J22" s="148">
        <v>0</v>
      </c>
    </row>
    <row r="23" spans="1:10" ht="12.75" customHeight="1" x14ac:dyDescent="0.3">
      <c r="A23" s="12">
        <v>67</v>
      </c>
      <c r="B23" s="122" t="s">
        <v>24</v>
      </c>
      <c r="C23" s="147">
        <v>19</v>
      </c>
      <c r="D23" s="147">
        <v>1</v>
      </c>
      <c r="E23" s="147">
        <v>6</v>
      </c>
      <c r="F23" s="147">
        <v>0</v>
      </c>
      <c r="G23" s="147">
        <v>5</v>
      </c>
      <c r="H23" s="148">
        <v>0</v>
      </c>
      <c r="I23" s="148">
        <v>0</v>
      </c>
      <c r="J23" s="148">
        <v>0</v>
      </c>
    </row>
    <row r="24" spans="1:10" ht="12.75" customHeight="1" x14ac:dyDescent="0.3">
      <c r="A24" s="12">
        <v>68</v>
      </c>
      <c r="B24" s="122" t="s">
        <v>25</v>
      </c>
      <c r="C24" s="147">
        <v>22</v>
      </c>
      <c r="D24" s="147">
        <v>4</v>
      </c>
      <c r="E24" s="147">
        <v>5</v>
      </c>
      <c r="F24" s="147">
        <v>0</v>
      </c>
      <c r="G24" s="147">
        <v>1</v>
      </c>
      <c r="H24" s="148">
        <v>0</v>
      </c>
      <c r="I24" s="148">
        <v>0</v>
      </c>
      <c r="J24" s="148">
        <v>0</v>
      </c>
    </row>
    <row r="25" spans="1:10" ht="12.75" customHeight="1" x14ac:dyDescent="0.3">
      <c r="A25" s="12">
        <v>69</v>
      </c>
      <c r="B25" s="122" t="s">
        <v>26</v>
      </c>
      <c r="C25" s="147">
        <v>14</v>
      </c>
      <c r="D25" s="147">
        <v>2</v>
      </c>
      <c r="E25" s="147">
        <v>5</v>
      </c>
      <c r="F25" s="147">
        <v>0</v>
      </c>
      <c r="G25" s="147">
        <v>0</v>
      </c>
      <c r="H25" s="148">
        <v>0</v>
      </c>
      <c r="I25" s="148">
        <v>0</v>
      </c>
      <c r="J25" s="148">
        <v>0</v>
      </c>
    </row>
    <row r="26" spans="1:10" ht="12.75" customHeight="1" x14ac:dyDescent="0.3">
      <c r="A26" s="12">
        <v>70</v>
      </c>
      <c r="B26" s="122" t="s">
        <v>27</v>
      </c>
      <c r="C26" s="147">
        <v>15</v>
      </c>
      <c r="D26" s="147">
        <v>6</v>
      </c>
      <c r="E26" s="147">
        <v>4</v>
      </c>
      <c r="F26" s="147">
        <v>2</v>
      </c>
      <c r="G26" s="147">
        <v>0</v>
      </c>
      <c r="H26" s="148">
        <v>0</v>
      </c>
      <c r="I26" s="148">
        <v>0</v>
      </c>
      <c r="J26" s="148">
        <v>0</v>
      </c>
    </row>
    <row r="27" spans="1:10" ht="12.75" customHeight="1" x14ac:dyDescent="0.3">
      <c r="A27" s="12">
        <v>71</v>
      </c>
      <c r="B27" s="150" t="s">
        <v>28</v>
      </c>
      <c r="C27" s="147">
        <v>2</v>
      </c>
      <c r="D27" s="147">
        <v>2</v>
      </c>
      <c r="E27" s="147">
        <v>1</v>
      </c>
      <c r="F27" s="147">
        <v>0</v>
      </c>
      <c r="G27" s="147">
        <v>0</v>
      </c>
      <c r="H27" s="148">
        <v>0</v>
      </c>
      <c r="I27" s="148">
        <v>0</v>
      </c>
      <c r="J27" s="148">
        <v>0</v>
      </c>
    </row>
    <row r="28" spans="1:10" ht="12.75" customHeight="1" x14ac:dyDescent="0.3">
      <c r="A28" s="12">
        <v>73</v>
      </c>
      <c r="B28" s="122" t="s">
        <v>29</v>
      </c>
      <c r="C28" s="151">
        <v>24</v>
      </c>
      <c r="D28" s="151">
        <v>10</v>
      </c>
      <c r="E28" s="151">
        <v>1</v>
      </c>
      <c r="F28" s="151">
        <v>2</v>
      </c>
      <c r="G28" s="151">
        <v>0</v>
      </c>
      <c r="H28" s="151">
        <v>0</v>
      </c>
      <c r="I28" s="151">
        <v>0</v>
      </c>
      <c r="J28" s="151">
        <v>0</v>
      </c>
    </row>
    <row r="29" spans="1:10" ht="12.75" customHeight="1" x14ac:dyDescent="0.3">
      <c r="A29" s="12">
        <v>74</v>
      </c>
      <c r="B29" s="122" t="s">
        <v>30</v>
      </c>
      <c r="C29" s="147">
        <v>22</v>
      </c>
      <c r="D29" s="147">
        <v>5</v>
      </c>
      <c r="E29" s="147">
        <v>8</v>
      </c>
      <c r="F29" s="147">
        <v>0</v>
      </c>
      <c r="G29" s="147">
        <v>0</v>
      </c>
      <c r="H29" s="148">
        <v>0</v>
      </c>
      <c r="I29" s="148">
        <v>0</v>
      </c>
      <c r="J29" s="148">
        <v>0</v>
      </c>
    </row>
    <row r="30" spans="1:10" ht="12.75" customHeight="1" x14ac:dyDescent="0.3">
      <c r="A30" s="12">
        <v>75</v>
      </c>
      <c r="B30" s="122" t="s">
        <v>31</v>
      </c>
      <c r="C30" s="147">
        <v>14</v>
      </c>
      <c r="D30" s="147">
        <v>3</v>
      </c>
      <c r="E30" s="147">
        <v>3</v>
      </c>
      <c r="F30" s="147">
        <v>0</v>
      </c>
      <c r="G30" s="147">
        <v>0</v>
      </c>
      <c r="H30" s="148">
        <v>0</v>
      </c>
      <c r="I30" s="148">
        <v>0</v>
      </c>
      <c r="J30" s="148">
        <v>0</v>
      </c>
    </row>
    <row r="31" spans="1:10" ht="12.75" customHeight="1" x14ac:dyDescent="0.3">
      <c r="A31" s="12">
        <v>76</v>
      </c>
      <c r="B31" s="122" t="s">
        <v>32</v>
      </c>
      <c r="C31" s="148">
        <v>12</v>
      </c>
      <c r="D31" s="148">
        <v>0</v>
      </c>
      <c r="E31" s="148">
        <v>4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</row>
    <row r="32" spans="1:10" ht="12.75" customHeight="1" x14ac:dyDescent="0.3">
      <c r="A32" s="12">
        <v>79</v>
      </c>
      <c r="B32" s="122" t="s">
        <v>33</v>
      </c>
      <c r="C32" s="148">
        <v>22</v>
      </c>
      <c r="D32" s="148">
        <v>7</v>
      </c>
      <c r="E32" s="148">
        <v>7</v>
      </c>
      <c r="F32" s="148">
        <v>1</v>
      </c>
      <c r="G32" s="148">
        <v>0</v>
      </c>
      <c r="H32" s="148">
        <v>0</v>
      </c>
      <c r="I32" s="148">
        <v>0</v>
      </c>
      <c r="J32" s="148">
        <v>0</v>
      </c>
    </row>
    <row r="33" spans="1:12" ht="12.75" customHeight="1" x14ac:dyDescent="0.3">
      <c r="A33" s="12">
        <v>80</v>
      </c>
      <c r="B33" s="122" t="s">
        <v>34</v>
      </c>
      <c r="C33" s="148">
        <v>7</v>
      </c>
      <c r="D33" s="148">
        <v>9</v>
      </c>
      <c r="E33" s="148">
        <v>1</v>
      </c>
      <c r="F33" s="148">
        <v>2</v>
      </c>
      <c r="G33" s="148">
        <v>0</v>
      </c>
      <c r="H33" s="148">
        <v>0</v>
      </c>
      <c r="I33" s="148">
        <v>0</v>
      </c>
      <c r="J33" s="148">
        <v>0</v>
      </c>
    </row>
    <row r="34" spans="1:12" ht="12.75" customHeight="1" x14ac:dyDescent="0.3">
      <c r="A34" s="12">
        <v>81</v>
      </c>
      <c r="B34" s="122" t="s">
        <v>35</v>
      </c>
      <c r="C34" s="148">
        <v>35</v>
      </c>
      <c r="D34" s="148">
        <v>11</v>
      </c>
      <c r="E34" s="148">
        <v>4</v>
      </c>
      <c r="F34" s="148">
        <v>0</v>
      </c>
      <c r="G34" s="148">
        <v>0</v>
      </c>
      <c r="H34" s="148">
        <v>0</v>
      </c>
      <c r="I34" s="148">
        <v>0</v>
      </c>
      <c r="J34" s="148">
        <v>0</v>
      </c>
    </row>
    <row r="35" spans="1:12" ht="12.75" customHeight="1" x14ac:dyDescent="0.3">
      <c r="A35" s="12">
        <v>83</v>
      </c>
      <c r="B35" s="122" t="s">
        <v>36</v>
      </c>
      <c r="C35" s="148">
        <v>5</v>
      </c>
      <c r="D35" s="148">
        <v>1</v>
      </c>
      <c r="E35" s="148">
        <v>1</v>
      </c>
      <c r="F35" s="148">
        <v>0</v>
      </c>
      <c r="G35" s="148">
        <v>0</v>
      </c>
      <c r="H35" s="148">
        <v>0</v>
      </c>
      <c r="I35" s="148">
        <v>0</v>
      </c>
      <c r="J35" s="148">
        <v>0</v>
      </c>
    </row>
    <row r="36" spans="1:12" ht="12.75" customHeight="1" x14ac:dyDescent="0.3">
      <c r="A36" s="12">
        <v>84</v>
      </c>
      <c r="B36" s="122" t="s">
        <v>37</v>
      </c>
      <c r="C36" s="148">
        <v>14</v>
      </c>
      <c r="D36" s="148">
        <v>12</v>
      </c>
      <c r="E36" s="148">
        <v>2</v>
      </c>
      <c r="F36" s="148">
        <v>2</v>
      </c>
      <c r="G36" s="148">
        <v>0</v>
      </c>
      <c r="H36" s="148">
        <v>0</v>
      </c>
      <c r="I36" s="148">
        <v>0</v>
      </c>
      <c r="J36" s="148">
        <v>0</v>
      </c>
    </row>
    <row r="37" spans="1:12" ht="12.75" customHeight="1" x14ac:dyDescent="0.3">
      <c r="A37" s="12">
        <v>85</v>
      </c>
      <c r="B37" s="122" t="s">
        <v>38</v>
      </c>
      <c r="C37" s="148">
        <v>26</v>
      </c>
      <c r="D37" s="148">
        <v>3</v>
      </c>
      <c r="E37" s="148">
        <v>0</v>
      </c>
      <c r="F37" s="148">
        <v>1</v>
      </c>
      <c r="G37" s="148">
        <v>2</v>
      </c>
      <c r="H37" s="148">
        <v>0</v>
      </c>
      <c r="I37" s="148">
        <v>0</v>
      </c>
      <c r="J37" s="148">
        <v>0</v>
      </c>
    </row>
    <row r="38" spans="1:12" ht="12.75" customHeight="1" x14ac:dyDescent="0.3">
      <c r="A38" s="12">
        <v>87</v>
      </c>
      <c r="B38" s="122" t="s">
        <v>39</v>
      </c>
      <c r="C38" s="148">
        <v>15</v>
      </c>
      <c r="D38" s="148">
        <v>1</v>
      </c>
      <c r="E38" s="148">
        <v>5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</row>
    <row r="39" spans="1:12" ht="12.75" customHeight="1" x14ac:dyDescent="0.3">
      <c r="A39" s="12">
        <v>90</v>
      </c>
      <c r="B39" s="122" t="s">
        <v>40</v>
      </c>
      <c r="C39" s="148">
        <v>32</v>
      </c>
      <c r="D39" s="148">
        <v>7</v>
      </c>
      <c r="E39" s="148">
        <v>9</v>
      </c>
      <c r="F39" s="148">
        <v>0</v>
      </c>
      <c r="G39" s="148">
        <v>0</v>
      </c>
      <c r="H39" s="148">
        <v>0</v>
      </c>
      <c r="I39" s="148">
        <v>0</v>
      </c>
      <c r="J39" s="148">
        <v>0</v>
      </c>
    </row>
    <row r="40" spans="1:12" ht="12.75" customHeight="1" x14ac:dyDescent="0.3">
      <c r="A40" s="12">
        <v>91</v>
      </c>
      <c r="B40" s="122" t="s">
        <v>41</v>
      </c>
      <c r="C40" s="148">
        <v>26</v>
      </c>
      <c r="D40" s="148">
        <v>0</v>
      </c>
      <c r="E40" s="148">
        <v>2</v>
      </c>
      <c r="F40" s="148">
        <v>0</v>
      </c>
      <c r="G40" s="148">
        <v>1</v>
      </c>
      <c r="H40" s="148">
        <v>0</v>
      </c>
      <c r="I40" s="148">
        <v>0</v>
      </c>
      <c r="J40" s="148">
        <v>0</v>
      </c>
      <c r="K40" s="127"/>
    </row>
    <row r="41" spans="1:12" ht="12.75" customHeight="1" x14ac:dyDescent="0.3">
      <c r="A41" s="12">
        <v>92</v>
      </c>
      <c r="B41" s="122" t="s">
        <v>42</v>
      </c>
      <c r="C41" s="148">
        <v>16</v>
      </c>
      <c r="D41" s="148">
        <v>15</v>
      </c>
      <c r="E41" s="148">
        <v>3</v>
      </c>
      <c r="F41" s="148">
        <v>2</v>
      </c>
      <c r="G41" s="148">
        <v>1</v>
      </c>
      <c r="H41" s="148">
        <v>0</v>
      </c>
      <c r="I41" s="148">
        <v>0</v>
      </c>
      <c r="J41" s="148">
        <v>0</v>
      </c>
    </row>
    <row r="42" spans="1:12" ht="12.75" customHeight="1" x14ac:dyDescent="0.3">
      <c r="A42" s="12">
        <v>94</v>
      </c>
      <c r="B42" s="122" t="s">
        <v>43</v>
      </c>
      <c r="C42" s="148">
        <v>8</v>
      </c>
      <c r="D42" s="148">
        <v>3</v>
      </c>
      <c r="E42" s="148">
        <v>1</v>
      </c>
      <c r="F42" s="148">
        <v>1</v>
      </c>
      <c r="G42" s="148">
        <v>0</v>
      </c>
      <c r="H42" s="148">
        <v>0</v>
      </c>
      <c r="I42" s="148">
        <v>0</v>
      </c>
      <c r="J42" s="148">
        <v>0</v>
      </c>
    </row>
    <row r="43" spans="1:12" ht="12.75" customHeight="1" x14ac:dyDescent="0.3">
      <c r="A43" s="12">
        <v>96</v>
      </c>
      <c r="B43" s="122" t="s">
        <v>44</v>
      </c>
      <c r="C43" s="148">
        <v>16</v>
      </c>
      <c r="D43" s="148">
        <v>4</v>
      </c>
      <c r="E43" s="148">
        <v>4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L43" s="127"/>
    </row>
    <row r="44" spans="1:12" ht="12.75" customHeight="1" x14ac:dyDescent="0.3">
      <c r="A44" s="12">
        <v>72</v>
      </c>
      <c r="B44" s="150" t="s">
        <v>46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8">
        <v>0</v>
      </c>
      <c r="I44" s="148">
        <v>0</v>
      </c>
      <c r="J44" s="148">
        <v>0</v>
      </c>
    </row>
    <row r="45" spans="1:12" s="127" customFormat="1" ht="25.5" customHeight="1" x14ac:dyDescent="0.3">
      <c r="B45" s="127" t="s">
        <v>47</v>
      </c>
      <c r="C45" s="153">
        <v>361</v>
      </c>
      <c r="D45" s="153">
        <v>78</v>
      </c>
      <c r="E45" s="153">
        <v>66</v>
      </c>
      <c r="F45" s="153">
        <v>20</v>
      </c>
      <c r="G45" s="153">
        <v>5</v>
      </c>
      <c r="H45" s="153">
        <v>2</v>
      </c>
      <c r="I45" s="153">
        <v>0</v>
      </c>
      <c r="J45" s="153">
        <v>0</v>
      </c>
    </row>
    <row r="46" spans="1:12" ht="12.75" customHeight="1" x14ac:dyDescent="0.3">
      <c r="A46" s="12">
        <v>66</v>
      </c>
      <c r="B46" s="122" t="s">
        <v>48</v>
      </c>
      <c r="C46" s="147">
        <v>46</v>
      </c>
      <c r="D46" s="147">
        <v>7</v>
      </c>
      <c r="E46" s="147">
        <v>8</v>
      </c>
      <c r="F46" s="147">
        <v>2</v>
      </c>
      <c r="G46" s="147">
        <v>0</v>
      </c>
      <c r="H46" s="148">
        <v>0</v>
      </c>
      <c r="I46" s="148">
        <v>0</v>
      </c>
      <c r="J46" s="148">
        <v>0</v>
      </c>
    </row>
    <row r="47" spans="1:12" ht="12.75" customHeight="1" x14ac:dyDescent="0.3">
      <c r="A47" s="12">
        <v>78</v>
      </c>
      <c r="B47" s="122" t="s">
        <v>49</v>
      </c>
      <c r="C47" s="147">
        <v>23</v>
      </c>
      <c r="D47" s="147">
        <v>2</v>
      </c>
      <c r="E47" s="147">
        <v>2</v>
      </c>
      <c r="F47" s="147">
        <v>0</v>
      </c>
      <c r="G47" s="147">
        <v>0</v>
      </c>
      <c r="H47" s="148">
        <v>0</v>
      </c>
      <c r="I47" s="148">
        <v>0</v>
      </c>
      <c r="J47" s="148">
        <v>0</v>
      </c>
    </row>
    <row r="48" spans="1:12" ht="12.75" customHeight="1" x14ac:dyDescent="0.3">
      <c r="A48" s="12">
        <v>89</v>
      </c>
      <c r="B48" s="122" t="s">
        <v>50</v>
      </c>
      <c r="C48" s="147">
        <v>26</v>
      </c>
      <c r="D48" s="147">
        <v>4</v>
      </c>
      <c r="E48" s="147">
        <v>2</v>
      </c>
      <c r="F48" s="147">
        <v>1</v>
      </c>
      <c r="G48" s="147">
        <v>0</v>
      </c>
      <c r="H48" s="148">
        <v>0</v>
      </c>
      <c r="I48" s="148">
        <v>0</v>
      </c>
      <c r="J48" s="148">
        <v>0</v>
      </c>
    </row>
    <row r="49" spans="1:12" ht="12.75" customHeight="1" x14ac:dyDescent="0.3">
      <c r="A49" s="12">
        <v>93</v>
      </c>
      <c r="B49" s="122" t="s">
        <v>51</v>
      </c>
      <c r="C49" s="147">
        <v>9</v>
      </c>
      <c r="D49" s="147">
        <v>5</v>
      </c>
      <c r="E49" s="147">
        <v>2</v>
      </c>
      <c r="F49" s="147">
        <v>4</v>
      </c>
      <c r="G49" s="147">
        <v>0</v>
      </c>
      <c r="H49" s="148">
        <v>0</v>
      </c>
      <c r="I49" s="148">
        <v>0</v>
      </c>
      <c r="J49" s="148">
        <v>0</v>
      </c>
    </row>
    <row r="50" spans="1:12" ht="12.75" customHeight="1" x14ac:dyDescent="0.3">
      <c r="A50" s="12">
        <v>95</v>
      </c>
      <c r="B50" s="122" t="s">
        <v>52</v>
      </c>
      <c r="C50" s="147">
        <v>48</v>
      </c>
      <c r="D50" s="147">
        <v>4</v>
      </c>
      <c r="E50" s="147">
        <v>4</v>
      </c>
      <c r="F50" s="147">
        <v>0</v>
      </c>
      <c r="G50" s="147">
        <v>3</v>
      </c>
      <c r="H50" s="148">
        <v>0</v>
      </c>
      <c r="I50" s="148">
        <v>0</v>
      </c>
      <c r="J50" s="148">
        <v>0</v>
      </c>
    </row>
    <row r="51" spans="1:12" ht="12.75" customHeight="1" x14ac:dyDescent="0.3">
      <c r="A51" s="12">
        <v>97</v>
      </c>
      <c r="B51" s="122" t="s">
        <v>53</v>
      </c>
      <c r="C51" s="147">
        <v>65</v>
      </c>
      <c r="D51" s="147">
        <v>3</v>
      </c>
      <c r="E51" s="147">
        <v>4</v>
      </c>
      <c r="F51" s="147">
        <v>0</v>
      </c>
      <c r="G51" s="147">
        <v>0</v>
      </c>
      <c r="H51" s="148">
        <v>0</v>
      </c>
      <c r="I51" s="148">
        <v>0</v>
      </c>
      <c r="J51" s="148">
        <v>0</v>
      </c>
    </row>
    <row r="52" spans="1:12" ht="12.75" customHeight="1" x14ac:dyDescent="0.3">
      <c r="A52" s="12">
        <v>77</v>
      </c>
      <c r="B52" s="154" t="s">
        <v>54</v>
      </c>
      <c r="C52" s="155">
        <v>144</v>
      </c>
      <c r="D52" s="155">
        <v>53</v>
      </c>
      <c r="E52" s="155">
        <v>44</v>
      </c>
      <c r="F52" s="155">
        <v>13</v>
      </c>
      <c r="G52" s="155">
        <v>2</v>
      </c>
      <c r="H52" s="156">
        <v>2</v>
      </c>
      <c r="I52" s="156">
        <v>0</v>
      </c>
      <c r="J52" s="156">
        <v>0</v>
      </c>
    </row>
    <row r="53" spans="1:12" s="152" customFormat="1" ht="13.5" customHeight="1" x14ac:dyDescent="0.3">
      <c r="A53" s="1"/>
      <c r="C53" s="157"/>
      <c r="D53" s="158"/>
      <c r="E53" s="157"/>
      <c r="F53" s="157"/>
      <c r="G53" s="157"/>
      <c r="H53" s="157"/>
      <c r="I53" s="157"/>
      <c r="J53" s="157"/>
      <c r="K53" s="122"/>
      <c r="L53" s="122"/>
    </row>
    <row r="54" spans="1:12" ht="18.75" customHeight="1" x14ac:dyDescent="0.3">
      <c r="B54" s="12" t="s">
        <v>55</v>
      </c>
    </row>
    <row r="55" spans="1:12" x14ac:dyDescent="0.3">
      <c r="B55" s="291" t="s">
        <v>56</v>
      </c>
      <c r="C55" s="291"/>
      <c r="D55" s="291"/>
      <c r="E55" s="291"/>
      <c r="F55" s="291"/>
      <c r="G55" s="291"/>
      <c r="H55" s="291"/>
      <c r="I55" s="291"/>
      <c r="J55" s="291"/>
    </row>
    <row r="56" spans="1:12" ht="12.75" customHeight="1" x14ac:dyDescent="0.3">
      <c r="B56" s="291"/>
      <c r="C56" s="291"/>
      <c r="D56" s="291"/>
      <c r="E56" s="291"/>
      <c r="F56" s="291"/>
      <c r="G56" s="291"/>
      <c r="H56" s="291"/>
      <c r="I56" s="291"/>
      <c r="J56" s="291"/>
    </row>
    <row r="57" spans="1:12" ht="18.75" customHeight="1" x14ac:dyDescent="0.3">
      <c r="B57" s="291"/>
      <c r="C57" s="291"/>
      <c r="D57" s="291"/>
      <c r="E57" s="291"/>
      <c r="F57" s="291"/>
      <c r="G57" s="291"/>
      <c r="H57" s="291"/>
      <c r="I57" s="291"/>
      <c r="J57" s="291"/>
    </row>
    <row r="58" spans="1:12" ht="18.75" customHeight="1" x14ac:dyDescent="0.3">
      <c r="B58" s="291"/>
      <c r="C58" s="291"/>
      <c r="D58" s="291"/>
      <c r="E58" s="291"/>
      <c r="F58" s="291"/>
      <c r="G58" s="291"/>
      <c r="H58" s="291"/>
      <c r="I58" s="291"/>
      <c r="J58" s="291"/>
    </row>
    <row r="59" spans="1:12" ht="18.75" customHeight="1" x14ac:dyDescent="0.3"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2" ht="17.25" customHeight="1" x14ac:dyDescent="0.3"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2" ht="15.75" customHeight="1" x14ac:dyDescent="0.3">
      <c r="B61" s="12" t="s">
        <v>61</v>
      </c>
    </row>
    <row r="62" spans="1:12" ht="9.75" customHeight="1" x14ac:dyDescent="0.3">
      <c r="B62" s="291"/>
      <c r="C62" s="291"/>
      <c r="D62" s="291"/>
      <c r="E62" s="57"/>
      <c r="F62" s="57"/>
      <c r="G62" s="57"/>
      <c r="H62" s="57"/>
      <c r="I62" s="57"/>
      <c r="J62" s="57"/>
    </row>
    <row r="63" spans="1:12" ht="18.75" customHeight="1" x14ac:dyDescent="0.3">
      <c r="B63" s="138" t="s">
        <v>62</v>
      </c>
    </row>
    <row r="64" spans="1:12" x14ac:dyDescent="0.3">
      <c r="B64" s="140"/>
    </row>
    <row r="66" spans="2:2" x14ac:dyDescent="0.3">
      <c r="B66" s="141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22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122" customWidth="1"/>
    <col min="3" max="3" width="18" style="122" customWidth="1"/>
    <col min="4" max="4" width="18.453125" style="122" customWidth="1"/>
    <col min="5" max="5" width="13.7265625" style="122" customWidth="1"/>
    <col min="6" max="6" width="14" style="122" customWidth="1"/>
    <col min="7" max="255" width="9.26953125" style="122"/>
    <col min="256" max="256" width="0" style="122" hidden="1" customWidth="1"/>
    <col min="257" max="257" width="3.26953125" style="122" customWidth="1"/>
    <col min="258" max="258" width="24.7265625" style="122" customWidth="1"/>
    <col min="259" max="259" width="18" style="122" customWidth="1"/>
    <col min="260" max="260" width="18.453125" style="122" customWidth="1"/>
    <col min="261" max="261" width="13.7265625" style="122" customWidth="1"/>
    <col min="262" max="262" width="14" style="122" customWidth="1"/>
    <col min="263" max="511" width="9.26953125" style="122"/>
    <col min="512" max="512" width="0" style="122" hidden="1" customWidth="1"/>
    <col min="513" max="513" width="3.26953125" style="122" customWidth="1"/>
    <col min="514" max="514" width="24.7265625" style="122" customWidth="1"/>
    <col min="515" max="515" width="18" style="122" customWidth="1"/>
    <col min="516" max="516" width="18.453125" style="122" customWidth="1"/>
    <col min="517" max="517" width="13.7265625" style="122" customWidth="1"/>
    <col min="518" max="518" width="14" style="122" customWidth="1"/>
    <col min="519" max="767" width="9.26953125" style="122"/>
    <col min="768" max="768" width="0" style="122" hidden="1" customWidth="1"/>
    <col min="769" max="769" width="3.26953125" style="122" customWidth="1"/>
    <col min="770" max="770" width="24.7265625" style="122" customWidth="1"/>
    <col min="771" max="771" width="18" style="122" customWidth="1"/>
    <col min="772" max="772" width="18.453125" style="122" customWidth="1"/>
    <col min="773" max="773" width="13.7265625" style="122" customWidth="1"/>
    <col min="774" max="774" width="14" style="122" customWidth="1"/>
    <col min="775" max="1023" width="9.26953125" style="122"/>
    <col min="1024" max="1024" width="0" style="122" hidden="1" customWidth="1"/>
    <col min="1025" max="1025" width="3.26953125" style="122" customWidth="1"/>
    <col min="1026" max="1026" width="24.7265625" style="122" customWidth="1"/>
    <col min="1027" max="1027" width="18" style="122" customWidth="1"/>
    <col min="1028" max="1028" width="18.453125" style="122" customWidth="1"/>
    <col min="1029" max="1029" width="13.7265625" style="122" customWidth="1"/>
    <col min="1030" max="1030" width="14" style="122" customWidth="1"/>
    <col min="1031" max="1279" width="9.26953125" style="122"/>
    <col min="1280" max="1280" width="0" style="122" hidden="1" customWidth="1"/>
    <col min="1281" max="1281" width="3.26953125" style="122" customWidth="1"/>
    <col min="1282" max="1282" width="24.7265625" style="122" customWidth="1"/>
    <col min="1283" max="1283" width="18" style="122" customWidth="1"/>
    <col min="1284" max="1284" width="18.453125" style="122" customWidth="1"/>
    <col min="1285" max="1285" width="13.7265625" style="122" customWidth="1"/>
    <col min="1286" max="1286" width="14" style="122" customWidth="1"/>
    <col min="1287" max="1535" width="9.26953125" style="122"/>
    <col min="1536" max="1536" width="0" style="122" hidden="1" customWidth="1"/>
    <col min="1537" max="1537" width="3.26953125" style="122" customWidth="1"/>
    <col min="1538" max="1538" width="24.7265625" style="122" customWidth="1"/>
    <col min="1539" max="1539" width="18" style="122" customWidth="1"/>
    <col min="1540" max="1540" width="18.453125" style="122" customWidth="1"/>
    <col min="1541" max="1541" width="13.7265625" style="122" customWidth="1"/>
    <col min="1542" max="1542" width="14" style="122" customWidth="1"/>
    <col min="1543" max="1791" width="9.26953125" style="122"/>
    <col min="1792" max="1792" width="0" style="122" hidden="1" customWidth="1"/>
    <col min="1793" max="1793" width="3.26953125" style="122" customWidth="1"/>
    <col min="1794" max="1794" width="24.7265625" style="122" customWidth="1"/>
    <col min="1795" max="1795" width="18" style="122" customWidth="1"/>
    <col min="1796" max="1796" width="18.453125" style="122" customWidth="1"/>
    <col min="1797" max="1797" width="13.7265625" style="122" customWidth="1"/>
    <col min="1798" max="1798" width="14" style="122" customWidth="1"/>
    <col min="1799" max="2047" width="9.26953125" style="122"/>
    <col min="2048" max="2048" width="0" style="122" hidden="1" customWidth="1"/>
    <col min="2049" max="2049" width="3.26953125" style="122" customWidth="1"/>
    <col min="2050" max="2050" width="24.7265625" style="122" customWidth="1"/>
    <col min="2051" max="2051" width="18" style="122" customWidth="1"/>
    <col min="2052" max="2052" width="18.453125" style="122" customWidth="1"/>
    <col min="2053" max="2053" width="13.7265625" style="122" customWidth="1"/>
    <col min="2054" max="2054" width="14" style="122" customWidth="1"/>
    <col min="2055" max="2303" width="9.26953125" style="122"/>
    <col min="2304" max="2304" width="0" style="122" hidden="1" customWidth="1"/>
    <col min="2305" max="2305" width="3.26953125" style="122" customWidth="1"/>
    <col min="2306" max="2306" width="24.7265625" style="122" customWidth="1"/>
    <col min="2307" max="2307" width="18" style="122" customWidth="1"/>
    <col min="2308" max="2308" width="18.453125" style="122" customWidth="1"/>
    <col min="2309" max="2309" width="13.7265625" style="122" customWidth="1"/>
    <col min="2310" max="2310" width="14" style="122" customWidth="1"/>
    <col min="2311" max="2559" width="9.26953125" style="122"/>
    <col min="2560" max="2560" width="0" style="122" hidden="1" customWidth="1"/>
    <col min="2561" max="2561" width="3.26953125" style="122" customWidth="1"/>
    <col min="2562" max="2562" width="24.7265625" style="122" customWidth="1"/>
    <col min="2563" max="2563" width="18" style="122" customWidth="1"/>
    <col min="2564" max="2564" width="18.453125" style="122" customWidth="1"/>
    <col min="2565" max="2565" width="13.7265625" style="122" customWidth="1"/>
    <col min="2566" max="2566" width="14" style="122" customWidth="1"/>
    <col min="2567" max="2815" width="9.26953125" style="122"/>
    <col min="2816" max="2816" width="0" style="122" hidden="1" customWidth="1"/>
    <col min="2817" max="2817" width="3.26953125" style="122" customWidth="1"/>
    <col min="2818" max="2818" width="24.7265625" style="122" customWidth="1"/>
    <col min="2819" max="2819" width="18" style="122" customWidth="1"/>
    <col min="2820" max="2820" width="18.453125" style="122" customWidth="1"/>
    <col min="2821" max="2821" width="13.7265625" style="122" customWidth="1"/>
    <col min="2822" max="2822" width="14" style="122" customWidth="1"/>
    <col min="2823" max="3071" width="9.26953125" style="122"/>
    <col min="3072" max="3072" width="0" style="122" hidden="1" customWidth="1"/>
    <col min="3073" max="3073" width="3.26953125" style="122" customWidth="1"/>
    <col min="3074" max="3074" width="24.7265625" style="122" customWidth="1"/>
    <col min="3075" max="3075" width="18" style="122" customWidth="1"/>
    <col min="3076" max="3076" width="18.453125" style="122" customWidth="1"/>
    <col min="3077" max="3077" width="13.7265625" style="122" customWidth="1"/>
    <col min="3078" max="3078" width="14" style="122" customWidth="1"/>
    <col min="3079" max="3327" width="9.26953125" style="122"/>
    <col min="3328" max="3328" width="0" style="122" hidden="1" customWidth="1"/>
    <col min="3329" max="3329" width="3.26953125" style="122" customWidth="1"/>
    <col min="3330" max="3330" width="24.7265625" style="122" customWidth="1"/>
    <col min="3331" max="3331" width="18" style="122" customWidth="1"/>
    <col min="3332" max="3332" width="18.453125" style="122" customWidth="1"/>
    <col min="3333" max="3333" width="13.7265625" style="122" customWidth="1"/>
    <col min="3334" max="3334" width="14" style="122" customWidth="1"/>
    <col min="3335" max="3583" width="9.26953125" style="122"/>
    <col min="3584" max="3584" width="0" style="122" hidden="1" customWidth="1"/>
    <col min="3585" max="3585" width="3.26953125" style="122" customWidth="1"/>
    <col min="3586" max="3586" width="24.7265625" style="122" customWidth="1"/>
    <col min="3587" max="3587" width="18" style="122" customWidth="1"/>
    <col min="3588" max="3588" width="18.453125" style="122" customWidth="1"/>
    <col min="3589" max="3589" width="13.7265625" style="122" customWidth="1"/>
    <col min="3590" max="3590" width="14" style="122" customWidth="1"/>
    <col min="3591" max="3839" width="9.26953125" style="122"/>
    <col min="3840" max="3840" width="0" style="122" hidden="1" customWidth="1"/>
    <col min="3841" max="3841" width="3.26953125" style="122" customWidth="1"/>
    <col min="3842" max="3842" width="24.7265625" style="122" customWidth="1"/>
    <col min="3843" max="3843" width="18" style="122" customWidth="1"/>
    <col min="3844" max="3844" width="18.453125" style="122" customWidth="1"/>
    <col min="3845" max="3845" width="13.7265625" style="122" customWidth="1"/>
    <col min="3846" max="3846" width="14" style="122" customWidth="1"/>
    <col min="3847" max="4095" width="9.26953125" style="122"/>
    <col min="4096" max="4096" width="0" style="122" hidden="1" customWidth="1"/>
    <col min="4097" max="4097" width="3.26953125" style="122" customWidth="1"/>
    <col min="4098" max="4098" width="24.7265625" style="122" customWidth="1"/>
    <col min="4099" max="4099" width="18" style="122" customWidth="1"/>
    <col min="4100" max="4100" width="18.453125" style="122" customWidth="1"/>
    <col min="4101" max="4101" width="13.7265625" style="122" customWidth="1"/>
    <col min="4102" max="4102" width="14" style="122" customWidth="1"/>
    <col min="4103" max="4351" width="9.26953125" style="122"/>
    <col min="4352" max="4352" width="0" style="122" hidden="1" customWidth="1"/>
    <col min="4353" max="4353" width="3.26953125" style="122" customWidth="1"/>
    <col min="4354" max="4354" width="24.7265625" style="122" customWidth="1"/>
    <col min="4355" max="4355" width="18" style="122" customWidth="1"/>
    <col min="4356" max="4356" width="18.453125" style="122" customWidth="1"/>
    <col min="4357" max="4357" width="13.7265625" style="122" customWidth="1"/>
    <col min="4358" max="4358" width="14" style="122" customWidth="1"/>
    <col min="4359" max="4607" width="9.26953125" style="122"/>
    <col min="4608" max="4608" width="0" style="122" hidden="1" customWidth="1"/>
    <col min="4609" max="4609" width="3.26953125" style="122" customWidth="1"/>
    <col min="4610" max="4610" width="24.7265625" style="122" customWidth="1"/>
    <col min="4611" max="4611" width="18" style="122" customWidth="1"/>
    <col min="4612" max="4612" width="18.453125" style="122" customWidth="1"/>
    <col min="4613" max="4613" width="13.7265625" style="122" customWidth="1"/>
    <col min="4614" max="4614" width="14" style="122" customWidth="1"/>
    <col min="4615" max="4863" width="9.26953125" style="122"/>
    <col min="4864" max="4864" width="0" style="122" hidden="1" customWidth="1"/>
    <col min="4865" max="4865" width="3.26953125" style="122" customWidth="1"/>
    <col min="4866" max="4866" width="24.7265625" style="122" customWidth="1"/>
    <col min="4867" max="4867" width="18" style="122" customWidth="1"/>
    <col min="4868" max="4868" width="18.453125" style="122" customWidth="1"/>
    <col min="4869" max="4869" width="13.7265625" style="122" customWidth="1"/>
    <col min="4870" max="4870" width="14" style="122" customWidth="1"/>
    <col min="4871" max="5119" width="9.26953125" style="122"/>
    <col min="5120" max="5120" width="0" style="122" hidden="1" customWidth="1"/>
    <col min="5121" max="5121" width="3.26953125" style="122" customWidth="1"/>
    <col min="5122" max="5122" width="24.7265625" style="122" customWidth="1"/>
    <col min="5123" max="5123" width="18" style="122" customWidth="1"/>
    <col min="5124" max="5124" width="18.453125" style="122" customWidth="1"/>
    <col min="5125" max="5125" width="13.7265625" style="122" customWidth="1"/>
    <col min="5126" max="5126" width="14" style="122" customWidth="1"/>
    <col min="5127" max="5375" width="9.26953125" style="122"/>
    <col min="5376" max="5376" width="0" style="122" hidden="1" customWidth="1"/>
    <col min="5377" max="5377" width="3.26953125" style="122" customWidth="1"/>
    <col min="5378" max="5378" width="24.7265625" style="122" customWidth="1"/>
    <col min="5379" max="5379" width="18" style="122" customWidth="1"/>
    <col min="5380" max="5380" width="18.453125" style="122" customWidth="1"/>
    <col min="5381" max="5381" width="13.7265625" style="122" customWidth="1"/>
    <col min="5382" max="5382" width="14" style="122" customWidth="1"/>
    <col min="5383" max="5631" width="9.26953125" style="122"/>
    <col min="5632" max="5632" width="0" style="122" hidden="1" customWidth="1"/>
    <col min="5633" max="5633" width="3.26953125" style="122" customWidth="1"/>
    <col min="5634" max="5634" width="24.7265625" style="122" customWidth="1"/>
    <col min="5635" max="5635" width="18" style="122" customWidth="1"/>
    <col min="5636" max="5636" width="18.453125" style="122" customWidth="1"/>
    <col min="5637" max="5637" width="13.7265625" style="122" customWidth="1"/>
    <col min="5638" max="5638" width="14" style="122" customWidth="1"/>
    <col min="5639" max="5887" width="9.26953125" style="122"/>
    <col min="5888" max="5888" width="0" style="122" hidden="1" customWidth="1"/>
    <col min="5889" max="5889" width="3.26953125" style="122" customWidth="1"/>
    <col min="5890" max="5890" width="24.7265625" style="122" customWidth="1"/>
    <col min="5891" max="5891" width="18" style="122" customWidth="1"/>
    <col min="5892" max="5892" width="18.453125" style="122" customWidth="1"/>
    <col min="5893" max="5893" width="13.7265625" style="122" customWidth="1"/>
    <col min="5894" max="5894" width="14" style="122" customWidth="1"/>
    <col min="5895" max="6143" width="9.26953125" style="122"/>
    <col min="6144" max="6144" width="0" style="122" hidden="1" customWidth="1"/>
    <col min="6145" max="6145" width="3.26953125" style="122" customWidth="1"/>
    <col min="6146" max="6146" width="24.7265625" style="122" customWidth="1"/>
    <col min="6147" max="6147" width="18" style="122" customWidth="1"/>
    <col min="6148" max="6148" width="18.453125" style="122" customWidth="1"/>
    <col min="6149" max="6149" width="13.7265625" style="122" customWidth="1"/>
    <col min="6150" max="6150" width="14" style="122" customWidth="1"/>
    <col min="6151" max="6399" width="9.26953125" style="122"/>
    <col min="6400" max="6400" width="0" style="122" hidden="1" customWidth="1"/>
    <col min="6401" max="6401" width="3.26953125" style="122" customWidth="1"/>
    <col min="6402" max="6402" width="24.7265625" style="122" customWidth="1"/>
    <col min="6403" max="6403" width="18" style="122" customWidth="1"/>
    <col min="6404" max="6404" width="18.453125" style="122" customWidth="1"/>
    <col min="6405" max="6405" width="13.7265625" style="122" customWidth="1"/>
    <col min="6406" max="6406" width="14" style="122" customWidth="1"/>
    <col min="6407" max="6655" width="9.26953125" style="122"/>
    <col min="6656" max="6656" width="0" style="122" hidden="1" customWidth="1"/>
    <col min="6657" max="6657" width="3.26953125" style="122" customWidth="1"/>
    <col min="6658" max="6658" width="24.7265625" style="122" customWidth="1"/>
    <col min="6659" max="6659" width="18" style="122" customWidth="1"/>
    <col min="6660" max="6660" width="18.453125" style="122" customWidth="1"/>
    <col min="6661" max="6661" width="13.7265625" style="122" customWidth="1"/>
    <col min="6662" max="6662" width="14" style="122" customWidth="1"/>
    <col min="6663" max="6911" width="9.26953125" style="122"/>
    <col min="6912" max="6912" width="0" style="122" hidden="1" customWidth="1"/>
    <col min="6913" max="6913" width="3.26953125" style="122" customWidth="1"/>
    <col min="6914" max="6914" width="24.7265625" style="122" customWidth="1"/>
    <col min="6915" max="6915" width="18" style="122" customWidth="1"/>
    <col min="6916" max="6916" width="18.453125" style="122" customWidth="1"/>
    <col min="6917" max="6917" width="13.7265625" style="122" customWidth="1"/>
    <col min="6918" max="6918" width="14" style="122" customWidth="1"/>
    <col min="6919" max="7167" width="9.26953125" style="122"/>
    <col min="7168" max="7168" width="0" style="122" hidden="1" customWidth="1"/>
    <col min="7169" max="7169" width="3.26953125" style="122" customWidth="1"/>
    <col min="7170" max="7170" width="24.7265625" style="122" customWidth="1"/>
    <col min="7171" max="7171" width="18" style="122" customWidth="1"/>
    <col min="7172" max="7172" width="18.453125" style="122" customWidth="1"/>
    <col min="7173" max="7173" width="13.7265625" style="122" customWidth="1"/>
    <col min="7174" max="7174" width="14" style="122" customWidth="1"/>
    <col min="7175" max="7423" width="9.26953125" style="122"/>
    <col min="7424" max="7424" width="0" style="122" hidden="1" customWidth="1"/>
    <col min="7425" max="7425" width="3.26953125" style="122" customWidth="1"/>
    <col min="7426" max="7426" width="24.7265625" style="122" customWidth="1"/>
    <col min="7427" max="7427" width="18" style="122" customWidth="1"/>
    <col min="7428" max="7428" width="18.453125" style="122" customWidth="1"/>
    <col min="7429" max="7429" width="13.7265625" style="122" customWidth="1"/>
    <col min="7430" max="7430" width="14" style="122" customWidth="1"/>
    <col min="7431" max="7679" width="9.26953125" style="122"/>
    <col min="7680" max="7680" width="0" style="122" hidden="1" customWidth="1"/>
    <col min="7681" max="7681" width="3.26953125" style="122" customWidth="1"/>
    <col min="7682" max="7682" width="24.7265625" style="122" customWidth="1"/>
    <col min="7683" max="7683" width="18" style="122" customWidth="1"/>
    <col min="7684" max="7684" width="18.453125" style="122" customWidth="1"/>
    <col min="7685" max="7685" width="13.7265625" style="122" customWidth="1"/>
    <col min="7686" max="7686" width="14" style="122" customWidth="1"/>
    <col min="7687" max="7935" width="9.26953125" style="122"/>
    <col min="7936" max="7936" width="0" style="122" hidden="1" customWidth="1"/>
    <col min="7937" max="7937" width="3.26953125" style="122" customWidth="1"/>
    <col min="7938" max="7938" width="24.7265625" style="122" customWidth="1"/>
    <col min="7939" max="7939" width="18" style="122" customWidth="1"/>
    <col min="7940" max="7940" width="18.453125" style="122" customWidth="1"/>
    <col min="7941" max="7941" width="13.7265625" style="122" customWidth="1"/>
    <col min="7942" max="7942" width="14" style="122" customWidth="1"/>
    <col min="7943" max="8191" width="9.26953125" style="122"/>
    <col min="8192" max="8192" width="0" style="122" hidden="1" customWidth="1"/>
    <col min="8193" max="8193" width="3.26953125" style="122" customWidth="1"/>
    <col min="8194" max="8194" width="24.7265625" style="122" customWidth="1"/>
    <col min="8195" max="8195" width="18" style="122" customWidth="1"/>
    <col min="8196" max="8196" width="18.453125" style="122" customWidth="1"/>
    <col min="8197" max="8197" width="13.7265625" style="122" customWidth="1"/>
    <col min="8198" max="8198" width="14" style="122" customWidth="1"/>
    <col min="8199" max="8447" width="9.26953125" style="122"/>
    <col min="8448" max="8448" width="0" style="122" hidden="1" customWidth="1"/>
    <col min="8449" max="8449" width="3.26953125" style="122" customWidth="1"/>
    <col min="8450" max="8450" width="24.7265625" style="122" customWidth="1"/>
    <col min="8451" max="8451" width="18" style="122" customWidth="1"/>
    <col min="8452" max="8452" width="18.453125" style="122" customWidth="1"/>
    <col min="8453" max="8453" width="13.7265625" style="122" customWidth="1"/>
    <col min="8454" max="8454" width="14" style="122" customWidth="1"/>
    <col min="8455" max="8703" width="9.26953125" style="122"/>
    <col min="8704" max="8704" width="0" style="122" hidden="1" customWidth="1"/>
    <col min="8705" max="8705" width="3.26953125" style="122" customWidth="1"/>
    <col min="8706" max="8706" width="24.7265625" style="122" customWidth="1"/>
    <col min="8707" max="8707" width="18" style="122" customWidth="1"/>
    <col min="8708" max="8708" width="18.453125" style="122" customWidth="1"/>
    <col min="8709" max="8709" width="13.7265625" style="122" customWidth="1"/>
    <col min="8710" max="8710" width="14" style="122" customWidth="1"/>
    <col min="8711" max="8959" width="9.26953125" style="122"/>
    <col min="8960" max="8960" width="0" style="122" hidden="1" customWidth="1"/>
    <col min="8961" max="8961" width="3.26953125" style="122" customWidth="1"/>
    <col min="8962" max="8962" width="24.7265625" style="122" customWidth="1"/>
    <col min="8963" max="8963" width="18" style="122" customWidth="1"/>
    <col min="8964" max="8964" width="18.453125" style="122" customWidth="1"/>
    <col min="8965" max="8965" width="13.7265625" style="122" customWidth="1"/>
    <col min="8966" max="8966" width="14" style="122" customWidth="1"/>
    <col min="8967" max="9215" width="9.26953125" style="122"/>
    <col min="9216" max="9216" width="0" style="122" hidden="1" customWidth="1"/>
    <col min="9217" max="9217" width="3.26953125" style="122" customWidth="1"/>
    <col min="9218" max="9218" width="24.7265625" style="122" customWidth="1"/>
    <col min="9219" max="9219" width="18" style="122" customWidth="1"/>
    <col min="9220" max="9220" width="18.453125" style="122" customWidth="1"/>
    <col min="9221" max="9221" width="13.7265625" style="122" customWidth="1"/>
    <col min="9222" max="9222" width="14" style="122" customWidth="1"/>
    <col min="9223" max="9471" width="9.26953125" style="122"/>
    <col min="9472" max="9472" width="0" style="122" hidden="1" customWidth="1"/>
    <col min="9473" max="9473" width="3.26953125" style="122" customWidth="1"/>
    <col min="9474" max="9474" width="24.7265625" style="122" customWidth="1"/>
    <col min="9475" max="9475" width="18" style="122" customWidth="1"/>
    <col min="9476" max="9476" width="18.453125" style="122" customWidth="1"/>
    <col min="9477" max="9477" width="13.7265625" style="122" customWidth="1"/>
    <col min="9478" max="9478" width="14" style="122" customWidth="1"/>
    <col min="9479" max="9727" width="9.26953125" style="122"/>
    <col min="9728" max="9728" width="0" style="122" hidden="1" customWidth="1"/>
    <col min="9729" max="9729" width="3.26953125" style="122" customWidth="1"/>
    <col min="9730" max="9730" width="24.7265625" style="122" customWidth="1"/>
    <col min="9731" max="9731" width="18" style="122" customWidth="1"/>
    <col min="9732" max="9732" width="18.453125" style="122" customWidth="1"/>
    <col min="9733" max="9733" width="13.7265625" style="122" customWidth="1"/>
    <col min="9734" max="9734" width="14" style="122" customWidth="1"/>
    <col min="9735" max="9983" width="9.26953125" style="122"/>
    <col min="9984" max="9984" width="0" style="122" hidden="1" customWidth="1"/>
    <col min="9985" max="9985" width="3.26953125" style="122" customWidth="1"/>
    <col min="9986" max="9986" width="24.7265625" style="122" customWidth="1"/>
    <col min="9987" max="9987" width="18" style="122" customWidth="1"/>
    <col min="9988" max="9988" width="18.453125" style="122" customWidth="1"/>
    <col min="9989" max="9989" width="13.7265625" style="122" customWidth="1"/>
    <col min="9990" max="9990" width="14" style="122" customWidth="1"/>
    <col min="9991" max="10239" width="9.26953125" style="122"/>
    <col min="10240" max="10240" width="0" style="122" hidden="1" customWidth="1"/>
    <col min="10241" max="10241" width="3.26953125" style="122" customWidth="1"/>
    <col min="10242" max="10242" width="24.7265625" style="122" customWidth="1"/>
    <col min="10243" max="10243" width="18" style="122" customWidth="1"/>
    <col min="10244" max="10244" width="18.453125" style="122" customWidth="1"/>
    <col min="10245" max="10245" width="13.7265625" style="122" customWidth="1"/>
    <col min="10246" max="10246" width="14" style="122" customWidth="1"/>
    <col min="10247" max="10495" width="9.26953125" style="122"/>
    <col min="10496" max="10496" width="0" style="122" hidden="1" customWidth="1"/>
    <col min="10497" max="10497" width="3.26953125" style="122" customWidth="1"/>
    <col min="10498" max="10498" width="24.7265625" style="122" customWidth="1"/>
    <col min="10499" max="10499" width="18" style="122" customWidth="1"/>
    <col min="10500" max="10500" width="18.453125" style="122" customWidth="1"/>
    <col min="10501" max="10501" width="13.7265625" style="122" customWidth="1"/>
    <col min="10502" max="10502" width="14" style="122" customWidth="1"/>
    <col min="10503" max="10751" width="9.26953125" style="122"/>
    <col min="10752" max="10752" width="0" style="122" hidden="1" customWidth="1"/>
    <col min="10753" max="10753" width="3.26953125" style="122" customWidth="1"/>
    <col min="10754" max="10754" width="24.7265625" style="122" customWidth="1"/>
    <col min="10755" max="10755" width="18" style="122" customWidth="1"/>
    <col min="10756" max="10756" width="18.453125" style="122" customWidth="1"/>
    <col min="10757" max="10757" width="13.7265625" style="122" customWidth="1"/>
    <col min="10758" max="10758" width="14" style="122" customWidth="1"/>
    <col min="10759" max="11007" width="9.26953125" style="122"/>
    <col min="11008" max="11008" width="0" style="122" hidden="1" customWidth="1"/>
    <col min="11009" max="11009" width="3.26953125" style="122" customWidth="1"/>
    <col min="11010" max="11010" width="24.7265625" style="122" customWidth="1"/>
    <col min="11011" max="11011" width="18" style="122" customWidth="1"/>
    <col min="11012" max="11012" width="18.453125" style="122" customWidth="1"/>
    <col min="11013" max="11013" width="13.7265625" style="122" customWidth="1"/>
    <col min="11014" max="11014" width="14" style="122" customWidth="1"/>
    <col min="11015" max="11263" width="9.26953125" style="122"/>
    <col min="11264" max="11264" width="0" style="122" hidden="1" customWidth="1"/>
    <col min="11265" max="11265" width="3.26953125" style="122" customWidth="1"/>
    <col min="11266" max="11266" width="24.7265625" style="122" customWidth="1"/>
    <col min="11267" max="11267" width="18" style="122" customWidth="1"/>
    <col min="11268" max="11268" width="18.453125" style="122" customWidth="1"/>
    <col min="11269" max="11269" width="13.7265625" style="122" customWidth="1"/>
    <col min="11270" max="11270" width="14" style="122" customWidth="1"/>
    <col min="11271" max="11519" width="9.26953125" style="122"/>
    <col min="11520" max="11520" width="0" style="122" hidden="1" customWidth="1"/>
    <col min="11521" max="11521" width="3.26953125" style="122" customWidth="1"/>
    <col min="11522" max="11522" width="24.7265625" style="122" customWidth="1"/>
    <col min="11523" max="11523" width="18" style="122" customWidth="1"/>
    <col min="11524" max="11524" width="18.453125" style="122" customWidth="1"/>
    <col min="11525" max="11525" width="13.7265625" style="122" customWidth="1"/>
    <col min="11526" max="11526" width="14" style="122" customWidth="1"/>
    <col min="11527" max="11775" width="9.26953125" style="122"/>
    <col min="11776" max="11776" width="0" style="122" hidden="1" customWidth="1"/>
    <col min="11777" max="11777" width="3.26953125" style="122" customWidth="1"/>
    <col min="11778" max="11778" width="24.7265625" style="122" customWidth="1"/>
    <col min="11779" max="11779" width="18" style="122" customWidth="1"/>
    <col min="11780" max="11780" width="18.453125" style="122" customWidth="1"/>
    <col min="11781" max="11781" width="13.7265625" style="122" customWidth="1"/>
    <col min="11782" max="11782" width="14" style="122" customWidth="1"/>
    <col min="11783" max="12031" width="9.26953125" style="122"/>
    <col min="12032" max="12032" width="0" style="122" hidden="1" customWidth="1"/>
    <col min="12033" max="12033" width="3.26953125" style="122" customWidth="1"/>
    <col min="12034" max="12034" width="24.7265625" style="122" customWidth="1"/>
    <col min="12035" max="12035" width="18" style="122" customWidth="1"/>
    <col min="12036" max="12036" width="18.453125" style="122" customWidth="1"/>
    <col min="12037" max="12037" width="13.7265625" style="122" customWidth="1"/>
    <col min="12038" max="12038" width="14" style="122" customWidth="1"/>
    <col min="12039" max="12287" width="9.26953125" style="122"/>
    <col min="12288" max="12288" width="0" style="122" hidden="1" customWidth="1"/>
    <col min="12289" max="12289" width="3.26953125" style="122" customWidth="1"/>
    <col min="12290" max="12290" width="24.7265625" style="122" customWidth="1"/>
    <col min="12291" max="12291" width="18" style="122" customWidth="1"/>
    <col min="12292" max="12292" width="18.453125" style="122" customWidth="1"/>
    <col min="12293" max="12293" width="13.7265625" style="122" customWidth="1"/>
    <col min="12294" max="12294" width="14" style="122" customWidth="1"/>
    <col min="12295" max="12543" width="9.26953125" style="122"/>
    <col min="12544" max="12544" width="0" style="122" hidden="1" customWidth="1"/>
    <col min="12545" max="12545" width="3.26953125" style="122" customWidth="1"/>
    <col min="12546" max="12546" width="24.7265625" style="122" customWidth="1"/>
    <col min="12547" max="12547" width="18" style="122" customWidth="1"/>
    <col min="12548" max="12548" width="18.453125" style="122" customWidth="1"/>
    <col min="12549" max="12549" width="13.7265625" style="122" customWidth="1"/>
    <col min="12550" max="12550" width="14" style="122" customWidth="1"/>
    <col min="12551" max="12799" width="9.26953125" style="122"/>
    <col min="12800" max="12800" width="0" style="122" hidden="1" customWidth="1"/>
    <col min="12801" max="12801" width="3.26953125" style="122" customWidth="1"/>
    <col min="12802" max="12802" width="24.7265625" style="122" customWidth="1"/>
    <col min="12803" max="12803" width="18" style="122" customWidth="1"/>
    <col min="12804" max="12804" width="18.453125" style="122" customWidth="1"/>
    <col min="12805" max="12805" width="13.7265625" style="122" customWidth="1"/>
    <col min="12806" max="12806" width="14" style="122" customWidth="1"/>
    <col min="12807" max="13055" width="9.26953125" style="122"/>
    <col min="13056" max="13056" width="0" style="122" hidden="1" customWidth="1"/>
    <col min="13057" max="13057" width="3.26953125" style="122" customWidth="1"/>
    <col min="13058" max="13058" width="24.7265625" style="122" customWidth="1"/>
    <col min="13059" max="13059" width="18" style="122" customWidth="1"/>
    <col min="13060" max="13060" width="18.453125" style="122" customWidth="1"/>
    <col min="13061" max="13061" width="13.7265625" style="122" customWidth="1"/>
    <col min="13062" max="13062" width="14" style="122" customWidth="1"/>
    <col min="13063" max="13311" width="9.26953125" style="122"/>
    <col min="13312" max="13312" width="0" style="122" hidden="1" customWidth="1"/>
    <col min="13313" max="13313" width="3.26953125" style="122" customWidth="1"/>
    <col min="13314" max="13314" width="24.7265625" style="122" customWidth="1"/>
    <col min="13315" max="13315" width="18" style="122" customWidth="1"/>
    <col min="13316" max="13316" width="18.453125" style="122" customWidth="1"/>
    <col min="13317" max="13317" width="13.7265625" style="122" customWidth="1"/>
    <col min="13318" max="13318" width="14" style="122" customWidth="1"/>
    <col min="13319" max="13567" width="9.26953125" style="122"/>
    <col min="13568" max="13568" width="0" style="122" hidden="1" customWidth="1"/>
    <col min="13569" max="13569" width="3.26953125" style="122" customWidth="1"/>
    <col min="13570" max="13570" width="24.7265625" style="122" customWidth="1"/>
    <col min="13571" max="13571" width="18" style="122" customWidth="1"/>
    <col min="13572" max="13572" width="18.453125" style="122" customWidth="1"/>
    <col min="13573" max="13573" width="13.7265625" style="122" customWidth="1"/>
    <col min="13574" max="13574" width="14" style="122" customWidth="1"/>
    <col min="13575" max="13823" width="9.26953125" style="122"/>
    <col min="13824" max="13824" width="0" style="122" hidden="1" customWidth="1"/>
    <col min="13825" max="13825" width="3.26953125" style="122" customWidth="1"/>
    <col min="13826" max="13826" width="24.7265625" style="122" customWidth="1"/>
    <col min="13827" max="13827" width="18" style="122" customWidth="1"/>
    <col min="13828" max="13828" width="18.453125" style="122" customWidth="1"/>
    <col min="13829" max="13829" width="13.7265625" style="122" customWidth="1"/>
    <col min="13830" max="13830" width="14" style="122" customWidth="1"/>
    <col min="13831" max="14079" width="9.26953125" style="122"/>
    <col min="14080" max="14080" width="0" style="122" hidden="1" customWidth="1"/>
    <col min="14081" max="14081" width="3.26953125" style="122" customWidth="1"/>
    <col min="14082" max="14082" width="24.7265625" style="122" customWidth="1"/>
    <col min="14083" max="14083" width="18" style="122" customWidth="1"/>
    <col min="14084" max="14084" width="18.453125" style="122" customWidth="1"/>
    <col min="14085" max="14085" width="13.7265625" style="122" customWidth="1"/>
    <col min="14086" max="14086" width="14" style="122" customWidth="1"/>
    <col min="14087" max="14335" width="9.26953125" style="122"/>
    <col min="14336" max="14336" width="0" style="122" hidden="1" customWidth="1"/>
    <col min="14337" max="14337" width="3.26953125" style="122" customWidth="1"/>
    <col min="14338" max="14338" width="24.7265625" style="122" customWidth="1"/>
    <col min="14339" max="14339" width="18" style="122" customWidth="1"/>
    <col min="14340" max="14340" width="18.453125" style="122" customWidth="1"/>
    <col min="14341" max="14341" width="13.7265625" style="122" customWidth="1"/>
    <col min="14342" max="14342" width="14" style="122" customWidth="1"/>
    <col min="14343" max="14591" width="9.26953125" style="122"/>
    <col min="14592" max="14592" width="0" style="122" hidden="1" customWidth="1"/>
    <col min="14593" max="14593" width="3.26953125" style="122" customWidth="1"/>
    <col min="14594" max="14594" width="24.7265625" style="122" customWidth="1"/>
    <col min="14595" max="14595" width="18" style="122" customWidth="1"/>
    <col min="14596" max="14596" width="18.453125" style="122" customWidth="1"/>
    <col min="14597" max="14597" width="13.7265625" style="122" customWidth="1"/>
    <col min="14598" max="14598" width="14" style="122" customWidth="1"/>
    <col min="14599" max="14847" width="9.26953125" style="122"/>
    <col min="14848" max="14848" width="0" style="122" hidden="1" customWidth="1"/>
    <col min="14849" max="14849" width="3.26953125" style="122" customWidth="1"/>
    <col min="14850" max="14850" width="24.7265625" style="122" customWidth="1"/>
    <col min="14851" max="14851" width="18" style="122" customWidth="1"/>
    <col min="14852" max="14852" width="18.453125" style="122" customWidth="1"/>
    <col min="14853" max="14853" width="13.7265625" style="122" customWidth="1"/>
    <col min="14854" max="14854" width="14" style="122" customWidth="1"/>
    <col min="14855" max="15103" width="9.26953125" style="122"/>
    <col min="15104" max="15104" width="0" style="122" hidden="1" customWidth="1"/>
    <col min="15105" max="15105" width="3.26953125" style="122" customWidth="1"/>
    <col min="15106" max="15106" width="24.7265625" style="122" customWidth="1"/>
    <col min="15107" max="15107" width="18" style="122" customWidth="1"/>
    <col min="15108" max="15108" width="18.453125" style="122" customWidth="1"/>
    <col min="15109" max="15109" width="13.7265625" style="122" customWidth="1"/>
    <col min="15110" max="15110" width="14" style="122" customWidth="1"/>
    <col min="15111" max="15359" width="9.26953125" style="122"/>
    <col min="15360" max="15360" width="0" style="122" hidden="1" customWidth="1"/>
    <col min="15361" max="15361" width="3.26953125" style="122" customWidth="1"/>
    <col min="15362" max="15362" width="24.7265625" style="122" customWidth="1"/>
    <col min="15363" max="15363" width="18" style="122" customWidth="1"/>
    <col min="15364" max="15364" width="18.453125" style="122" customWidth="1"/>
    <col min="15365" max="15365" width="13.7265625" style="122" customWidth="1"/>
    <col min="15366" max="15366" width="14" style="122" customWidth="1"/>
    <col min="15367" max="15615" width="9.26953125" style="122"/>
    <col min="15616" max="15616" width="0" style="122" hidden="1" customWidth="1"/>
    <col min="15617" max="15617" width="3.26953125" style="122" customWidth="1"/>
    <col min="15618" max="15618" width="24.7265625" style="122" customWidth="1"/>
    <col min="15619" max="15619" width="18" style="122" customWidth="1"/>
    <col min="15620" max="15620" width="18.453125" style="122" customWidth="1"/>
    <col min="15621" max="15621" width="13.7265625" style="122" customWidth="1"/>
    <col min="15622" max="15622" width="14" style="122" customWidth="1"/>
    <col min="15623" max="15871" width="9.26953125" style="122"/>
    <col min="15872" max="15872" width="0" style="122" hidden="1" customWidth="1"/>
    <col min="15873" max="15873" width="3.26953125" style="122" customWidth="1"/>
    <col min="15874" max="15874" width="24.7265625" style="122" customWidth="1"/>
    <col min="15875" max="15875" width="18" style="122" customWidth="1"/>
    <col min="15876" max="15876" width="18.453125" style="122" customWidth="1"/>
    <col min="15877" max="15877" width="13.7265625" style="122" customWidth="1"/>
    <col min="15878" max="15878" width="14" style="122" customWidth="1"/>
    <col min="15879" max="16127" width="9.26953125" style="122"/>
    <col min="16128" max="16128" width="0" style="122" hidden="1" customWidth="1"/>
    <col min="16129" max="16129" width="3.26953125" style="122" customWidth="1"/>
    <col min="16130" max="16130" width="24.7265625" style="122" customWidth="1"/>
    <col min="16131" max="16131" width="18" style="122" customWidth="1"/>
    <col min="16132" max="16132" width="18.453125" style="122" customWidth="1"/>
    <col min="16133" max="16133" width="13.7265625" style="122" customWidth="1"/>
    <col min="16134" max="16134" width="14" style="122" customWidth="1"/>
    <col min="16135" max="16384" width="9.26953125" style="122"/>
  </cols>
  <sheetData>
    <row r="1" spans="1:10" ht="48.75" customHeight="1" x14ac:dyDescent="0.3">
      <c r="B1" s="286" t="s">
        <v>98</v>
      </c>
      <c r="C1" s="286"/>
      <c r="D1" s="286"/>
      <c r="E1" s="286"/>
      <c r="F1" s="286"/>
    </row>
    <row r="2" spans="1:10" ht="15.75" customHeight="1" x14ac:dyDescent="0.3">
      <c r="C2" s="297" t="s">
        <v>1</v>
      </c>
      <c r="D2" s="294" t="s">
        <v>2</v>
      </c>
      <c r="E2" s="294"/>
      <c r="F2" s="297" t="s">
        <v>5</v>
      </c>
    </row>
    <row r="3" spans="1:10" ht="34.5" customHeight="1" x14ac:dyDescent="0.3">
      <c r="A3" s="4"/>
      <c r="C3" s="289"/>
      <c r="D3" s="143" t="s">
        <v>3</v>
      </c>
      <c r="E3" s="143" t="s">
        <v>4</v>
      </c>
      <c r="F3" s="289"/>
    </row>
    <row r="4" spans="1:10" ht="23.25" customHeight="1" x14ac:dyDescent="0.3">
      <c r="A4" s="4"/>
      <c r="B4" s="127" t="s">
        <v>6</v>
      </c>
      <c r="C4" s="159">
        <v>1159</v>
      </c>
      <c r="D4" s="159">
        <v>248</v>
      </c>
      <c r="E4" s="159">
        <v>23</v>
      </c>
      <c r="F4" s="159">
        <v>0</v>
      </c>
      <c r="I4" s="139"/>
    </row>
    <row r="5" spans="1:10" s="127" customFormat="1" ht="25.5" customHeight="1" x14ac:dyDescent="0.3">
      <c r="A5" s="9"/>
      <c r="B5" s="127" t="s">
        <v>7</v>
      </c>
      <c r="C5" s="168">
        <v>894</v>
      </c>
      <c r="D5" s="168">
        <v>191</v>
      </c>
      <c r="E5" s="168">
        <v>19</v>
      </c>
      <c r="F5" s="168">
        <v>0</v>
      </c>
    </row>
    <row r="6" spans="1:10" x14ac:dyDescent="0.3">
      <c r="A6" s="12">
        <v>51</v>
      </c>
      <c r="B6" s="122" t="s">
        <v>8</v>
      </c>
      <c r="C6" s="139">
        <v>35</v>
      </c>
      <c r="D6" s="139">
        <v>7</v>
      </c>
      <c r="E6" s="139">
        <v>0</v>
      </c>
      <c r="F6" s="139">
        <v>0</v>
      </c>
    </row>
    <row r="7" spans="1:10" x14ac:dyDescent="0.3">
      <c r="A7" s="12">
        <v>52</v>
      </c>
      <c r="B7" s="122" t="s">
        <v>9</v>
      </c>
      <c r="C7" s="139">
        <v>41</v>
      </c>
      <c r="D7" s="139">
        <v>8</v>
      </c>
      <c r="E7" s="139">
        <v>0</v>
      </c>
      <c r="F7" s="139">
        <v>0</v>
      </c>
      <c r="J7" s="139"/>
    </row>
    <row r="8" spans="1:10" x14ac:dyDescent="0.3">
      <c r="A8" s="12">
        <v>86</v>
      </c>
      <c r="B8" s="122" t="s">
        <v>10</v>
      </c>
      <c r="C8" s="139">
        <v>20</v>
      </c>
      <c r="D8" s="148">
        <v>3</v>
      </c>
      <c r="E8" s="148">
        <v>0</v>
      </c>
      <c r="F8" s="139">
        <v>0</v>
      </c>
      <c r="J8" s="139"/>
    </row>
    <row r="9" spans="1:10" x14ac:dyDescent="0.3">
      <c r="A9" s="12">
        <v>53</v>
      </c>
      <c r="B9" s="122" t="s">
        <v>11</v>
      </c>
      <c r="C9" s="139">
        <v>21</v>
      </c>
      <c r="D9" s="139">
        <v>7</v>
      </c>
      <c r="E9" s="139">
        <v>1</v>
      </c>
      <c r="F9" s="139">
        <v>0</v>
      </c>
    </row>
    <row r="10" spans="1:10" x14ac:dyDescent="0.3">
      <c r="A10" s="12">
        <v>54</v>
      </c>
      <c r="B10" s="122" t="s">
        <v>12</v>
      </c>
      <c r="C10" s="139">
        <v>26</v>
      </c>
      <c r="D10" s="139">
        <v>1</v>
      </c>
      <c r="E10" s="139">
        <v>0</v>
      </c>
      <c r="F10" s="139">
        <v>0</v>
      </c>
    </row>
    <row r="11" spans="1:10" x14ac:dyDescent="0.3">
      <c r="A11" s="12">
        <v>55</v>
      </c>
      <c r="B11" s="122" t="s">
        <v>13</v>
      </c>
      <c r="C11" s="139">
        <v>14</v>
      </c>
      <c r="D11" s="139">
        <v>2</v>
      </c>
      <c r="E11" s="139">
        <v>1</v>
      </c>
      <c r="F11" s="139">
        <v>0</v>
      </c>
    </row>
    <row r="12" spans="1:10" x14ac:dyDescent="0.3">
      <c r="A12" s="12">
        <v>56</v>
      </c>
      <c r="B12" s="122" t="s">
        <v>14</v>
      </c>
      <c r="C12" s="139">
        <v>7</v>
      </c>
      <c r="D12" s="139">
        <v>0</v>
      </c>
      <c r="E12" s="139">
        <v>2</v>
      </c>
      <c r="F12" s="139">
        <v>0</v>
      </c>
    </row>
    <row r="13" spans="1:10" x14ac:dyDescent="0.3">
      <c r="A13" s="12">
        <v>57</v>
      </c>
      <c r="B13" s="122" t="s">
        <v>15</v>
      </c>
      <c r="C13" s="139">
        <v>17</v>
      </c>
      <c r="D13" s="139">
        <v>1</v>
      </c>
      <c r="E13" s="139">
        <v>0</v>
      </c>
      <c r="F13" s="139">
        <v>0</v>
      </c>
    </row>
    <row r="14" spans="1:10" x14ac:dyDescent="0.3">
      <c r="A14" s="12">
        <v>59</v>
      </c>
      <c r="B14" s="122" t="s">
        <v>16</v>
      </c>
      <c r="C14" s="139">
        <v>10</v>
      </c>
      <c r="D14" s="139">
        <v>4</v>
      </c>
      <c r="E14" s="139">
        <v>0</v>
      </c>
      <c r="F14" s="139">
        <v>0</v>
      </c>
    </row>
    <row r="15" spans="1:10" x14ac:dyDescent="0.3">
      <c r="A15" s="12">
        <v>60</v>
      </c>
      <c r="B15" s="122" t="s">
        <v>17</v>
      </c>
      <c r="C15" s="139">
        <v>13</v>
      </c>
      <c r="D15" s="139">
        <v>2</v>
      </c>
      <c r="E15" s="139">
        <v>0</v>
      </c>
      <c r="F15" s="139">
        <v>0</v>
      </c>
    </row>
    <row r="16" spans="1:10" x14ac:dyDescent="0.3">
      <c r="A16" s="12">
        <v>61</v>
      </c>
      <c r="B16" s="149" t="s">
        <v>18</v>
      </c>
      <c r="C16" s="139">
        <v>34</v>
      </c>
      <c r="D16" s="139">
        <v>4</v>
      </c>
      <c r="E16" s="139">
        <v>1</v>
      </c>
      <c r="F16" s="139">
        <v>0</v>
      </c>
    </row>
    <row r="17" spans="1:6" s="181" customFormat="1" x14ac:dyDescent="0.3">
      <c r="A17" s="12"/>
      <c r="B17" s="130" t="s">
        <v>122</v>
      </c>
      <c r="C17" s="163">
        <v>33</v>
      </c>
      <c r="D17" s="163">
        <v>2</v>
      </c>
      <c r="E17" s="163">
        <v>0</v>
      </c>
      <c r="F17" s="163">
        <v>0</v>
      </c>
    </row>
    <row r="18" spans="1:6" x14ac:dyDescent="0.3">
      <c r="A18" s="12">
        <v>58</v>
      </c>
      <c r="B18" s="122" t="s">
        <v>20</v>
      </c>
      <c r="C18" s="139">
        <v>10</v>
      </c>
      <c r="D18" s="139">
        <v>1</v>
      </c>
      <c r="E18" s="139">
        <v>0</v>
      </c>
      <c r="F18" s="139">
        <v>0</v>
      </c>
    </row>
    <row r="19" spans="1:6" x14ac:dyDescent="0.3">
      <c r="A19" s="12">
        <v>63</v>
      </c>
      <c r="B19" s="122" t="s">
        <v>21</v>
      </c>
      <c r="C19" s="139">
        <v>33</v>
      </c>
      <c r="D19" s="139">
        <v>9</v>
      </c>
      <c r="E19" s="139">
        <v>0</v>
      </c>
      <c r="F19" s="139">
        <v>0</v>
      </c>
    </row>
    <row r="20" spans="1:6" x14ac:dyDescent="0.3">
      <c r="A20" s="12">
        <v>64</v>
      </c>
      <c r="B20" s="122" t="s">
        <v>22</v>
      </c>
      <c r="C20" s="139">
        <v>51</v>
      </c>
      <c r="D20" s="139">
        <v>17</v>
      </c>
      <c r="E20" s="139">
        <v>4</v>
      </c>
      <c r="F20" s="139">
        <v>0</v>
      </c>
    </row>
    <row r="21" spans="1:6" x14ac:dyDescent="0.3">
      <c r="A21" s="12">
        <v>65</v>
      </c>
      <c r="B21" s="122" t="s">
        <v>23</v>
      </c>
      <c r="C21" s="139">
        <v>33</v>
      </c>
      <c r="D21" s="139">
        <v>10</v>
      </c>
      <c r="E21" s="139">
        <v>1</v>
      </c>
      <c r="F21" s="139">
        <v>0</v>
      </c>
    </row>
    <row r="22" spans="1:6" x14ac:dyDescent="0.3">
      <c r="A22" s="12">
        <v>67</v>
      </c>
      <c r="B22" s="122" t="s">
        <v>24</v>
      </c>
      <c r="C22" s="139">
        <v>37</v>
      </c>
      <c r="D22" s="139">
        <v>13</v>
      </c>
      <c r="E22" s="165">
        <v>2</v>
      </c>
      <c r="F22" s="139">
        <v>0</v>
      </c>
    </row>
    <row r="23" spans="1:6" x14ac:dyDescent="0.3">
      <c r="A23" s="12">
        <v>68</v>
      </c>
      <c r="B23" s="122" t="s">
        <v>25</v>
      </c>
      <c r="C23" s="139">
        <v>32</v>
      </c>
      <c r="D23" s="139">
        <v>6</v>
      </c>
      <c r="E23" s="139">
        <v>1</v>
      </c>
      <c r="F23" s="139">
        <v>0</v>
      </c>
    </row>
    <row r="24" spans="1:6" x14ac:dyDescent="0.3">
      <c r="A24" s="12">
        <v>69</v>
      </c>
      <c r="B24" s="122" t="s">
        <v>26</v>
      </c>
      <c r="C24" s="139">
        <v>29</v>
      </c>
      <c r="D24" s="139">
        <v>7</v>
      </c>
      <c r="E24" s="139">
        <v>2</v>
      </c>
      <c r="F24" s="139">
        <v>0</v>
      </c>
    </row>
    <row r="25" spans="1:6" x14ac:dyDescent="0.3">
      <c r="A25" s="12">
        <v>70</v>
      </c>
      <c r="B25" s="122" t="s">
        <v>27</v>
      </c>
      <c r="C25" s="139">
        <v>40</v>
      </c>
      <c r="D25" s="139">
        <v>5</v>
      </c>
      <c r="E25" s="139">
        <v>3</v>
      </c>
      <c r="F25" s="139">
        <v>0</v>
      </c>
    </row>
    <row r="26" spans="1:6" x14ac:dyDescent="0.3">
      <c r="A26" s="12">
        <v>71</v>
      </c>
      <c r="B26" s="150" t="s">
        <v>28</v>
      </c>
      <c r="C26" s="139">
        <v>6</v>
      </c>
      <c r="D26" s="139">
        <v>3</v>
      </c>
      <c r="E26" s="139">
        <v>0</v>
      </c>
      <c r="F26" s="139">
        <v>0</v>
      </c>
    </row>
    <row r="27" spans="1:6" x14ac:dyDescent="0.3">
      <c r="A27" s="12">
        <v>73</v>
      </c>
      <c r="B27" s="122" t="s">
        <v>29</v>
      </c>
      <c r="C27" s="139">
        <v>20</v>
      </c>
      <c r="D27" s="148">
        <v>6</v>
      </c>
      <c r="E27" s="148">
        <v>0</v>
      </c>
      <c r="F27" s="139">
        <v>0</v>
      </c>
    </row>
    <row r="28" spans="1:6" x14ac:dyDescent="0.3">
      <c r="A28" s="12">
        <v>74</v>
      </c>
      <c r="B28" s="122" t="s">
        <v>30</v>
      </c>
      <c r="C28" s="139">
        <v>15</v>
      </c>
      <c r="D28" s="148">
        <v>6</v>
      </c>
      <c r="E28" s="148">
        <v>0</v>
      </c>
      <c r="F28" s="139">
        <v>0</v>
      </c>
    </row>
    <row r="29" spans="1:6" x14ac:dyDescent="0.3">
      <c r="A29" s="12">
        <v>75</v>
      </c>
      <c r="B29" s="122" t="s">
        <v>31</v>
      </c>
      <c r="C29" s="139">
        <v>25</v>
      </c>
      <c r="D29" s="148">
        <v>5</v>
      </c>
      <c r="E29" s="148">
        <v>0</v>
      </c>
      <c r="F29" s="139">
        <v>0</v>
      </c>
    </row>
    <row r="30" spans="1:6" x14ac:dyDescent="0.3">
      <c r="A30" s="12">
        <v>76</v>
      </c>
      <c r="B30" s="122" t="s">
        <v>32</v>
      </c>
      <c r="C30" s="139">
        <v>11</v>
      </c>
      <c r="D30" s="148">
        <v>3</v>
      </c>
      <c r="E30" s="148">
        <v>0</v>
      </c>
      <c r="F30" s="139">
        <v>0</v>
      </c>
    </row>
    <row r="31" spans="1:6" x14ac:dyDescent="0.3">
      <c r="A31" s="12">
        <v>79</v>
      </c>
      <c r="B31" s="122" t="s">
        <v>33</v>
      </c>
      <c r="C31" s="139">
        <v>28</v>
      </c>
      <c r="D31" s="148">
        <v>11</v>
      </c>
      <c r="E31" s="148">
        <v>0</v>
      </c>
      <c r="F31" s="139">
        <v>0</v>
      </c>
    </row>
    <row r="32" spans="1:6" x14ac:dyDescent="0.3">
      <c r="A32" s="12">
        <v>80</v>
      </c>
      <c r="B32" s="122" t="s">
        <v>34</v>
      </c>
      <c r="C32" s="139">
        <v>31</v>
      </c>
      <c r="D32" s="148">
        <v>4</v>
      </c>
      <c r="E32" s="148">
        <v>0</v>
      </c>
      <c r="F32" s="139">
        <v>0</v>
      </c>
    </row>
    <row r="33" spans="1:10" x14ac:dyDescent="0.3">
      <c r="A33" s="12">
        <v>81</v>
      </c>
      <c r="B33" s="122" t="s">
        <v>35</v>
      </c>
      <c r="C33" s="139">
        <v>17</v>
      </c>
      <c r="D33" s="148">
        <v>3</v>
      </c>
      <c r="E33" s="148">
        <v>0</v>
      </c>
      <c r="F33" s="139">
        <v>0</v>
      </c>
    </row>
    <row r="34" spans="1:10" x14ac:dyDescent="0.3">
      <c r="A34" s="12">
        <v>83</v>
      </c>
      <c r="B34" s="122" t="s">
        <v>36</v>
      </c>
      <c r="C34" s="139">
        <v>15</v>
      </c>
      <c r="D34" s="148">
        <v>5</v>
      </c>
      <c r="E34" s="148">
        <v>0</v>
      </c>
      <c r="F34" s="139">
        <v>0</v>
      </c>
    </row>
    <row r="35" spans="1:10" x14ac:dyDescent="0.3">
      <c r="A35" s="12">
        <v>84</v>
      </c>
      <c r="B35" s="122" t="s">
        <v>37</v>
      </c>
      <c r="C35" s="139">
        <v>15</v>
      </c>
      <c r="D35" s="148">
        <v>7</v>
      </c>
      <c r="E35" s="148">
        <v>0</v>
      </c>
      <c r="F35" s="139">
        <v>0</v>
      </c>
    </row>
    <row r="36" spans="1:10" ht="14" x14ac:dyDescent="0.3">
      <c r="A36" s="12">
        <v>85</v>
      </c>
      <c r="B36" s="122" t="s">
        <v>38</v>
      </c>
      <c r="C36" s="139">
        <v>24</v>
      </c>
      <c r="D36" s="148">
        <v>3</v>
      </c>
      <c r="E36" s="148">
        <v>0</v>
      </c>
      <c r="F36" s="139">
        <v>0</v>
      </c>
      <c r="G36" s="127"/>
    </row>
    <row r="37" spans="1:10" ht="14" x14ac:dyDescent="0.3">
      <c r="A37" s="12">
        <v>87</v>
      </c>
      <c r="B37" s="122" t="s">
        <v>39</v>
      </c>
      <c r="C37" s="139">
        <v>19</v>
      </c>
      <c r="D37" s="148">
        <v>3</v>
      </c>
      <c r="E37" s="148">
        <v>0</v>
      </c>
      <c r="F37" s="139">
        <v>0</v>
      </c>
      <c r="H37" s="127"/>
      <c r="I37" s="127"/>
    </row>
    <row r="38" spans="1:10" x14ac:dyDescent="0.3">
      <c r="A38" s="12">
        <v>90</v>
      </c>
      <c r="B38" s="122" t="s">
        <v>40</v>
      </c>
      <c r="C38" s="139">
        <v>32</v>
      </c>
      <c r="D38" s="148">
        <v>3</v>
      </c>
      <c r="E38" s="148">
        <v>0</v>
      </c>
      <c r="F38" s="139">
        <v>0</v>
      </c>
    </row>
    <row r="39" spans="1:10" x14ac:dyDescent="0.3">
      <c r="A39" s="12">
        <v>91</v>
      </c>
      <c r="B39" s="122" t="s">
        <v>41</v>
      </c>
      <c r="C39" s="139">
        <v>34</v>
      </c>
      <c r="D39" s="148">
        <v>1</v>
      </c>
      <c r="E39" s="148">
        <v>0</v>
      </c>
      <c r="F39" s="139">
        <v>0</v>
      </c>
    </row>
    <row r="40" spans="1:10" x14ac:dyDescent="0.3">
      <c r="A40" s="12">
        <v>92</v>
      </c>
      <c r="B40" s="122" t="s">
        <v>42</v>
      </c>
      <c r="C40" s="139">
        <v>25</v>
      </c>
      <c r="D40" s="148">
        <v>8</v>
      </c>
      <c r="E40" s="148">
        <v>0</v>
      </c>
      <c r="F40" s="139">
        <v>0</v>
      </c>
    </row>
    <row r="41" spans="1:10" x14ac:dyDescent="0.3">
      <c r="A41" s="12">
        <v>94</v>
      </c>
      <c r="B41" s="122" t="s">
        <v>43</v>
      </c>
      <c r="C41" s="139">
        <v>21</v>
      </c>
      <c r="D41" s="148">
        <v>7</v>
      </c>
      <c r="E41" s="148">
        <v>0</v>
      </c>
      <c r="F41" s="139">
        <v>0</v>
      </c>
    </row>
    <row r="42" spans="1:10" ht="14" x14ac:dyDescent="0.3">
      <c r="A42" s="12">
        <v>96</v>
      </c>
      <c r="B42" s="122" t="s">
        <v>44</v>
      </c>
      <c r="C42" s="139">
        <v>20</v>
      </c>
      <c r="D42" s="148">
        <v>4</v>
      </c>
      <c r="E42" s="148">
        <v>1</v>
      </c>
      <c r="F42" s="139">
        <v>0</v>
      </c>
      <c r="J42" s="127"/>
    </row>
    <row r="43" spans="1:10" x14ac:dyDescent="0.3">
      <c r="A43" s="12">
        <v>72</v>
      </c>
      <c r="B43" s="150" t="s">
        <v>46</v>
      </c>
      <c r="C43" s="148">
        <v>0</v>
      </c>
      <c r="D43" s="148">
        <v>0</v>
      </c>
      <c r="E43" s="148">
        <v>0</v>
      </c>
      <c r="F43" s="139">
        <v>0</v>
      </c>
    </row>
    <row r="44" spans="1:10" s="127" customFormat="1" ht="25.5" customHeight="1" x14ac:dyDescent="0.3">
      <c r="A44" s="50"/>
      <c r="B44" s="127" t="s">
        <v>47</v>
      </c>
      <c r="C44" s="153">
        <v>265</v>
      </c>
      <c r="D44" s="153">
        <v>57</v>
      </c>
      <c r="E44" s="153">
        <v>4</v>
      </c>
      <c r="F44" s="153">
        <v>0</v>
      </c>
    </row>
    <row r="45" spans="1:10" x14ac:dyDescent="0.3">
      <c r="A45" s="12">
        <v>66</v>
      </c>
      <c r="B45" s="122" t="s">
        <v>48</v>
      </c>
      <c r="C45" s="139">
        <v>30</v>
      </c>
      <c r="D45" s="139">
        <v>7</v>
      </c>
      <c r="E45" s="139">
        <v>0</v>
      </c>
      <c r="F45" s="139">
        <v>0</v>
      </c>
    </row>
    <row r="46" spans="1:10" x14ac:dyDescent="0.3">
      <c r="A46" s="12">
        <v>78</v>
      </c>
      <c r="B46" s="122" t="s">
        <v>49</v>
      </c>
      <c r="C46" s="139">
        <v>15</v>
      </c>
      <c r="D46" s="139">
        <v>3</v>
      </c>
      <c r="E46" s="139">
        <v>1</v>
      </c>
      <c r="F46" s="139">
        <v>0</v>
      </c>
    </row>
    <row r="47" spans="1:10" x14ac:dyDescent="0.3">
      <c r="A47" s="12">
        <v>89</v>
      </c>
      <c r="B47" s="122" t="s">
        <v>50</v>
      </c>
      <c r="C47" s="139">
        <v>28</v>
      </c>
      <c r="D47" s="139">
        <v>2</v>
      </c>
      <c r="E47" s="139">
        <v>0</v>
      </c>
      <c r="F47" s="139">
        <v>0</v>
      </c>
    </row>
    <row r="48" spans="1:10" x14ac:dyDescent="0.3">
      <c r="A48" s="12">
        <v>93</v>
      </c>
      <c r="B48" s="122" t="s">
        <v>51</v>
      </c>
      <c r="C48" s="139">
        <v>7</v>
      </c>
      <c r="D48" s="139">
        <v>4</v>
      </c>
      <c r="E48" s="139">
        <v>0</v>
      </c>
      <c r="F48" s="139">
        <v>0</v>
      </c>
    </row>
    <row r="49" spans="1:6" x14ac:dyDescent="0.3">
      <c r="A49" s="12">
        <v>95</v>
      </c>
      <c r="B49" s="122" t="s">
        <v>52</v>
      </c>
      <c r="C49" s="139">
        <v>28</v>
      </c>
      <c r="D49" s="139">
        <v>5</v>
      </c>
      <c r="E49" s="139">
        <v>0</v>
      </c>
      <c r="F49" s="139">
        <v>0</v>
      </c>
    </row>
    <row r="50" spans="1:6" x14ac:dyDescent="0.3">
      <c r="A50" s="12">
        <v>97</v>
      </c>
      <c r="B50" s="122" t="s">
        <v>53</v>
      </c>
      <c r="C50" s="165">
        <v>61</v>
      </c>
      <c r="D50" s="139">
        <v>10</v>
      </c>
      <c r="E50" s="139">
        <v>1</v>
      </c>
      <c r="F50" s="139">
        <v>0</v>
      </c>
    </row>
    <row r="51" spans="1:6" x14ac:dyDescent="0.3">
      <c r="A51" s="12">
        <v>77</v>
      </c>
      <c r="B51" s="154" t="s">
        <v>54</v>
      </c>
      <c r="C51" s="169">
        <v>96</v>
      </c>
      <c r="D51" s="169">
        <v>26</v>
      </c>
      <c r="E51" s="169">
        <v>2</v>
      </c>
      <c r="F51" s="169">
        <v>0</v>
      </c>
    </row>
    <row r="52" spans="1:6" x14ac:dyDescent="0.3">
      <c r="C52" s="139"/>
      <c r="D52" s="170"/>
      <c r="E52" s="139"/>
      <c r="F52" s="139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57"/>
      <c r="C60" s="57"/>
      <c r="D60" s="57"/>
      <c r="E60" s="57"/>
      <c r="F60" s="57"/>
    </row>
    <row r="61" spans="1:6" x14ac:dyDescent="0.3">
      <c r="B61" s="138" t="s">
        <v>57</v>
      </c>
    </row>
    <row r="63" spans="1:6" x14ac:dyDescent="0.3">
      <c r="B63" s="141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22"/>
  </sheetPr>
  <dimension ref="A1:F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31.7265625" style="122" customWidth="1"/>
    <col min="3" max="4" width="15.26953125" style="122" customWidth="1"/>
    <col min="5" max="5" width="16.54296875" style="122" customWidth="1"/>
    <col min="6" max="6" width="15" style="122" customWidth="1"/>
    <col min="7" max="255" width="9.26953125" style="122"/>
    <col min="256" max="256" width="0" style="122" hidden="1" customWidth="1"/>
    <col min="257" max="257" width="3.26953125" style="122" customWidth="1"/>
    <col min="258" max="258" width="31.7265625" style="122" customWidth="1"/>
    <col min="259" max="260" width="15.26953125" style="122" customWidth="1"/>
    <col min="261" max="261" width="16.54296875" style="122" customWidth="1"/>
    <col min="262" max="262" width="15" style="122" customWidth="1"/>
    <col min="263" max="511" width="9.26953125" style="122"/>
    <col min="512" max="512" width="0" style="122" hidden="1" customWidth="1"/>
    <col min="513" max="513" width="3.26953125" style="122" customWidth="1"/>
    <col min="514" max="514" width="31.7265625" style="122" customWidth="1"/>
    <col min="515" max="516" width="15.26953125" style="122" customWidth="1"/>
    <col min="517" max="517" width="16.54296875" style="122" customWidth="1"/>
    <col min="518" max="518" width="15" style="122" customWidth="1"/>
    <col min="519" max="767" width="9.26953125" style="122"/>
    <col min="768" max="768" width="0" style="122" hidden="1" customWidth="1"/>
    <col min="769" max="769" width="3.26953125" style="122" customWidth="1"/>
    <col min="770" max="770" width="31.7265625" style="122" customWidth="1"/>
    <col min="771" max="772" width="15.26953125" style="122" customWidth="1"/>
    <col min="773" max="773" width="16.54296875" style="122" customWidth="1"/>
    <col min="774" max="774" width="15" style="122" customWidth="1"/>
    <col min="775" max="1023" width="9.26953125" style="122"/>
    <col min="1024" max="1024" width="0" style="122" hidden="1" customWidth="1"/>
    <col min="1025" max="1025" width="3.26953125" style="122" customWidth="1"/>
    <col min="1026" max="1026" width="31.7265625" style="122" customWidth="1"/>
    <col min="1027" max="1028" width="15.26953125" style="122" customWidth="1"/>
    <col min="1029" max="1029" width="16.54296875" style="122" customWidth="1"/>
    <col min="1030" max="1030" width="15" style="122" customWidth="1"/>
    <col min="1031" max="1279" width="9.26953125" style="122"/>
    <col min="1280" max="1280" width="0" style="122" hidden="1" customWidth="1"/>
    <col min="1281" max="1281" width="3.26953125" style="122" customWidth="1"/>
    <col min="1282" max="1282" width="31.7265625" style="122" customWidth="1"/>
    <col min="1283" max="1284" width="15.26953125" style="122" customWidth="1"/>
    <col min="1285" max="1285" width="16.54296875" style="122" customWidth="1"/>
    <col min="1286" max="1286" width="15" style="122" customWidth="1"/>
    <col min="1287" max="1535" width="9.26953125" style="122"/>
    <col min="1536" max="1536" width="0" style="122" hidden="1" customWidth="1"/>
    <col min="1537" max="1537" width="3.26953125" style="122" customWidth="1"/>
    <col min="1538" max="1538" width="31.7265625" style="122" customWidth="1"/>
    <col min="1539" max="1540" width="15.26953125" style="122" customWidth="1"/>
    <col min="1541" max="1541" width="16.54296875" style="122" customWidth="1"/>
    <col min="1542" max="1542" width="15" style="122" customWidth="1"/>
    <col min="1543" max="1791" width="9.26953125" style="122"/>
    <col min="1792" max="1792" width="0" style="122" hidden="1" customWidth="1"/>
    <col min="1793" max="1793" width="3.26953125" style="122" customWidth="1"/>
    <col min="1794" max="1794" width="31.7265625" style="122" customWidth="1"/>
    <col min="1795" max="1796" width="15.26953125" style="122" customWidth="1"/>
    <col min="1797" max="1797" width="16.54296875" style="122" customWidth="1"/>
    <col min="1798" max="1798" width="15" style="122" customWidth="1"/>
    <col min="1799" max="2047" width="9.26953125" style="122"/>
    <col min="2048" max="2048" width="0" style="122" hidden="1" customWidth="1"/>
    <col min="2049" max="2049" width="3.26953125" style="122" customWidth="1"/>
    <col min="2050" max="2050" width="31.7265625" style="122" customWidth="1"/>
    <col min="2051" max="2052" width="15.26953125" style="122" customWidth="1"/>
    <col min="2053" max="2053" width="16.54296875" style="122" customWidth="1"/>
    <col min="2054" max="2054" width="15" style="122" customWidth="1"/>
    <col min="2055" max="2303" width="9.26953125" style="122"/>
    <col min="2304" max="2304" width="0" style="122" hidden="1" customWidth="1"/>
    <col min="2305" max="2305" width="3.26953125" style="122" customWidth="1"/>
    <col min="2306" max="2306" width="31.7265625" style="122" customWidth="1"/>
    <col min="2307" max="2308" width="15.26953125" style="122" customWidth="1"/>
    <col min="2309" max="2309" width="16.54296875" style="122" customWidth="1"/>
    <col min="2310" max="2310" width="15" style="122" customWidth="1"/>
    <col min="2311" max="2559" width="9.26953125" style="122"/>
    <col min="2560" max="2560" width="0" style="122" hidden="1" customWidth="1"/>
    <col min="2561" max="2561" width="3.26953125" style="122" customWidth="1"/>
    <col min="2562" max="2562" width="31.7265625" style="122" customWidth="1"/>
    <col min="2563" max="2564" width="15.26953125" style="122" customWidth="1"/>
    <col min="2565" max="2565" width="16.54296875" style="122" customWidth="1"/>
    <col min="2566" max="2566" width="15" style="122" customWidth="1"/>
    <col min="2567" max="2815" width="9.26953125" style="122"/>
    <col min="2816" max="2816" width="0" style="122" hidden="1" customWidth="1"/>
    <col min="2817" max="2817" width="3.26953125" style="122" customWidth="1"/>
    <col min="2818" max="2818" width="31.7265625" style="122" customWidth="1"/>
    <col min="2819" max="2820" width="15.26953125" style="122" customWidth="1"/>
    <col min="2821" max="2821" width="16.54296875" style="122" customWidth="1"/>
    <col min="2822" max="2822" width="15" style="122" customWidth="1"/>
    <col min="2823" max="3071" width="9.26953125" style="122"/>
    <col min="3072" max="3072" width="0" style="122" hidden="1" customWidth="1"/>
    <col min="3073" max="3073" width="3.26953125" style="122" customWidth="1"/>
    <col min="3074" max="3074" width="31.7265625" style="122" customWidth="1"/>
    <col min="3075" max="3076" width="15.26953125" style="122" customWidth="1"/>
    <col min="3077" max="3077" width="16.54296875" style="122" customWidth="1"/>
    <col min="3078" max="3078" width="15" style="122" customWidth="1"/>
    <col min="3079" max="3327" width="9.26953125" style="122"/>
    <col min="3328" max="3328" width="0" style="122" hidden="1" customWidth="1"/>
    <col min="3329" max="3329" width="3.26953125" style="122" customWidth="1"/>
    <col min="3330" max="3330" width="31.7265625" style="122" customWidth="1"/>
    <col min="3331" max="3332" width="15.26953125" style="122" customWidth="1"/>
    <col min="3333" max="3333" width="16.54296875" style="122" customWidth="1"/>
    <col min="3334" max="3334" width="15" style="122" customWidth="1"/>
    <col min="3335" max="3583" width="9.26953125" style="122"/>
    <col min="3584" max="3584" width="0" style="122" hidden="1" customWidth="1"/>
    <col min="3585" max="3585" width="3.26953125" style="122" customWidth="1"/>
    <col min="3586" max="3586" width="31.7265625" style="122" customWidth="1"/>
    <col min="3587" max="3588" width="15.26953125" style="122" customWidth="1"/>
    <col min="3589" max="3589" width="16.54296875" style="122" customWidth="1"/>
    <col min="3590" max="3590" width="15" style="122" customWidth="1"/>
    <col min="3591" max="3839" width="9.26953125" style="122"/>
    <col min="3840" max="3840" width="0" style="122" hidden="1" customWidth="1"/>
    <col min="3841" max="3841" width="3.26953125" style="122" customWidth="1"/>
    <col min="3842" max="3842" width="31.7265625" style="122" customWidth="1"/>
    <col min="3843" max="3844" width="15.26953125" style="122" customWidth="1"/>
    <col min="3845" max="3845" width="16.54296875" style="122" customWidth="1"/>
    <col min="3846" max="3846" width="15" style="122" customWidth="1"/>
    <col min="3847" max="4095" width="9.26953125" style="122"/>
    <col min="4096" max="4096" width="0" style="122" hidden="1" customWidth="1"/>
    <col min="4097" max="4097" width="3.26953125" style="122" customWidth="1"/>
    <col min="4098" max="4098" width="31.7265625" style="122" customWidth="1"/>
    <col min="4099" max="4100" width="15.26953125" style="122" customWidth="1"/>
    <col min="4101" max="4101" width="16.54296875" style="122" customWidth="1"/>
    <col min="4102" max="4102" width="15" style="122" customWidth="1"/>
    <col min="4103" max="4351" width="9.26953125" style="122"/>
    <col min="4352" max="4352" width="0" style="122" hidden="1" customWidth="1"/>
    <col min="4353" max="4353" width="3.26953125" style="122" customWidth="1"/>
    <col min="4354" max="4354" width="31.7265625" style="122" customWidth="1"/>
    <col min="4355" max="4356" width="15.26953125" style="122" customWidth="1"/>
    <col min="4357" max="4357" width="16.54296875" style="122" customWidth="1"/>
    <col min="4358" max="4358" width="15" style="122" customWidth="1"/>
    <col min="4359" max="4607" width="9.26953125" style="122"/>
    <col min="4608" max="4608" width="0" style="122" hidden="1" customWidth="1"/>
    <col min="4609" max="4609" width="3.26953125" style="122" customWidth="1"/>
    <col min="4610" max="4610" width="31.7265625" style="122" customWidth="1"/>
    <col min="4611" max="4612" width="15.26953125" style="122" customWidth="1"/>
    <col min="4613" max="4613" width="16.54296875" style="122" customWidth="1"/>
    <col min="4614" max="4614" width="15" style="122" customWidth="1"/>
    <col min="4615" max="4863" width="9.26953125" style="122"/>
    <col min="4864" max="4864" width="0" style="122" hidden="1" customWidth="1"/>
    <col min="4865" max="4865" width="3.26953125" style="122" customWidth="1"/>
    <col min="4866" max="4866" width="31.7265625" style="122" customWidth="1"/>
    <col min="4867" max="4868" width="15.26953125" style="122" customWidth="1"/>
    <col min="4869" max="4869" width="16.54296875" style="122" customWidth="1"/>
    <col min="4870" max="4870" width="15" style="122" customWidth="1"/>
    <col min="4871" max="5119" width="9.26953125" style="122"/>
    <col min="5120" max="5120" width="0" style="122" hidden="1" customWidth="1"/>
    <col min="5121" max="5121" width="3.26953125" style="122" customWidth="1"/>
    <col min="5122" max="5122" width="31.7265625" style="122" customWidth="1"/>
    <col min="5123" max="5124" width="15.26953125" style="122" customWidth="1"/>
    <col min="5125" max="5125" width="16.54296875" style="122" customWidth="1"/>
    <col min="5126" max="5126" width="15" style="122" customWidth="1"/>
    <col min="5127" max="5375" width="9.26953125" style="122"/>
    <col min="5376" max="5376" width="0" style="122" hidden="1" customWidth="1"/>
    <col min="5377" max="5377" width="3.26953125" style="122" customWidth="1"/>
    <col min="5378" max="5378" width="31.7265625" style="122" customWidth="1"/>
    <col min="5379" max="5380" width="15.26953125" style="122" customWidth="1"/>
    <col min="5381" max="5381" width="16.54296875" style="122" customWidth="1"/>
    <col min="5382" max="5382" width="15" style="122" customWidth="1"/>
    <col min="5383" max="5631" width="9.26953125" style="122"/>
    <col min="5632" max="5632" width="0" style="122" hidden="1" customWidth="1"/>
    <col min="5633" max="5633" width="3.26953125" style="122" customWidth="1"/>
    <col min="5634" max="5634" width="31.7265625" style="122" customWidth="1"/>
    <col min="5635" max="5636" width="15.26953125" style="122" customWidth="1"/>
    <col min="5637" max="5637" width="16.54296875" style="122" customWidth="1"/>
    <col min="5638" max="5638" width="15" style="122" customWidth="1"/>
    <col min="5639" max="5887" width="9.26953125" style="122"/>
    <col min="5888" max="5888" width="0" style="122" hidden="1" customWidth="1"/>
    <col min="5889" max="5889" width="3.26953125" style="122" customWidth="1"/>
    <col min="5890" max="5890" width="31.7265625" style="122" customWidth="1"/>
    <col min="5891" max="5892" width="15.26953125" style="122" customWidth="1"/>
    <col min="5893" max="5893" width="16.54296875" style="122" customWidth="1"/>
    <col min="5894" max="5894" width="15" style="122" customWidth="1"/>
    <col min="5895" max="6143" width="9.26953125" style="122"/>
    <col min="6144" max="6144" width="0" style="122" hidden="1" customWidth="1"/>
    <col min="6145" max="6145" width="3.26953125" style="122" customWidth="1"/>
    <col min="6146" max="6146" width="31.7265625" style="122" customWidth="1"/>
    <col min="6147" max="6148" width="15.26953125" style="122" customWidth="1"/>
    <col min="6149" max="6149" width="16.54296875" style="122" customWidth="1"/>
    <col min="6150" max="6150" width="15" style="122" customWidth="1"/>
    <col min="6151" max="6399" width="9.26953125" style="122"/>
    <col min="6400" max="6400" width="0" style="122" hidden="1" customWidth="1"/>
    <col min="6401" max="6401" width="3.26953125" style="122" customWidth="1"/>
    <col min="6402" max="6402" width="31.7265625" style="122" customWidth="1"/>
    <col min="6403" max="6404" width="15.26953125" style="122" customWidth="1"/>
    <col min="6405" max="6405" width="16.54296875" style="122" customWidth="1"/>
    <col min="6406" max="6406" width="15" style="122" customWidth="1"/>
    <col min="6407" max="6655" width="9.26953125" style="122"/>
    <col min="6656" max="6656" width="0" style="122" hidden="1" customWidth="1"/>
    <col min="6657" max="6657" width="3.26953125" style="122" customWidth="1"/>
    <col min="6658" max="6658" width="31.7265625" style="122" customWidth="1"/>
    <col min="6659" max="6660" width="15.26953125" style="122" customWidth="1"/>
    <col min="6661" max="6661" width="16.54296875" style="122" customWidth="1"/>
    <col min="6662" max="6662" width="15" style="122" customWidth="1"/>
    <col min="6663" max="6911" width="9.26953125" style="122"/>
    <col min="6912" max="6912" width="0" style="122" hidden="1" customWidth="1"/>
    <col min="6913" max="6913" width="3.26953125" style="122" customWidth="1"/>
    <col min="6914" max="6914" width="31.7265625" style="122" customWidth="1"/>
    <col min="6915" max="6916" width="15.26953125" style="122" customWidth="1"/>
    <col min="6917" max="6917" width="16.54296875" style="122" customWidth="1"/>
    <col min="6918" max="6918" width="15" style="122" customWidth="1"/>
    <col min="6919" max="7167" width="9.26953125" style="122"/>
    <col min="7168" max="7168" width="0" style="122" hidden="1" customWidth="1"/>
    <col min="7169" max="7169" width="3.26953125" style="122" customWidth="1"/>
    <col min="7170" max="7170" width="31.7265625" style="122" customWidth="1"/>
    <col min="7171" max="7172" width="15.26953125" style="122" customWidth="1"/>
    <col min="7173" max="7173" width="16.54296875" style="122" customWidth="1"/>
    <col min="7174" max="7174" width="15" style="122" customWidth="1"/>
    <col min="7175" max="7423" width="9.26953125" style="122"/>
    <col min="7424" max="7424" width="0" style="122" hidden="1" customWidth="1"/>
    <col min="7425" max="7425" width="3.26953125" style="122" customWidth="1"/>
    <col min="7426" max="7426" width="31.7265625" style="122" customWidth="1"/>
    <col min="7427" max="7428" width="15.26953125" style="122" customWidth="1"/>
    <col min="7429" max="7429" width="16.54296875" style="122" customWidth="1"/>
    <col min="7430" max="7430" width="15" style="122" customWidth="1"/>
    <col min="7431" max="7679" width="9.26953125" style="122"/>
    <col min="7680" max="7680" width="0" style="122" hidden="1" customWidth="1"/>
    <col min="7681" max="7681" width="3.26953125" style="122" customWidth="1"/>
    <col min="7682" max="7682" width="31.7265625" style="122" customWidth="1"/>
    <col min="7683" max="7684" width="15.26953125" style="122" customWidth="1"/>
    <col min="7685" max="7685" width="16.54296875" style="122" customWidth="1"/>
    <col min="7686" max="7686" width="15" style="122" customWidth="1"/>
    <col min="7687" max="7935" width="9.26953125" style="122"/>
    <col min="7936" max="7936" width="0" style="122" hidden="1" customWidth="1"/>
    <col min="7937" max="7937" width="3.26953125" style="122" customWidth="1"/>
    <col min="7938" max="7938" width="31.7265625" style="122" customWidth="1"/>
    <col min="7939" max="7940" width="15.26953125" style="122" customWidth="1"/>
    <col min="7941" max="7941" width="16.54296875" style="122" customWidth="1"/>
    <col min="7942" max="7942" width="15" style="122" customWidth="1"/>
    <col min="7943" max="8191" width="9.26953125" style="122"/>
    <col min="8192" max="8192" width="0" style="122" hidden="1" customWidth="1"/>
    <col min="8193" max="8193" width="3.26953125" style="122" customWidth="1"/>
    <col min="8194" max="8194" width="31.7265625" style="122" customWidth="1"/>
    <col min="8195" max="8196" width="15.26953125" style="122" customWidth="1"/>
    <col min="8197" max="8197" width="16.54296875" style="122" customWidth="1"/>
    <col min="8198" max="8198" width="15" style="122" customWidth="1"/>
    <col min="8199" max="8447" width="9.26953125" style="122"/>
    <col min="8448" max="8448" width="0" style="122" hidden="1" customWidth="1"/>
    <col min="8449" max="8449" width="3.26953125" style="122" customWidth="1"/>
    <col min="8450" max="8450" width="31.7265625" style="122" customWidth="1"/>
    <col min="8451" max="8452" width="15.26953125" style="122" customWidth="1"/>
    <col min="8453" max="8453" width="16.54296875" style="122" customWidth="1"/>
    <col min="8454" max="8454" width="15" style="122" customWidth="1"/>
    <col min="8455" max="8703" width="9.26953125" style="122"/>
    <col min="8704" max="8704" width="0" style="122" hidden="1" customWidth="1"/>
    <col min="8705" max="8705" width="3.26953125" style="122" customWidth="1"/>
    <col min="8706" max="8706" width="31.7265625" style="122" customWidth="1"/>
    <col min="8707" max="8708" width="15.26953125" style="122" customWidth="1"/>
    <col min="8709" max="8709" width="16.54296875" style="122" customWidth="1"/>
    <col min="8710" max="8710" width="15" style="122" customWidth="1"/>
    <col min="8711" max="8959" width="9.26953125" style="122"/>
    <col min="8960" max="8960" width="0" style="122" hidden="1" customWidth="1"/>
    <col min="8961" max="8961" width="3.26953125" style="122" customWidth="1"/>
    <col min="8962" max="8962" width="31.7265625" style="122" customWidth="1"/>
    <col min="8963" max="8964" width="15.26953125" style="122" customWidth="1"/>
    <col min="8965" max="8965" width="16.54296875" style="122" customWidth="1"/>
    <col min="8966" max="8966" width="15" style="122" customWidth="1"/>
    <col min="8967" max="9215" width="9.26953125" style="122"/>
    <col min="9216" max="9216" width="0" style="122" hidden="1" customWidth="1"/>
    <col min="9217" max="9217" width="3.26953125" style="122" customWidth="1"/>
    <col min="9218" max="9218" width="31.7265625" style="122" customWidth="1"/>
    <col min="9219" max="9220" width="15.26953125" style="122" customWidth="1"/>
    <col min="9221" max="9221" width="16.54296875" style="122" customWidth="1"/>
    <col min="9222" max="9222" width="15" style="122" customWidth="1"/>
    <col min="9223" max="9471" width="9.26953125" style="122"/>
    <col min="9472" max="9472" width="0" style="122" hidden="1" customWidth="1"/>
    <col min="9473" max="9473" width="3.26953125" style="122" customWidth="1"/>
    <col min="9474" max="9474" width="31.7265625" style="122" customWidth="1"/>
    <col min="9475" max="9476" width="15.26953125" style="122" customWidth="1"/>
    <col min="9477" max="9477" width="16.54296875" style="122" customWidth="1"/>
    <col min="9478" max="9478" width="15" style="122" customWidth="1"/>
    <col min="9479" max="9727" width="9.26953125" style="122"/>
    <col min="9728" max="9728" width="0" style="122" hidden="1" customWidth="1"/>
    <col min="9729" max="9729" width="3.26953125" style="122" customWidth="1"/>
    <col min="9730" max="9730" width="31.7265625" style="122" customWidth="1"/>
    <col min="9731" max="9732" width="15.26953125" style="122" customWidth="1"/>
    <col min="9733" max="9733" width="16.54296875" style="122" customWidth="1"/>
    <col min="9734" max="9734" width="15" style="122" customWidth="1"/>
    <col min="9735" max="9983" width="9.26953125" style="122"/>
    <col min="9984" max="9984" width="0" style="122" hidden="1" customWidth="1"/>
    <col min="9985" max="9985" width="3.26953125" style="122" customWidth="1"/>
    <col min="9986" max="9986" width="31.7265625" style="122" customWidth="1"/>
    <col min="9987" max="9988" width="15.26953125" style="122" customWidth="1"/>
    <col min="9989" max="9989" width="16.54296875" style="122" customWidth="1"/>
    <col min="9990" max="9990" width="15" style="122" customWidth="1"/>
    <col min="9991" max="10239" width="9.26953125" style="122"/>
    <col min="10240" max="10240" width="0" style="122" hidden="1" customWidth="1"/>
    <col min="10241" max="10241" width="3.26953125" style="122" customWidth="1"/>
    <col min="10242" max="10242" width="31.7265625" style="122" customWidth="1"/>
    <col min="10243" max="10244" width="15.26953125" style="122" customWidth="1"/>
    <col min="10245" max="10245" width="16.54296875" style="122" customWidth="1"/>
    <col min="10246" max="10246" width="15" style="122" customWidth="1"/>
    <col min="10247" max="10495" width="9.26953125" style="122"/>
    <col min="10496" max="10496" width="0" style="122" hidden="1" customWidth="1"/>
    <col min="10497" max="10497" width="3.26953125" style="122" customWidth="1"/>
    <col min="10498" max="10498" width="31.7265625" style="122" customWidth="1"/>
    <col min="10499" max="10500" width="15.26953125" style="122" customWidth="1"/>
    <col min="10501" max="10501" width="16.54296875" style="122" customWidth="1"/>
    <col min="10502" max="10502" width="15" style="122" customWidth="1"/>
    <col min="10503" max="10751" width="9.26953125" style="122"/>
    <col min="10752" max="10752" width="0" style="122" hidden="1" customWidth="1"/>
    <col min="10753" max="10753" width="3.26953125" style="122" customWidth="1"/>
    <col min="10754" max="10754" width="31.7265625" style="122" customWidth="1"/>
    <col min="10755" max="10756" width="15.26953125" style="122" customWidth="1"/>
    <col min="10757" max="10757" width="16.54296875" style="122" customWidth="1"/>
    <col min="10758" max="10758" width="15" style="122" customWidth="1"/>
    <col min="10759" max="11007" width="9.26953125" style="122"/>
    <col min="11008" max="11008" width="0" style="122" hidden="1" customWidth="1"/>
    <col min="11009" max="11009" width="3.26953125" style="122" customWidth="1"/>
    <col min="11010" max="11010" width="31.7265625" style="122" customWidth="1"/>
    <col min="11011" max="11012" width="15.26953125" style="122" customWidth="1"/>
    <col min="11013" max="11013" width="16.54296875" style="122" customWidth="1"/>
    <col min="11014" max="11014" width="15" style="122" customWidth="1"/>
    <col min="11015" max="11263" width="9.26953125" style="122"/>
    <col min="11264" max="11264" width="0" style="122" hidden="1" customWidth="1"/>
    <col min="11265" max="11265" width="3.26953125" style="122" customWidth="1"/>
    <col min="11266" max="11266" width="31.7265625" style="122" customWidth="1"/>
    <col min="11267" max="11268" width="15.26953125" style="122" customWidth="1"/>
    <col min="11269" max="11269" width="16.54296875" style="122" customWidth="1"/>
    <col min="11270" max="11270" width="15" style="122" customWidth="1"/>
    <col min="11271" max="11519" width="9.26953125" style="122"/>
    <col min="11520" max="11520" width="0" style="122" hidden="1" customWidth="1"/>
    <col min="11521" max="11521" width="3.26953125" style="122" customWidth="1"/>
    <col min="11522" max="11522" width="31.7265625" style="122" customWidth="1"/>
    <col min="11523" max="11524" width="15.26953125" style="122" customWidth="1"/>
    <col min="11525" max="11525" width="16.54296875" style="122" customWidth="1"/>
    <col min="11526" max="11526" width="15" style="122" customWidth="1"/>
    <col min="11527" max="11775" width="9.26953125" style="122"/>
    <col min="11776" max="11776" width="0" style="122" hidden="1" customWidth="1"/>
    <col min="11777" max="11777" width="3.26953125" style="122" customWidth="1"/>
    <col min="11778" max="11778" width="31.7265625" style="122" customWidth="1"/>
    <col min="11779" max="11780" width="15.26953125" style="122" customWidth="1"/>
    <col min="11781" max="11781" width="16.54296875" style="122" customWidth="1"/>
    <col min="11782" max="11782" width="15" style="122" customWidth="1"/>
    <col min="11783" max="12031" width="9.26953125" style="122"/>
    <col min="12032" max="12032" width="0" style="122" hidden="1" customWidth="1"/>
    <col min="12033" max="12033" width="3.26953125" style="122" customWidth="1"/>
    <col min="12034" max="12034" width="31.7265625" style="122" customWidth="1"/>
    <col min="12035" max="12036" width="15.26953125" style="122" customWidth="1"/>
    <col min="12037" max="12037" width="16.54296875" style="122" customWidth="1"/>
    <col min="12038" max="12038" width="15" style="122" customWidth="1"/>
    <col min="12039" max="12287" width="9.26953125" style="122"/>
    <col min="12288" max="12288" width="0" style="122" hidden="1" customWidth="1"/>
    <col min="12289" max="12289" width="3.26953125" style="122" customWidth="1"/>
    <col min="12290" max="12290" width="31.7265625" style="122" customWidth="1"/>
    <col min="12291" max="12292" width="15.26953125" style="122" customWidth="1"/>
    <col min="12293" max="12293" width="16.54296875" style="122" customWidth="1"/>
    <col min="12294" max="12294" width="15" style="122" customWidth="1"/>
    <col min="12295" max="12543" width="9.26953125" style="122"/>
    <col min="12544" max="12544" width="0" style="122" hidden="1" customWidth="1"/>
    <col min="12545" max="12545" width="3.26953125" style="122" customWidth="1"/>
    <col min="12546" max="12546" width="31.7265625" style="122" customWidth="1"/>
    <col min="12547" max="12548" width="15.26953125" style="122" customWidth="1"/>
    <col min="12549" max="12549" width="16.54296875" style="122" customWidth="1"/>
    <col min="12550" max="12550" width="15" style="122" customWidth="1"/>
    <col min="12551" max="12799" width="9.26953125" style="122"/>
    <col min="12800" max="12800" width="0" style="122" hidden="1" customWidth="1"/>
    <col min="12801" max="12801" width="3.26953125" style="122" customWidth="1"/>
    <col min="12802" max="12802" width="31.7265625" style="122" customWidth="1"/>
    <col min="12803" max="12804" width="15.26953125" style="122" customWidth="1"/>
    <col min="12805" max="12805" width="16.54296875" style="122" customWidth="1"/>
    <col min="12806" max="12806" width="15" style="122" customWidth="1"/>
    <col min="12807" max="13055" width="9.26953125" style="122"/>
    <col min="13056" max="13056" width="0" style="122" hidden="1" customWidth="1"/>
    <col min="13057" max="13057" width="3.26953125" style="122" customWidth="1"/>
    <col min="13058" max="13058" width="31.7265625" style="122" customWidth="1"/>
    <col min="13059" max="13060" width="15.26953125" style="122" customWidth="1"/>
    <col min="13061" max="13061" width="16.54296875" style="122" customWidth="1"/>
    <col min="13062" max="13062" width="15" style="122" customWidth="1"/>
    <col min="13063" max="13311" width="9.26953125" style="122"/>
    <col min="13312" max="13312" width="0" style="122" hidden="1" customWidth="1"/>
    <col min="13313" max="13313" width="3.26953125" style="122" customWidth="1"/>
    <col min="13314" max="13314" width="31.7265625" style="122" customWidth="1"/>
    <col min="13315" max="13316" width="15.26953125" style="122" customWidth="1"/>
    <col min="13317" max="13317" width="16.54296875" style="122" customWidth="1"/>
    <col min="13318" max="13318" width="15" style="122" customWidth="1"/>
    <col min="13319" max="13567" width="9.26953125" style="122"/>
    <col min="13568" max="13568" width="0" style="122" hidden="1" customWidth="1"/>
    <col min="13569" max="13569" width="3.26953125" style="122" customWidth="1"/>
    <col min="13570" max="13570" width="31.7265625" style="122" customWidth="1"/>
    <col min="13571" max="13572" width="15.26953125" style="122" customWidth="1"/>
    <col min="13573" max="13573" width="16.54296875" style="122" customWidth="1"/>
    <col min="13574" max="13574" width="15" style="122" customWidth="1"/>
    <col min="13575" max="13823" width="9.26953125" style="122"/>
    <col min="13824" max="13824" width="0" style="122" hidden="1" customWidth="1"/>
    <col min="13825" max="13825" width="3.26953125" style="122" customWidth="1"/>
    <col min="13826" max="13826" width="31.7265625" style="122" customWidth="1"/>
    <col min="13827" max="13828" width="15.26953125" style="122" customWidth="1"/>
    <col min="13829" max="13829" width="16.54296875" style="122" customWidth="1"/>
    <col min="13830" max="13830" width="15" style="122" customWidth="1"/>
    <col min="13831" max="14079" width="9.26953125" style="122"/>
    <col min="14080" max="14080" width="0" style="122" hidden="1" customWidth="1"/>
    <col min="14081" max="14081" width="3.26953125" style="122" customWidth="1"/>
    <col min="14082" max="14082" width="31.7265625" style="122" customWidth="1"/>
    <col min="14083" max="14084" width="15.26953125" style="122" customWidth="1"/>
    <col min="14085" max="14085" width="16.54296875" style="122" customWidth="1"/>
    <col min="14086" max="14086" width="15" style="122" customWidth="1"/>
    <col min="14087" max="14335" width="9.26953125" style="122"/>
    <col min="14336" max="14336" width="0" style="122" hidden="1" customWidth="1"/>
    <col min="14337" max="14337" width="3.26953125" style="122" customWidth="1"/>
    <col min="14338" max="14338" width="31.7265625" style="122" customWidth="1"/>
    <col min="14339" max="14340" width="15.26953125" style="122" customWidth="1"/>
    <col min="14341" max="14341" width="16.54296875" style="122" customWidth="1"/>
    <col min="14342" max="14342" width="15" style="122" customWidth="1"/>
    <col min="14343" max="14591" width="9.26953125" style="122"/>
    <col min="14592" max="14592" width="0" style="122" hidden="1" customWidth="1"/>
    <col min="14593" max="14593" width="3.26953125" style="122" customWidth="1"/>
    <col min="14594" max="14594" width="31.7265625" style="122" customWidth="1"/>
    <col min="14595" max="14596" width="15.26953125" style="122" customWidth="1"/>
    <col min="14597" max="14597" width="16.54296875" style="122" customWidth="1"/>
    <col min="14598" max="14598" width="15" style="122" customWidth="1"/>
    <col min="14599" max="14847" width="9.26953125" style="122"/>
    <col min="14848" max="14848" width="0" style="122" hidden="1" customWidth="1"/>
    <col min="14849" max="14849" width="3.26953125" style="122" customWidth="1"/>
    <col min="14850" max="14850" width="31.7265625" style="122" customWidth="1"/>
    <col min="14851" max="14852" width="15.26953125" style="122" customWidth="1"/>
    <col min="14853" max="14853" width="16.54296875" style="122" customWidth="1"/>
    <col min="14854" max="14854" width="15" style="122" customWidth="1"/>
    <col min="14855" max="15103" width="9.26953125" style="122"/>
    <col min="15104" max="15104" width="0" style="122" hidden="1" customWidth="1"/>
    <col min="15105" max="15105" width="3.26953125" style="122" customWidth="1"/>
    <col min="15106" max="15106" width="31.7265625" style="122" customWidth="1"/>
    <col min="15107" max="15108" width="15.26953125" style="122" customWidth="1"/>
    <col min="15109" max="15109" width="16.54296875" style="122" customWidth="1"/>
    <col min="15110" max="15110" width="15" style="122" customWidth="1"/>
    <col min="15111" max="15359" width="9.26953125" style="122"/>
    <col min="15360" max="15360" width="0" style="122" hidden="1" customWidth="1"/>
    <col min="15361" max="15361" width="3.26953125" style="122" customWidth="1"/>
    <col min="15362" max="15362" width="31.7265625" style="122" customWidth="1"/>
    <col min="15363" max="15364" width="15.26953125" style="122" customWidth="1"/>
    <col min="15365" max="15365" width="16.54296875" style="122" customWidth="1"/>
    <col min="15366" max="15366" width="15" style="122" customWidth="1"/>
    <col min="15367" max="15615" width="9.26953125" style="122"/>
    <col min="15616" max="15616" width="0" style="122" hidden="1" customWidth="1"/>
    <col min="15617" max="15617" width="3.26953125" style="122" customWidth="1"/>
    <col min="15618" max="15618" width="31.7265625" style="122" customWidth="1"/>
    <col min="15619" max="15620" width="15.26953125" style="122" customWidth="1"/>
    <col min="15621" max="15621" width="16.54296875" style="122" customWidth="1"/>
    <col min="15622" max="15622" width="15" style="122" customWidth="1"/>
    <col min="15623" max="15871" width="9.26953125" style="122"/>
    <col min="15872" max="15872" width="0" style="122" hidden="1" customWidth="1"/>
    <col min="15873" max="15873" width="3.26953125" style="122" customWidth="1"/>
    <col min="15874" max="15874" width="31.7265625" style="122" customWidth="1"/>
    <col min="15875" max="15876" width="15.26953125" style="122" customWidth="1"/>
    <col min="15877" max="15877" width="16.54296875" style="122" customWidth="1"/>
    <col min="15878" max="15878" width="15" style="122" customWidth="1"/>
    <col min="15879" max="16127" width="9.26953125" style="122"/>
    <col min="16128" max="16128" width="0" style="122" hidden="1" customWidth="1"/>
    <col min="16129" max="16129" width="3.26953125" style="122" customWidth="1"/>
    <col min="16130" max="16130" width="31.7265625" style="122" customWidth="1"/>
    <col min="16131" max="16132" width="15.26953125" style="122" customWidth="1"/>
    <col min="16133" max="16133" width="16.54296875" style="122" customWidth="1"/>
    <col min="16134" max="16134" width="15" style="122" customWidth="1"/>
    <col min="16135" max="16384" width="9.26953125" style="122"/>
  </cols>
  <sheetData>
    <row r="1" spans="1:6" ht="50.25" customHeight="1" x14ac:dyDescent="0.3">
      <c r="B1" s="286" t="s">
        <v>99</v>
      </c>
      <c r="C1" s="286"/>
      <c r="D1" s="286"/>
      <c r="E1" s="286"/>
      <c r="F1" s="286"/>
    </row>
    <row r="2" spans="1:6" ht="15.75" customHeight="1" x14ac:dyDescent="0.3">
      <c r="C2" s="297" t="s">
        <v>1</v>
      </c>
      <c r="D2" s="294" t="s">
        <v>2</v>
      </c>
      <c r="E2" s="294"/>
      <c r="F2" s="297" t="s">
        <v>5</v>
      </c>
    </row>
    <row r="3" spans="1:6" ht="39" customHeight="1" x14ac:dyDescent="0.3">
      <c r="A3" s="4"/>
      <c r="C3" s="289"/>
      <c r="D3" s="143" t="s">
        <v>3</v>
      </c>
      <c r="E3" s="143" t="s">
        <v>4</v>
      </c>
      <c r="F3" s="289"/>
    </row>
    <row r="4" spans="1:6" ht="28.5" customHeight="1" x14ac:dyDescent="0.3">
      <c r="A4" s="4"/>
      <c r="B4" s="127" t="s">
        <v>6</v>
      </c>
      <c r="C4" s="159">
        <v>1004</v>
      </c>
      <c r="D4" s="159">
        <v>189</v>
      </c>
      <c r="E4" s="159">
        <v>16</v>
      </c>
      <c r="F4" s="159">
        <v>0</v>
      </c>
    </row>
    <row r="5" spans="1:6" s="152" customFormat="1" ht="26.25" customHeight="1" x14ac:dyDescent="0.3">
      <c r="A5" s="12"/>
      <c r="B5" s="127" t="s">
        <v>7</v>
      </c>
      <c r="C5" s="146">
        <v>662</v>
      </c>
      <c r="D5" s="146">
        <v>114</v>
      </c>
      <c r="E5" s="146">
        <v>9</v>
      </c>
      <c r="F5" s="146">
        <v>0</v>
      </c>
    </row>
    <row r="6" spans="1:6" x14ac:dyDescent="0.3">
      <c r="A6" s="12">
        <v>51</v>
      </c>
      <c r="B6" s="122" t="s">
        <v>8</v>
      </c>
      <c r="C6" s="147">
        <v>27</v>
      </c>
      <c r="D6" s="147">
        <v>8</v>
      </c>
      <c r="E6" s="147">
        <v>0</v>
      </c>
      <c r="F6" s="147">
        <v>0</v>
      </c>
    </row>
    <row r="7" spans="1:6" x14ac:dyDescent="0.3">
      <c r="A7" s="12">
        <v>52</v>
      </c>
      <c r="B7" s="122" t="s">
        <v>9</v>
      </c>
      <c r="C7" s="147">
        <v>16</v>
      </c>
      <c r="D7" s="147">
        <v>2</v>
      </c>
      <c r="E7" s="147">
        <v>0</v>
      </c>
      <c r="F7" s="147">
        <v>0</v>
      </c>
    </row>
    <row r="8" spans="1:6" x14ac:dyDescent="0.3">
      <c r="A8" s="12">
        <v>86</v>
      </c>
      <c r="B8" s="122" t="s">
        <v>10</v>
      </c>
      <c r="C8" s="147">
        <v>27</v>
      </c>
      <c r="D8" s="147">
        <v>2</v>
      </c>
      <c r="E8" s="147">
        <v>0</v>
      </c>
      <c r="F8" s="147">
        <v>0</v>
      </c>
    </row>
    <row r="9" spans="1:6" x14ac:dyDescent="0.3">
      <c r="A9" s="12">
        <v>53</v>
      </c>
      <c r="B9" s="122" t="s">
        <v>11</v>
      </c>
      <c r="C9" s="147">
        <v>9</v>
      </c>
      <c r="D9" s="147">
        <v>2</v>
      </c>
      <c r="E9" s="147">
        <v>0</v>
      </c>
      <c r="F9" s="147">
        <v>0</v>
      </c>
    </row>
    <row r="10" spans="1:6" x14ac:dyDescent="0.3">
      <c r="A10" s="12">
        <v>54</v>
      </c>
      <c r="B10" s="122" t="s">
        <v>12</v>
      </c>
      <c r="C10" s="147">
        <v>28</v>
      </c>
      <c r="D10" s="147">
        <v>4</v>
      </c>
      <c r="E10" s="147">
        <v>0</v>
      </c>
      <c r="F10" s="147">
        <v>0</v>
      </c>
    </row>
    <row r="11" spans="1:6" x14ac:dyDescent="0.3">
      <c r="A11" s="12">
        <v>55</v>
      </c>
      <c r="B11" s="122" t="s">
        <v>13</v>
      </c>
      <c r="C11" s="147">
        <v>10</v>
      </c>
      <c r="D11" s="147">
        <v>1</v>
      </c>
      <c r="E11" s="147">
        <v>0</v>
      </c>
      <c r="F11" s="147">
        <v>0</v>
      </c>
    </row>
    <row r="12" spans="1:6" x14ac:dyDescent="0.3">
      <c r="A12" s="12">
        <v>56</v>
      </c>
      <c r="B12" s="122" t="s">
        <v>14</v>
      </c>
      <c r="C12" s="147">
        <v>23</v>
      </c>
      <c r="D12" s="147">
        <v>1</v>
      </c>
      <c r="E12" s="147">
        <v>0</v>
      </c>
      <c r="F12" s="147">
        <v>0</v>
      </c>
    </row>
    <row r="13" spans="1:6" x14ac:dyDescent="0.3">
      <c r="A13" s="12">
        <v>57</v>
      </c>
      <c r="B13" s="122" t="s">
        <v>15</v>
      </c>
      <c r="C13" s="147">
        <v>5</v>
      </c>
      <c r="D13" s="147">
        <v>0</v>
      </c>
      <c r="E13" s="147">
        <v>0</v>
      </c>
      <c r="F13" s="147">
        <v>0</v>
      </c>
    </row>
    <row r="14" spans="1:6" x14ac:dyDescent="0.3">
      <c r="A14" s="12">
        <v>59</v>
      </c>
      <c r="B14" s="122" t="s">
        <v>16</v>
      </c>
      <c r="C14" s="147">
        <v>11</v>
      </c>
      <c r="D14" s="147">
        <v>0</v>
      </c>
      <c r="E14" s="147">
        <v>0</v>
      </c>
      <c r="F14" s="147">
        <v>0</v>
      </c>
    </row>
    <row r="15" spans="1:6" x14ac:dyDescent="0.3">
      <c r="A15" s="12">
        <v>60</v>
      </c>
      <c r="B15" s="122" t="s">
        <v>17</v>
      </c>
      <c r="C15" s="147">
        <v>4</v>
      </c>
      <c r="D15" s="147">
        <v>0</v>
      </c>
      <c r="E15" s="147">
        <v>0</v>
      </c>
      <c r="F15" s="147">
        <v>0</v>
      </c>
    </row>
    <row r="16" spans="1:6" x14ac:dyDescent="0.3">
      <c r="A16" s="12">
        <v>61</v>
      </c>
      <c r="B16" s="149" t="s">
        <v>18</v>
      </c>
      <c r="C16" s="147">
        <v>22</v>
      </c>
      <c r="D16" s="147">
        <v>5</v>
      </c>
      <c r="E16" s="147">
        <v>1</v>
      </c>
      <c r="F16" s="147">
        <v>0</v>
      </c>
    </row>
    <row r="17" spans="1:6" s="181" customFormat="1" x14ac:dyDescent="0.3">
      <c r="A17" s="12"/>
      <c r="B17" s="130" t="s">
        <v>122</v>
      </c>
      <c r="C17" s="163">
        <v>29</v>
      </c>
      <c r="D17" s="163">
        <v>4</v>
      </c>
      <c r="E17" s="163">
        <v>0</v>
      </c>
      <c r="F17" s="163">
        <v>0</v>
      </c>
    </row>
    <row r="18" spans="1:6" x14ac:dyDescent="0.3">
      <c r="A18" s="12">
        <v>58</v>
      </c>
      <c r="B18" s="122" t="s">
        <v>20</v>
      </c>
      <c r="C18" s="147">
        <v>1</v>
      </c>
      <c r="D18" s="147">
        <v>0</v>
      </c>
      <c r="E18" s="147">
        <v>0</v>
      </c>
      <c r="F18" s="147">
        <v>0</v>
      </c>
    </row>
    <row r="19" spans="1:6" x14ac:dyDescent="0.3">
      <c r="A19" s="12">
        <v>63</v>
      </c>
      <c r="B19" s="122" t="s">
        <v>21</v>
      </c>
      <c r="C19" s="147">
        <v>20</v>
      </c>
      <c r="D19" s="147">
        <v>3</v>
      </c>
      <c r="E19" s="147">
        <v>0</v>
      </c>
      <c r="F19" s="147">
        <v>0</v>
      </c>
    </row>
    <row r="20" spans="1:6" x14ac:dyDescent="0.3">
      <c r="A20" s="12">
        <v>64</v>
      </c>
      <c r="B20" s="122" t="s">
        <v>22</v>
      </c>
      <c r="C20" s="147">
        <v>74</v>
      </c>
      <c r="D20" s="147">
        <v>18</v>
      </c>
      <c r="E20" s="147">
        <v>2</v>
      </c>
      <c r="F20" s="147">
        <v>0</v>
      </c>
    </row>
    <row r="21" spans="1:6" x14ac:dyDescent="0.3">
      <c r="A21" s="12">
        <v>65</v>
      </c>
      <c r="B21" s="122" t="s">
        <v>23</v>
      </c>
      <c r="C21" s="147">
        <v>15</v>
      </c>
      <c r="D21" s="147">
        <v>0</v>
      </c>
      <c r="E21" s="147">
        <v>0</v>
      </c>
      <c r="F21" s="147">
        <v>0</v>
      </c>
    </row>
    <row r="22" spans="1:6" x14ac:dyDescent="0.3">
      <c r="A22" s="12">
        <v>67</v>
      </c>
      <c r="B22" s="122" t="s">
        <v>24</v>
      </c>
      <c r="C22" s="147">
        <v>36</v>
      </c>
      <c r="D22" s="147">
        <v>2</v>
      </c>
      <c r="E22" s="147">
        <v>0</v>
      </c>
      <c r="F22" s="147">
        <v>0</v>
      </c>
    </row>
    <row r="23" spans="1:6" x14ac:dyDescent="0.3">
      <c r="A23" s="12">
        <v>68</v>
      </c>
      <c r="B23" s="122" t="s">
        <v>25</v>
      </c>
      <c r="C23" s="147">
        <v>30</v>
      </c>
      <c r="D23" s="147">
        <v>8</v>
      </c>
      <c r="E23" s="147">
        <v>0</v>
      </c>
      <c r="F23" s="147">
        <v>0</v>
      </c>
    </row>
    <row r="24" spans="1:6" x14ac:dyDescent="0.3">
      <c r="A24" s="12">
        <v>69</v>
      </c>
      <c r="B24" s="122" t="s">
        <v>26</v>
      </c>
      <c r="C24" s="147">
        <v>20</v>
      </c>
      <c r="D24" s="147">
        <v>5</v>
      </c>
      <c r="E24" s="147">
        <v>1</v>
      </c>
      <c r="F24" s="147">
        <v>0</v>
      </c>
    </row>
    <row r="25" spans="1:6" x14ac:dyDescent="0.3">
      <c r="A25" s="12">
        <v>70</v>
      </c>
      <c r="B25" s="122" t="s">
        <v>27</v>
      </c>
      <c r="C25" s="147">
        <v>13</v>
      </c>
      <c r="D25" s="147">
        <v>1</v>
      </c>
      <c r="E25" s="147">
        <v>0</v>
      </c>
      <c r="F25" s="147">
        <v>0</v>
      </c>
    </row>
    <row r="26" spans="1:6" x14ac:dyDescent="0.3">
      <c r="A26" s="12">
        <v>71</v>
      </c>
      <c r="B26" s="150" t="s">
        <v>28</v>
      </c>
      <c r="C26" s="147">
        <v>2</v>
      </c>
      <c r="D26" s="147">
        <v>0</v>
      </c>
      <c r="E26" s="147">
        <v>0</v>
      </c>
      <c r="F26" s="147">
        <v>0</v>
      </c>
    </row>
    <row r="27" spans="1:6" x14ac:dyDescent="0.3">
      <c r="A27" s="12">
        <v>73</v>
      </c>
      <c r="B27" s="122" t="s">
        <v>29</v>
      </c>
      <c r="C27" s="151">
        <v>21</v>
      </c>
      <c r="D27" s="151">
        <v>5</v>
      </c>
      <c r="E27" s="151">
        <v>0</v>
      </c>
      <c r="F27" s="151">
        <v>0</v>
      </c>
    </row>
    <row r="28" spans="1:6" x14ac:dyDescent="0.3">
      <c r="A28" s="12">
        <v>74</v>
      </c>
      <c r="B28" s="122" t="s">
        <v>30</v>
      </c>
      <c r="C28" s="147">
        <v>20</v>
      </c>
      <c r="D28" s="147">
        <v>2</v>
      </c>
      <c r="E28" s="147">
        <v>0</v>
      </c>
      <c r="F28" s="147">
        <v>0</v>
      </c>
    </row>
    <row r="29" spans="1:6" x14ac:dyDescent="0.3">
      <c r="A29" s="12">
        <v>75</v>
      </c>
      <c r="B29" s="122" t="s">
        <v>31</v>
      </c>
      <c r="C29" s="147">
        <v>14</v>
      </c>
      <c r="D29" s="147">
        <v>5</v>
      </c>
      <c r="E29" s="147">
        <v>0</v>
      </c>
      <c r="F29" s="147">
        <v>0</v>
      </c>
    </row>
    <row r="30" spans="1:6" x14ac:dyDescent="0.3">
      <c r="A30" s="12">
        <v>76</v>
      </c>
      <c r="B30" s="122" t="s">
        <v>32</v>
      </c>
      <c r="C30" s="147">
        <v>8</v>
      </c>
      <c r="D30" s="147">
        <v>1</v>
      </c>
      <c r="E30" s="147">
        <v>2</v>
      </c>
      <c r="F30" s="147">
        <v>0</v>
      </c>
    </row>
    <row r="31" spans="1:6" x14ac:dyDescent="0.3">
      <c r="A31" s="12">
        <v>79</v>
      </c>
      <c r="B31" s="122" t="s">
        <v>33</v>
      </c>
      <c r="C31" s="147">
        <v>19</v>
      </c>
      <c r="D31" s="147">
        <v>6</v>
      </c>
      <c r="E31" s="147">
        <v>0</v>
      </c>
      <c r="F31" s="147">
        <v>0</v>
      </c>
    </row>
    <row r="32" spans="1:6" x14ac:dyDescent="0.3">
      <c r="A32" s="12">
        <v>80</v>
      </c>
      <c r="B32" s="122" t="s">
        <v>34</v>
      </c>
      <c r="C32" s="147">
        <v>17</v>
      </c>
      <c r="D32" s="147">
        <v>4</v>
      </c>
      <c r="E32" s="147">
        <v>0</v>
      </c>
      <c r="F32" s="147">
        <v>0</v>
      </c>
    </row>
    <row r="33" spans="1:6" x14ac:dyDescent="0.3">
      <c r="A33" s="12">
        <v>81</v>
      </c>
      <c r="B33" s="122" t="s">
        <v>35</v>
      </c>
      <c r="C33" s="147">
        <v>23</v>
      </c>
      <c r="D33" s="147">
        <v>2</v>
      </c>
      <c r="E33" s="147">
        <v>0</v>
      </c>
      <c r="F33" s="147">
        <v>0</v>
      </c>
    </row>
    <row r="34" spans="1:6" x14ac:dyDescent="0.3">
      <c r="A34" s="12">
        <v>83</v>
      </c>
      <c r="B34" s="122" t="s">
        <v>36</v>
      </c>
      <c r="C34" s="147">
        <v>5</v>
      </c>
      <c r="D34" s="147">
        <v>0</v>
      </c>
      <c r="E34" s="147">
        <v>0</v>
      </c>
      <c r="F34" s="147">
        <v>0</v>
      </c>
    </row>
    <row r="35" spans="1:6" x14ac:dyDescent="0.3">
      <c r="A35" s="12">
        <v>84</v>
      </c>
      <c r="B35" s="122" t="s">
        <v>37</v>
      </c>
      <c r="C35" s="147">
        <v>20</v>
      </c>
      <c r="D35" s="147">
        <v>6</v>
      </c>
      <c r="E35" s="147">
        <v>2</v>
      </c>
      <c r="F35" s="147">
        <v>0</v>
      </c>
    </row>
    <row r="36" spans="1:6" x14ac:dyDescent="0.3">
      <c r="A36" s="12">
        <v>85</v>
      </c>
      <c r="B36" s="122" t="s">
        <v>38</v>
      </c>
      <c r="C36" s="147">
        <v>9</v>
      </c>
      <c r="D36" s="147">
        <v>0</v>
      </c>
      <c r="E36" s="147">
        <v>0</v>
      </c>
      <c r="F36" s="147">
        <v>0</v>
      </c>
    </row>
    <row r="37" spans="1:6" x14ac:dyDescent="0.3">
      <c r="A37" s="12">
        <v>87</v>
      </c>
      <c r="B37" s="122" t="s">
        <v>39</v>
      </c>
      <c r="C37" s="147">
        <v>10</v>
      </c>
      <c r="D37" s="147">
        <v>1</v>
      </c>
      <c r="E37" s="147">
        <v>0</v>
      </c>
      <c r="F37" s="147">
        <v>0</v>
      </c>
    </row>
    <row r="38" spans="1:6" x14ac:dyDescent="0.3">
      <c r="A38" s="12">
        <v>90</v>
      </c>
      <c r="B38" s="122" t="s">
        <v>40</v>
      </c>
      <c r="C38" s="147">
        <v>19</v>
      </c>
      <c r="D38" s="147">
        <v>1</v>
      </c>
      <c r="E38" s="147">
        <v>0</v>
      </c>
      <c r="F38" s="147">
        <v>0</v>
      </c>
    </row>
    <row r="39" spans="1:6" x14ac:dyDescent="0.3">
      <c r="A39" s="12">
        <v>91</v>
      </c>
      <c r="B39" s="122" t="s">
        <v>41</v>
      </c>
      <c r="C39" s="147">
        <v>13</v>
      </c>
      <c r="D39" s="147">
        <v>1</v>
      </c>
      <c r="E39" s="147">
        <v>0</v>
      </c>
      <c r="F39" s="147">
        <v>0</v>
      </c>
    </row>
    <row r="40" spans="1:6" x14ac:dyDescent="0.3">
      <c r="A40" s="12">
        <v>92</v>
      </c>
      <c r="B40" s="122" t="s">
        <v>42</v>
      </c>
      <c r="C40" s="147">
        <v>19</v>
      </c>
      <c r="D40" s="147">
        <v>5</v>
      </c>
      <c r="E40" s="147">
        <v>0</v>
      </c>
      <c r="F40" s="147">
        <v>0</v>
      </c>
    </row>
    <row r="41" spans="1:6" x14ac:dyDescent="0.3">
      <c r="A41" s="12">
        <v>94</v>
      </c>
      <c r="B41" s="122" t="s">
        <v>43</v>
      </c>
      <c r="C41" s="147">
        <v>14</v>
      </c>
      <c r="D41" s="147">
        <v>6</v>
      </c>
      <c r="E41" s="147">
        <v>0</v>
      </c>
      <c r="F41" s="147">
        <v>0</v>
      </c>
    </row>
    <row r="42" spans="1:6" x14ac:dyDescent="0.3">
      <c r="A42" s="12">
        <v>96</v>
      </c>
      <c r="B42" s="122" t="s">
        <v>44</v>
      </c>
      <c r="C42" s="147">
        <v>8</v>
      </c>
      <c r="D42" s="147">
        <v>3</v>
      </c>
      <c r="E42" s="147">
        <v>0</v>
      </c>
      <c r="F42" s="147">
        <v>0</v>
      </c>
    </row>
    <row r="43" spans="1:6" x14ac:dyDescent="0.3">
      <c r="A43" s="12">
        <v>72</v>
      </c>
      <c r="B43" s="150" t="s">
        <v>46</v>
      </c>
      <c r="C43" s="147">
        <v>1</v>
      </c>
      <c r="D43" s="147">
        <v>0</v>
      </c>
      <c r="E43" s="147">
        <v>1</v>
      </c>
      <c r="F43" s="147">
        <v>0</v>
      </c>
    </row>
    <row r="44" spans="1:6" s="152" customFormat="1" ht="26.25" customHeight="1" x14ac:dyDescent="0.3">
      <c r="A44" s="1"/>
      <c r="B44" s="127" t="s">
        <v>47</v>
      </c>
      <c r="C44" s="146">
        <v>342</v>
      </c>
      <c r="D44" s="146">
        <v>75</v>
      </c>
      <c r="E44" s="146">
        <v>7</v>
      </c>
      <c r="F44" s="146">
        <v>0</v>
      </c>
    </row>
    <row r="45" spans="1:6" x14ac:dyDescent="0.3">
      <c r="A45" s="12">
        <v>66</v>
      </c>
      <c r="B45" s="122" t="s">
        <v>48</v>
      </c>
      <c r="C45" s="147">
        <v>34</v>
      </c>
      <c r="D45" s="147">
        <v>8</v>
      </c>
      <c r="E45" s="147">
        <v>1</v>
      </c>
      <c r="F45" s="147">
        <v>0</v>
      </c>
    </row>
    <row r="46" spans="1:6" x14ac:dyDescent="0.3">
      <c r="A46" s="12">
        <v>78</v>
      </c>
      <c r="B46" s="122" t="s">
        <v>49</v>
      </c>
      <c r="C46" s="148">
        <v>18</v>
      </c>
      <c r="D46" s="148">
        <v>2</v>
      </c>
      <c r="E46" s="148">
        <v>1</v>
      </c>
      <c r="F46" s="148">
        <v>0</v>
      </c>
    </row>
    <row r="47" spans="1:6" x14ac:dyDescent="0.3">
      <c r="A47" s="12">
        <v>89</v>
      </c>
      <c r="B47" s="122" t="s">
        <v>50</v>
      </c>
      <c r="C47" s="148">
        <v>28</v>
      </c>
      <c r="D47" s="148">
        <v>0</v>
      </c>
      <c r="E47" s="148">
        <v>0</v>
      </c>
      <c r="F47" s="148">
        <v>0</v>
      </c>
    </row>
    <row r="48" spans="1:6" x14ac:dyDescent="0.3">
      <c r="A48" s="12">
        <v>93</v>
      </c>
      <c r="B48" s="122" t="s">
        <v>51</v>
      </c>
      <c r="C48" s="148">
        <v>8</v>
      </c>
      <c r="D48" s="148">
        <v>3</v>
      </c>
      <c r="E48" s="148">
        <v>0</v>
      </c>
      <c r="F48" s="148">
        <v>0</v>
      </c>
    </row>
    <row r="49" spans="1:6" x14ac:dyDescent="0.3">
      <c r="A49" s="12">
        <v>95</v>
      </c>
      <c r="B49" s="122" t="s">
        <v>52</v>
      </c>
      <c r="C49" s="148">
        <v>29</v>
      </c>
      <c r="D49" s="148">
        <v>8</v>
      </c>
      <c r="E49" s="148">
        <v>1</v>
      </c>
      <c r="F49" s="148">
        <v>0</v>
      </c>
    </row>
    <row r="50" spans="1:6" x14ac:dyDescent="0.3">
      <c r="A50" s="12">
        <v>97</v>
      </c>
      <c r="B50" s="122" t="s">
        <v>53</v>
      </c>
      <c r="C50" s="148">
        <v>29</v>
      </c>
      <c r="D50" s="148">
        <v>4</v>
      </c>
      <c r="E50" s="148">
        <v>0</v>
      </c>
      <c r="F50" s="148">
        <v>0</v>
      </c>
    </row>
    <row r="51" spans="1:6" x14ac:dyDescent="0.3">
      <c r="A51" s="12">
        <v>77</v>
      </c>
      <c r="B51" s="154" t="s">
        <v>54</v>
      </c>
      <c r="C51" s="156">
        <v>196</v>
      </c>
      <c r="D51" s="156">
        <v>50</v>
      </c>
      <c r="E51" s="156">
        <v>4</v>
      </c>
      <c r="F51" s="156">
        <v>0</v>
      </c>
    </row>
    <row r="52" spans="1:6" x14ac:dyDescent="0.3">
      <c r="C52" s="139"/>
      <c r="D52" s="139"/>
      <c r="E52" s="139"/>
      <c r="F52" s="139"/>
    </row>
    <row r="53" spans="1:6" x14ac:dyDescent="0.3">
      <c r="B53" s="12" t="s">
        <v>55</v>
      </c>
    </row>
    <row r="54" spans="1:6" ht="23.25" customHeight="1" x14ac:dyDescent="0.3">
      <c r="B54" s="291" t="s">
        <v>65</v>
      </c>
      <c r="C54" s="292"/>
      <c r="D54" s="292"/>
      <c r="E54" s="292"/>
      <c r="F54" s="292"/>
    </row>
    <row r="55" spans="1:6" ht="15" customHeight="1" x14ac:dyDescent="0.3">
      <c r="B55" s="292"/>
      <c r="C55" s="292"/>
      <c r="D55" s="292"/>
      <c r="E55" s="292"/>
      <c r="F55" s="292"/>
    </row>
    <row r="56" spans="1:6" ht="13.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5.75" customHeight="1" x14ac:dyDescent="0.3">
      <c r="B58" s="292"/>
      <c r="C58" s="292"/>
      <c r="D58" s="292"/>
      <c r="E58" s="292"/>
      <c r="F58" s="292"/>
    </row>
    <row r="59" spans="1:6" ht="39" customHeight="1" x14ac:dyDescent="0.3">
      <c r="B59" s="292"/>
      <c r="C59" s="292"/>
      <c r="D59" s="292"/>
      <c r="E59" s="292"/>
      <c r="F59" s="292"/>
    </row>
    <row r="60" spans="1:6" ht="15" customHeight="1" x14ac:dyDescent="0.3">
      <c r="B60" s="57"/>
      <c r="C60" s="57"/>
      <c r="D60" s="57"/>
      <c r="E60" s="57"/>
      <c r="F60" s="57"/>
    </row>
    <row r="61" spans="1:6" x14ac:dyDescent="0.3">
      <c r="B61" s="138" t="s">
        <v>57</v>
      </c>
    </row>
    <row r="63" spans="1:6" x14ac:dyDescent="0.3">
      <c r="B63" s="141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indexed="22"/>
  </sheetPr>
  <dimension ref="A1:Q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ColWidth="0" defaultRowHeight="12.5" x14ac:dyDescent="0.3"/>
  <cols>
    <col min="1" max="1" width="5.7265625" style="1" hidden="1" customWidth="1"/>
    <col min="2" max="2" width="28.7265625" style="122" customWidth="1"/>
    <col min="3" max="4" width="20" style="122" customWidth="1"/>
    <col min="5" max="5" width="15.26953125" style="122" customWidth="1"/>
    <col min="6" max="6" width="17.7265625" style="122" customWidth="1"/>
    <col min="7" max="7" width="9.26953125" style="122" customWidth="1"/>
    <col min="8" max="11" width="16.26953125" style="122" hidden="1" customWidth="1"/>
    <col min="12" max="256" width="0" style="122" hidden="1"/>
    <col min="257" max="257" width="0" style="122" hidden="1" customWidth="1"/>
    <col min="258" max="258" width="28.7265625" style="122" customWidth="1"/>
    <col min="259" max="260" width="20" style="122" customWidth="1"/>
    <col min="261" max="261" width="15.26953125" style="122" customWidth="1"/>
    <col min="262" max="262" width="17.7265625" style="122" customWidth="1"/>
    <col min="263" max="263" width="9.26953125" style="122" customWidth="1"/>
    <col min="264" max="267" width="0" style="122" hidden="1" customWidth="1"/>
    <col min="268" max="512" width="0" style="122" hidden="1"/>
    <col min="513" max="513" width="0" style="122" hidden="1" customWidth="1"/>
    <col min="514" max="514" width="28.7265625" style="122" customWidth="1"/>
    <col min="515" max="516" width="20" style="122" customWidth="1"/>
    <col min="517" max="517" width="15.26953125" style="122" customWidth="1"/>
    <col min="518" max="518" width="17.7265625" style="122" customWidth="1"/>
    <col min="519" max="519" width="9.26953125" style="122" customWidth="1"/>
    <col min="520" max="523" width="0" style="122" hidden="1" customWidth="1"/>
    <col min="524" max="768" width="0" style="122" hidden="1"/>
    <col min="769" max="769" width="0" style="122" hidden="1" customWidth="1"/>
    <col min="770" max="770" width="28.7265625" style="122" customWidth="1"/>
    <col min="771" max="772" width="20" style="122" customWidth="1"/>
    <col min="773" max="773" width="15.26953125" style="122" customWidth="1"/>
    <col min="774" max="774" width="17.7265625" style="122" customWidth="1"/>
    <col min="775" max="775" width="9.26953125" style="122" customWidth="1"/>
    <col min="776" max="779" width="0" style="122" hidden="1" customWidth="1"/>
    <col min="780" max="1024" width="0" style="122" hidden="1"/>
    <col min="1025" max="1025" width="0" style="122" hidden="1" customWidth="1"/>
    <col min="1026" max="1026" width="28.7265625" style="122" customWidth="1"/>
    <col min="1027" max="1028" width="20" style="122" customWidth="1"/>
    <col min="1029" max="1029" width="15.26953125" style="122" customWidth="1"/>
    <col min="1030" max="1030" width="17.7265625" style="122" customWidth="1"/>
    <col min="1031" max="1031" width="9.26953125" style="122" customWidth="1"/>
    <col min="1032" max="1035" width="0" style="122" hidden="1" customWidth="1"/>
    <col min="1036" max="1280" width="0" style="122" hidden="1"/>
    <col min="1281" max="1281" width="0" style="122" hidden="1" customWidth="1"/>
    <col min="1282" max="1282" width="28.7265625" style="122" customWidth="1"/>
    <col min="1283" max="1284" width="20" style="122" customWidth="1"/>
    <col min="1285" max="1285" width="15.26953125" style="122" customWidth="1"/>
    <col min="1286" max="1286" width="17.7265625" style="122" customWidth="1"/>
    <col min="1287" max="1287" width="9.26953125" style="122" customWidth="1"/>
    <col min="1288" max="1291" width="0" style="122" hidden="1" customWidth="1"/>
    <col min="1292" max="1536" width="0" style="122" hidden="1"/>
    <col min="1537" max="1537" width="0" style="122" hidden="1" customWidth="1"/>
    <col min="1538" max="1538" width="28.7265625" style="122" customWidth="1"/>
    <col min="1539" max="1540" width="20" style="122" customWidth="1"/>
    <col min="1541" max="1541" width="15.26953125" style="122" customWidth="1"/>
    <col min="1542" max="1542" width="17.7265625" style="122" customWidth="1"/>
    <col min="1543" max="1543" width="9.26953125" style="122" customWidth="1"/>
    <col min="1544" max="1547" width="0" style="122" hidden="1" customWidth="1"/>
    <col min="1548" max="1792" width="0" style="122" hidden="1"/>
    <col min="1793" max="1793" width="0" style="122" hidden="1" customWidth="1"/>
    <col min="1794" max="1794" width="28.7265625" style="122" customWidth="1"/>
    <col min="1795" max="1796" width="20" style="122" customWidth="1"/>
    <col min="1797" max="1797" width="15.26953125" style="122" customWidth="1"/>
    <col min="1798" max="1798" width="17.7265625" style="122" customWidth="1"/>
    <col min="1799" max="1799" width="9.26953125" style="122" customWidth="1"/>
    <col min="1800" max="1803" width="0" style="122" hidden="1" customWidth="1"/>
    <col min="1804" max="2048" width="0" style="122" hidden="1"/>
    <col min="2049" max="2049" width="0" style="122" hidden="1" customWidth="1"/>
    <col min="2050" max="2050" width="28.7265625" style="122" customWidth="1"/>
    <col min="2051" max="2052" width="20" style="122" customWidth="1"/>
    <col min="2053" max="2053" width="15.26953125" style="122" customWidth="1"/>
    <col min="2054" max="2054" width="17.7265625" style="122" customWidth="1"/>
    <col min="2055" max="2055" width="9.26953125" style="122" customWidth="1"/>
    <col min="2056" max="2059" width="0" style="122" hidden="1" customWidth="1"/>
    <col min="2060" max="2304" width="0" style="122" hidden="1"/>
    <col min="2305" max="2305" width="0" style="122" hidden="1" customWidth="1"/>
    <col min="2306" max="2306" width="28.7265625" style="122" customWidth="1"/>
    <col min="2307" max="2308" width="20" style="122" customWidth="1"/>
    <col min="2309" max="2309" width="15.26953125" style="122" customWidth="1"/>
    <col min="2310" max="2310" width="17.7265625" style="122" customWidth="1"/>
    <col min="2311" max="2311" width="9.26953125" style="122" customWidth="1"/>
    <col min="2312" max="2315" width="0" style="122" hidden="1" customWidth="1"/>
    <col min="2316" max="2560" width="0" style="122" hidden="1"/>
    <col min="2561" max="2561" width="0" style="122" hidden="1" customWidth="1"/>
    <col min="2562" max="2562" width="28.7265625" style="122" customWidth="1"/>
    <col min="2563" max="2564" width="20" style="122" customWidth="1"/>
    <col min="2565" max="2565" width="15.26953125" style="122" customWidth="1"/>
    <col min="2566" max="2566" width="17.7265625" style="122" customWidth="1"/>
    <col min="2567" max="2567" width="9.26953125" style="122" customWidth="1"/>
    <col min="2568" max="2571" width="0" style="122" hidden="1" customWidth="1"/>
    <col min="2572" max="2816" width="0" style="122" hidden="1"/>
    <col min="2817" max="2817" width="0" style="122" hidden="1" customWidth="1"/>
    <col min="2818" max="2818" width="28.7265625" style="122" customWidth="1"/>
    <col min="2819" max="2820" width="20" style="122" customWidth="1"/>
    <col min="2821" max="2821" width="15.26953125" style="122" customWidth="1"/>
    <col min="2822" max="2822" width="17.7265625" style="122" customWidth="1"/>
    <col min="2823" max="2823" width="9.26953125" style="122" customWidth="1"/>
    <col min="2824" max="2827" width="0" style="122" hidden="1" customWidth="1"/>
    <col min="2828" max="3072" width="0" style="122" hidden="1"/>
    <col min="3073" max="3073" width="0" style="122" hidden="1" customWidth="1"/>
    <col min="3074" max="3074" width="28.7265625" style="122" customWidth="1"/>
    <col min="3075" max="3076" width="20" style="122" customWidth="1"/>
    <col min="3077" max="3077" width="15.26953125" style="122" customWidth="1"/>
    <col min="3078" max="3078" width="17.7265625" style="122" customWidth="1"/>
    <col min="3079" max="3079" width="9.26953125" style="122" customWidth="1"/>
    <col min="3080" max="3083" width="0" style="122" hidden="1" customWidth="1"/>
    <col min="3084" max="3328" width="0" style="122" hidden="1"/>
    <col min="3329" max="3329" width="0" style="122" hidden="1" customWidth="1"/>
    <col min="3330" max="3330" width="28.7265625" style="122" customWidth="1"/>
    <col min="3331" max="3332" width="20" style="122" customWidth="1"/>
    <col min="3333" max="3333" width="15.26953125" style="122" customWidth="1"/>
    <col min="3334" max="3334" width="17.7265625" style="122" customWidth="1"/>
    <col min="3335" max="3335" width="9.26953125" style="122" customWidth="1"/>
    <col min="3336" max="3339" width="0" style="122" hidden="1" customWidth="1"/>
    <col min="3340" max="3584" width="0" style="122" hidden="1"/>
    <col min="3585" max="3585" width="0" style="122" hidden="1" customWidth="1"/>
    <col min="3586" max="3586" width="28.7265625" style="122" customWidth="1"/>
    <col min="3587" max="3588" width="20" style="122" customWidth="1"/>
    <col min="3589" max="3589" width="15.26953125" style="122" customWidth="1"/>
    <col min="3590" max="3590" width="17.7265625" style="122" customWidth="1"/>
    <col min="3591" max="3591" width="9.26953125" style="122" customWidth="1"/>
    <col min="3592" max="3595" width="0" style="122" hidden="1" customWidth="1"/>
    <col min="3596" max="3840" width="0" style="122" hidden="1"/>
    <col min="3841" max="3841" width="0" style="122" hidden="1" customWidth="1"/>
    <col min="3842" max="3842" width="28.7265625" style="122" customWidth="1"/>
    <col min="3843" max="3844" width="20" style="122" customWidth="1"/>
    <col min="3845" max="3845" width="15.26953125" style="122" customWidth="1"/>
    <col min="3846" max="3846" width="17.7265625" style="122" customWidth="1"/>
    <col min="3847" max="3847" width="9.26953125" style="122" customWidth="1"/>
    <col min="3848" max="3851" width="0" style="122" hidden="1" customWidth="1"/>
    <col min="3852" max="4096" width="0" style="122" hidden="1"/>
    <col min="4097" max="4097" width="0" style="122" hidden="1" customWidth="1"/>
    <col min="4098" max="4098" width="28.7265625" style="122" customWidth="1"/>
    <col min="4099" max="4100" width="20" style="122" customWidth="1"/>
    <col min="4101" max="4101" width="15.26953125" style="122" customWidth="1"/>
    <col min="4102" max="4102" width="17.7265625" style="122" customWidth="1"/>
    <col min="4103" max="4103" width="9.26953125" style="122" customWidth="1"/>
    <col min="4104" max="4107" width="0" style="122" hidden="1" customWidth="1"/>
    <col min="4108" max="4352" width="0" style="122" hidden="1"/>
    <col min="4353" max="4353" width="0" style="122" hidden="1" customWidth="1"/>
    <col min="4354" max="4354" width="28.7265625" style="122" customWidth="1"/>
    <col min="4355" max="4356" width="20" style="122" customWidth="1"/>
    <col min="4357" max="4357" width="15.26953125" style="122" customWidth="1"/>
    <col min="4358" max="4358" width="17.7265625" style="122" customWidth="1"/>
    <col min="4359" max="4359" width="9.26953125" style="122" customWidth="1"/>
    <col min="4360" max="4363" width="0" style="122" hidden="1" customWidth="1"/>
    <col min="4364" max="4608" width="0" style="122" hidden="1"/>
    <col min="4609" max="4609" width="0" style="122" hidden="1" customWidth="1"/>
    <col min="4610" max="4610" width="28.7265625" style="122" customWidth="1"/>
    <col min="4611" max="4612" width="20" style="122" customWidth="1"/>
    <col min="4613" max="4613" width="15.26953125" style="122" customWidth="1"/>
    <col min="4614" max="4614" width="17.7265625" style="122" customWidth="1"/>
    <col min="4615" max="4615" width="9.26953125" style="122" customWidth="1"/>
    <col min="4616" max="4619" width="0" style="122" hidden="1" customWidth="1"/>
    <col min="4620" max="4864" width="0" style="122" hidden="1"/>
    <col min="4865" max="4865" width="0" style="122" hidden="1" customWidth="1"/>
    <col min="4866" max="4866" width="28.7265625" style="122" customWidth="1"/>
    <col min="4867" max="4868" width="20" style="122" customWidth="1"/>
    <col min="4869" max="4869" width="15.26953125" style="122" customWidth="1"/>
    <col min="4870" max="4870" width="17.7265625" style="122" customWidth="1"/>
    <col min="4871" max="4871" width="9.26953125" style="122" customWidth="1"/>
    <col min="4872" max="4875" width="0" style="122" hidden="1" customWidth="1"/>
    <col min="4876" max="5120" width="0" style="122" hidden="1"/>
    <col min="5121" max="5121" width="0" style="122" hidden="1" customWidth="1"/>
    <col min="5122" max="5122" width="28.7265625" style="122" customWidth="1"/>
    <col min="5123" max="5124" width="20" style="122" customWidth="1"/>
    <col min="5125" max="5125" width="15.26953125" style="122" customWidth="1"/>
    <col min="5126" max="5126" width="17.7265625" style="122" customWidth="1"/>
    <col min="5127" max="5127" width="9.26953125" style="122" customWidth="1"/>
    <col min="5128" max="5131" width="0" style="122" hidden="1" customWidth="1"/>
    <col min="5132" max="5376" width="0" style="122" hidden="1"/>
    <col min="5377" max="5377" width="0" style="122" hidden="1" customWidth="1"/>
    <col min="5378" max="5378" width="28.7265625" style="122" customWidth="1"/>
    <col min="5379" max="5380" width="20" style="122" customWidth="1"/>
    <col min="5381" max="5381" width="15.26953125" style="122" customWidth="1"/>
    <col min="5382" max="5382" width="17.7265625" style="122" customWidth="1"/>
    <col min="5383" max="5383" width="9.26953125" style="122" customWidth="1"/>
    <col min="5384" max="5387" width="0" style="122" hidden="1" customWidth="1"/>
    <col min="5388" max="5632" width="0" style="122" hidden="1"/>
    <col min="5633" max="5633" width="0" style="122" hidden="1" customWidth="1"/>
    <col min="5634" max="5634" width="28.7265625" style="122" customWidth="1"/>
    <col min="5635" max="5636" width="20" style="122" customWidth="1"/>
    <col min="5637" max="5637" width="15.26953125" style="122" customWidth="1"/>
    <col min="5638" max="5638" width="17.7265625" style="122" customWidth="1"/>
    <col min="5639" max="5639" width="9.26953125" style="122" customWidth="1"/>
    <col min="5640" max="5643" width="0" style="122" hidden="1" customWidth="1"/>
    <col min="5644" max="5888" width="0" style="122" hidden="1"/>
    <col min="5889" max="5889" width="0" style="122" hidden="1" customWidth="1"/>
    <col min="5890" max="5890" width="28.7265625" style="122" customWidth="1"/>
    <col min="5891" max="5892" width="20" style="122" customWidth="1"/>
    <col min="5893" max="5893" width="15.26953125" style="122" customWidth="1"/>
    <col min="5894" max="5894" width="17.7265625" style="122" customWidth="1"/>
    <col min="5895" max="5895" width="9.26953125" style="122" customWidth="1"/>
    <col min="5896" max="5899" width="0" style="122" hidden="1" customWidth="1"/>
    <col min="5900" max="6144" width="0" style="122" hidden="1"/>
    <col min="6145" max="6145" width="0" style="122" hidden="1" customWidth="1"/>
    <col min="6146" max="6146" width="28.7265625" style="122" customWidth="1"/>
    <col min="6147" max="6148" width="20" style="122" customWidth="1"/>
    <col min="6149" max="6149" width="15.26953125" style="122" customWidth="1"/>
    <col min="6150" max="6150" width="17.7265625" style="122" customWidth="1"/>
    <col min="6151" max="6151" width="9.26953125" style="122" customWidth="1"/>
    <col min="6152" max="6155" width="0" style="122" hidden="1" customWidth="1"/>
    <col min="6156" max="6400" width="0" style="122" hidden="1"/>
    <col min="6401" max="6401" width="0" style="122" hidden="1" customWidth="1"/>
    <col min="6402" max="6402" width="28.7265625" style="122" customWidth="1"/>
    <col min="6403" max="6404" width="20" style="122" customWidth="1"/>
    <col min="6405" max="6405" width="15.26953125" style="122" customWidth="1"/>
    <col min="6406" max="6406" width="17.7265625" style="122" customWidth="1"/>
    <col min="6407" max="6407" width="9.26953125" style="122" customWidth="1"/>
    <col min="6408" max="6411" width="0" style="122" hidden="1" customWidth="1"/>
    <col min="6412" max="6656" width="0" style="122" hidden="1"/>
    <col min="6657" max="6657" width="0" style="122" hidden="1" customWidth="1"/>
    <col min="6658" max="6658" width="28.7265625" style="122" customWidth="1"/>
    <col min="6659" max="6660" width="20" style="122" customWidth="1"/>
    <col min="6661" max="6661" width="15.26953125" style="122" customWidth="1"/>
    <col min="6662" max="6662" width="17.7265625" style="122" customWidth="1"/>
    <col min="6663" max="6663" width="9.26953125" style="122" customWidth="1"/>
    <col min="6664" max="6667" width="0" style="122" hidden="1" customWidth="1"/>
    <col min="6668" max="6912" width="0" style="122" hidden="1"/>
    <col min="6913" max="6913" width="0" style="122" hidden="1" customWidth="1"/>
    <col min="6914" max="6914" width="28.7265625" style="122" customWidth="1"/>
    <col min="6915" max="6916" width="20" style="122" customWidth="1"/>
    <col min="6917" max="6917" width="15.26953125" style="122" customWidth="1"/>
    <col min="6918" max="6918" width="17.7265625" style="122" customWidth="1"/>
    <col min="6919" max="6919" width="9.26953125" style="122" customWidth="1"/>
    <col min="6920" max="6923" width="0" style="122" hidden="1" customWidth="1"/>
    <col min="6924" max="7168" width="0" style="122" hidden="1"/>
    <col min="7169" max="7169" width="0" style="122" hidden="1" customWidth="1"/>
    <col min="7170" max="7170" width="28.7265625" style="122" customWidth="1"/>
    <col min="7171" max="7172" width="20" style="122" customWidth="1"/>
    <col min="7173" max="7173" width="15.26953125" style="122" customWidth="1"/>
    <col min="7174" max="7174" width="17.7265625" style="122" customWidth="1"/>
    <col min="7175" max="7175" width="9.26953125" style="122" customWidth="1"/>
    <col min="7176" max="7179" width="0" style="122" hidden="1" customWidth="1"/>
    <col min="7180" max="7424" width="0" style="122" hidden="1"/>
    <col min="7425" max="7425" width="0" style="122" hidden="1" customWidth="1"/>
    <col min="7426" max="7426" width="28.7265625" style="122" customWidth="1"/>
    <col min="7427" max="7428" width="20" style="122" customWidth="1"/>
    <col min="7429" max="7429" width="15.26953125" style="122" customWidth="1"/>
    <col min="7430" max="7430" width="17.7265625" style="122" customWidth="1"/>
    <col min="7431" max="7431" width="9.26953125" style="122" customWidth="1"/>
    <col min="7432" max="7435" width="0" style="122" hidden="1" customWidth="1"/>
    <col min="7436" max="7680" width="0" style="122" hidden="1"/>
    <col min="7681" max="7681" width="0" style="122" hidden="1" customWidth="1"/>
    <col min="7682" max="7682" width="28.7265625" style="122" customWidth="1"/>
    <col min="7683" max="7684" width="20" style="122" customWidth="1"/>
    <col min="7685" max="7685" width="15.26953125" style="122" customWidth="1"/>
    <col min="7686" max="7686" width="17.7265625" style="122" customWidth="1"/>
    <col min="7687" max="7687" width="9.26953125" style="122" customWidth="1"/>
    <col min="7688" max="7691" width="0" style="122" hidden="1" customWidth="1"/>
    <col min="7692" max="7936" width="0" style="122" hidden="1"/>
    <col min="7937" max="7937" width="0" style="122" hidden="1" customWidth="1"/>
    <col min="7938" max="7938" width="28.7265625" style="122" customWidth="1"/>
    <col min="7939" max="7940" width="20" style="122" customWidth="1"/>
    <col min="7941" max="7941" width="15.26953125" style="122" customWidth="1"/>
    <col min="7942" max="7942" width="17.7265625" style="122" customWidth="1"/>
    <col min="7943" max="7943" width="9.26953125" style="122" customWidth="1"/>
    <col min="7944" max="7947" width="0" style="122" hidden="1" customWidth="1"/>
    <col min="7948" max="8192" width="0" style="122" hidden="1"/>
    <col min="8193" max="8193" width="0" style="122" hidden="1" customWidth="1"/>
    <col min="8194" max="8194" width="28.7265625" style="122" customWidth="1"/>
    <col min="8195" max="8196" width="20" style="122" customWidth="1"/>
    <col min="8197" max="8197" width="15.26953125" style="122" customWidth="1"/>
    <col min="8198" max="8198" width="17.7265625" style="122" customWidth="1"/>
    <col min="8199" max="8199" width="9.26953125" style="122" customWidth="1"/>
    <col min="8200" max="8203" width="0" style="122" hidden="1" customWidth="1"/>
    <col min="8204" max="8448" width="0" style="122" hidden="1"/>
    <col min="8449" max="8449" width="0" style="122" hidden="1" customWidth="1"/>
    <col min="8450" max="8450" width="28.7265625" style="122" customWidth="1"/>
    <col min="8451" max="8452" width="20" style="122" customWidth="1"/>
    <col min="8453" max="8453" width="15.26953125" style="122" customWidth="1"/>
    <col min="8454" max="8454" width="17.7265625" style="122" customWidth="1"/>
    <col min="8455" max="8455" width="9.26953125" style="122" customWidth="1"/>
    <col min="8456" max="8459" width="0" style="122" hidden="1" customWidth="1"/>
    <col min="8460" max="8704" width="0" style="122" hidden="1"/>
    <col min="8705" max="8705" width="0" style="122" hidden="1" customWidth="1"/>
    <col min="8706" max="8706" width="28.7265625" style="122" customWidth="1"/>
    <col min="8707" max="8708" width="20" style="122" customWidth="1"/>
    <col min="8709" max="8709" width="15.26953125" style="122" customWidth="1"/>
    <col min="8710" max="8710" width="17.7265625" style="122" customWidth="1"/>
    <col min="8711" max="8711" width="9.26953125" style="122" customWidth="1"/>
    <col min="8712" max="8715" width="0" style="122" hidden="1" customWidth="1"/>
    <col min="8716" max="8960" width="0" style="122" hidden="1"/>
    <col min="8961" max="8961" width="0" style="122" hidden="1" customWidth="1"/>
    <col min="8962" max="8962" width="28.7265625" style="122" customWidth="1"/>
    <col min="8963" max="8964" width="20" style="122" customWidth="1"/>
    <col min="8965" max="8965" width="15.26953125" style="122" customWidth="1"/>
    <col min="8966" max="8966" width="17.7265625" style="122" customWidth="1"/>
    <col min="8967" max="8967" width="9.26953125" style="122" customWidth="1"/>
    <col min="8968" max="8971" width="0" style="122" hidden="1" customWidth="1"/>
    <col min="8972" max="9216" width="0" style="122" hidden="1"/>
    <col min="9217" max="9217" width="0" style="122" hidden="1" customWidth="1"/>
    <col min="9218" max="9218" width="28.7265625" style="122" customWidth="1"/>
    <col min="9219" max="9220" width="20" style="122" customWidth="1"/>
    <col min="9221" max="9221" width="15.26953125" style="122" customWidth="1"/>
    <col min="9222" max="9222" width="17.7265625" style="122" customWidth="1"/>
    <col min="9223" max="9223" width="9.26953125" style="122" customWidth="1"/>
    <col min="9224" max="9227" width="0" style="122" hidden="1" customWidth="1"/>
    <col min="9228" max="9472" width="0" style="122" hidden="1"/>
    <col min="9473" max="9473" width="0" style="122" hidden="1" customWidth="1"/>
    <col min="9474" max="9474" width="28.7265625" style="122" customWidth="1"/>
    <col min="9475" max="9476" width="20" style="122" customWidth="1"/>
    <col min="9477" max="9477" width="15.26953125" style="122" customWidth="1"/>
    <col min="9478" max="9478" width="17.7265625" style="122" customWidth="1"/>
    <col min="9479" max="9479" width="9.26953125" style="122" customWidth="1"/>
    <col min="9480" max="9483" width="0" style="122" hidden="1" customWidth="1"/>
    <col min="9484" max="9728" width="0" style="122" hidden="1"/>
    <col min="9729" max="9729" width="0" style="122" hidden="1" customWidth="1"/>
    <col min="9730" max="9730" width="28.7265625" style="122" customWidth="1"/>
    <col min="9731" max="9732" width="20" style="122" customWidth="1"/>
    <col min="9733" max="9733" width="15.26953125" style="122" customWidth="1"/>
    <col min="9734" max="9734" width="17.7265625" style="122" customWidth="1"/>
    <col min="9735" max="9735" width="9.26953125" style="122" customWidth="1"/>
    <col min="9736" max="9739" width="0" style="122" hidden="1" customWidth="1"/>
    <col min="9740" max="9984" width="0" style="122" hidden="1"/>
    <col min="9985" max="9985" width="0" style="122" hidden="1" customWidth="1"/>
    <col min="9986" max="9986" width="28.7265625" style="122" customWidth="1"/>
    <col min="9987" max="9988" width="20" style="122" customWidth="1"/>
    <col min="9989" max="9989" width="15.26953125" style="122" customWidth="1"/>
    <col min="9990" max="9990" width="17.7265625" style="122" customWidth="1"/>
    <col min="9991" max="9991" width="9.26953125" style="122" customWidth="1"/>
    <col min="9992" max="9995" width="0" style="122" hidden="1" customWidth="1"/>
    <col min="9996" max="10240" width="0" style="122" hidden="1"/>
    <col min="10241" max="10241" width="0" style="122" hidden="1" customWidth="1"/>
    <col min="10242" max="10242" width="28.7265625" style="122" customWidth="1"/>
    <col min="10243" max="10244" width="20" style="122" customWidth="1"/>
    <col min="10245" max="10245" width="15.26953125" style="122" customWidth="1"/>
    <col min="10246" max="10246" width="17.7265625" style="122" customWidth="1"/>
    <col min="10247" max="10247" width="9.26953125" style="122" customWidth="1"/>
    <col min="10248" max="10251" width="0" style="122" hidden="1" customWidth="1"/>
    <col min="10252" max="10496" width="0" style="122" hidden="1"/>
    <col min="10497" max="10497" width="0" style="122" hidden="1" customWidth="1"/>
    <col min="10498" max="10498" width="28.7265625" style="122" customWidth="1"/>
    <col min="10499" max="10500" width="20" style="122" customWidth="1"/>
    <col min="10501" max="10501" width="15.26953125" style="122" customWidth="1"/>
    <col min="10502" max="10502" width="17.7265625" style="122" customWidth="1"/>
    <col min="10503" max="10503" width="9.26953125" style="122" customWidth="1"/>
    <col min="10504" max="10507" width="0" style="122" hidden="1" customWidth="1"/>
    <col min="10508" max="10752" width="0" style="122" hidden="1"/>
    <col min="10753" max="10753" width="0" style="122" hidden="1" customWidth="1"/>
    <col min="10754" max="10754" width="28.7265625" style="122" customWidth="1"/>
    <col min="10755" max="10756" width="20" style="122" customWidth="1"/>
    <col min="10757" max="10757" width="15.26953125" style="122" customWidth="1"/>
    <col min="10758" max="10758" width="17.7265625" style="122" customWidth="1"/>
    <col min="10759" max="10759" width="9.26953125" style="122" customWidth="1"/>
    <col min="10760" max="10763" width="0" style="122" hidden="1" customWidth="1"/>
    <col min="10764" max="11008" width="0" style="122" hidden="1"/>
    <col min="11009" max="11009" width="0" style="122" hidden="1" customWidth="1"/>
    <col min="11010" max="11010" width="28.7265625" style="122" customWidth="1"/>
    <col min="11011" max="11012" width="20" style="122" customWidth="1"/>
    <col min="11013" max="11013" width="15.26953125" style="122" customWidth="1"/>
    <col min="11014" max="11014" width="17.7265625" style="122" customWidth="1"/>
    <col min="11015" max="11015" width="9.26953125" style="122" customWidth="1"/>
    <col min="11016" max="11019" width="0" style="122" hidden="1" customWidth="1"/>
    <col min="11020" max="11264" width="0" style="122" hidden="1"/>
    <col min="11265" max="11265" width="0" style="122" hidden="1" customWidth="1"/>
    <col min="11266" max="11266" width="28.7265625" style="122" customWidth="1"/>
    <col min="11267" max="11268" width="20" style="122" customWidth="1"/>
    <col min="11269" max="11269" width="15.26953125" style="122" customWidth="1"/>
    <col min="11270" max="11270" width="17.7265625" style="122" customWidth="1"/>
    <col min="11271" max="11271" width="9.26953125" style="122" customWidth="1"/>
    <col min="11272" max="11275" width="0" style="122" hidden="1" customWidth="1"/>
    <col min="11276" max="11520" width="0" style="122" hidden="1"/>
    <col min="11521" max="11521" width="0" style="122" hidden="1" customWidth="1"/>
    <col min="11522" max="11522" width="28.7265625" style="122" customWidth="1"/>
    <col min="11523" max="11524" width="20" style="122" customWidth="1"/>
    <col min="11525" max="11525" width="15.26953125" style="122" customWidth="1"/>
    <col min="11526" max="11526" width="17.7265625" style="122" customWidth="1"/>
    <col min="11527" max="11527" width="9.26953125" style="122" customWidth="1"/>
    <col min="11528" max="11531" width="0" style="122" hidden="1" customWidth="1"/>
    <col min="11532" max="11776" width="0" style="122" hidden="1"/>
    <col min="11777" max="11777" width="0" style="122" hidden="1" customWidth="1"/>
    <col min="11778" max="11778" width="28.7265625" style="122" customWidth="1"/>
    <col min="11779" max="11780" width="20" style="122" customWidth="1"/>
    <col min="11781" max="11781" width="15.26953125" style="122" customWidth="1"/>
    <col min="11782" max="11782" width="17.7265625" style="122" customWidth="1"/>
    <col min="11783" max="11783" width="9.26953125" style="122" customWidth="1"/>
    <col min="11784" max="11787" width="0" style="122" hidden="1" customWidth="1"/>
    <col min="11788" max="12032" width="0" style="122" hidden="1"/>
    <col min="12033" max="12033" width="0" style="122" hidden="1" customWidth="1"/>
    <col min="12034" max="12034" width="28.7265625" style="122" customWidth="1"/>
    <col min="12035" max="12036" width="20" style="122" customWidth="1"/>
    <col min="12037" max="12037" width="15.26953125" style="122" customWidth="1"/>
    <col min="12038" max="12038" width="17.7265625" style="122" customWidth="1"/>
    <col min="12039" max="12039" width="9.26953125" style="122" customWidth="1"/>
    <col min="12040" max="12043" width="0" style="122" hidden="1" customWidth="1"/>
    <col min="12044" max="12288" width="0" style="122" hidden="1"/>
    <col min="12289" max="12289" width="0" style="122" hidden="1" customWidth="1"/>
    <col min="12290" max="12290" width="28.7265625" style="122" customWidth="1"/>
    <col min="12291" max="12292" width="20" style="122" customWidth="1"/>
    <col min="12293" max="12293" width="15.26953125" style="122" customWidth="1"/>
    <col min="12294" max="12294" width="17.7265625" style="122" customWidth="1"/>
    <col min="12295" max="12295" width="9.26953125" style="122" customWidth="1"/>
    <col min="12296" max="12299" width="0" style="122" hidden="1" customWidth="1"/>
    <col min="12300" max="12544" width="0" style="122" hidden="1"/>
    <col min="12545" max="12545" width="0" style="122" hidden="1" customWidth="1"/>
    <col min="12546" max="12546" width="28.7265625" style="122" customWidth="1"/>
    <col min="12547" max="12548" width="20" style="122" customWidth="1"/>
    <col min="12549" max="12549" width="15.26953125" style="122" customWidth="1"/>
    <col min="12550" max="12550" width="17.7265625" style="122" customWidth="1"/>
    <col min="12551" max="12551" width="9.26953125" style="122" customWidth="1"/>
    <col min="12552" max="12555" width="0" style="122" hidden="1" customWidth="1"/>
    <col min="12556" max="12800" width="0" style="122" hidden="1"/>
    <col min="12801" max="12801" width="0" style="122" hidden="1" customWidth="1"/>
    <col min="12802" max="12802" width="28.7265625" style="122" customWidth="1"/>
    <col min="12803" max="12804" width="20" style="122" customWidth="1"/>
    <col min="12805" max="12805" width="15.26953125" style="122" customWidth="1"/>
    <col min="12806" max="12806" width="17.7265625" style="122" customWidth="1"/>
    <col min="12807" max="12807" width="9.26953125" style="122" customWidth="1"/>
    <col min="12808" max="12811" width="0" style="122" hidden="1" customWidth="1"/>
    <col min="12812" max="13056" width="0" style="122" hidden="1"/>
    <col min="13057" max="13057" width="0" style="122" hidden="1" customWidth="1"/>
    <col min="13058" max="13058" width="28.7265625" style="122" customWidth="1"/>
    <col min="13059" max="13060" width="20" style="122" customWidth="1"/>
    <col min="13061" max="13061" width="15.26953125" style="122" customWidth="1"/>
    <col min="13062" max="13062" width="17.7265625" style="122" customWidth="1"/>
    <col min="13063" max="13063" width="9.26953125" style="122" customWidth="1"/>
    <col min="13064" max="13067" width="0" style="122" hidden="1" customWidth="1"/>
    <col min="13068" max="13312" width="0" style="122" hidden="1"/>
    <col min="13313" max="13313" width="0" style="122" hidden="1" customWidth="1"/>
    <col min="13314" max="13314" width="28.7265625" style="122" customWidth="1"/>
    <col min="13315" max="13316" width="20" style="122" customWidth="1"/>
    <col min="13317" max="13317" width="15.26953125" style="122" customWidth="1"/>
    <col min="13318" max="13318" width="17.7265625" style="122" customWidth="1"/>
    <col min="13319" max="13319" width="9.26953125" style="122" customWidth="1"/>
    <col min="13320" max="13323" width="0" style="122" hidden="1" customWidth="1"/>
    <col min="13324" max="13568" width="0" style="122" hidden="1"/>
    <col min="13569" max="13569" width="0" style="122" hidden="1" customWidth="1"/>
    <col min="13570" max="13570" width="28.7265625" style="122" customWidth="1"/>
    <col min="13571" max="13572" width="20" style="122" customWidth="1"/>
    <col min="13573" max="13573" width="15.26953125" style="122" customWidth="1"/>
    <col min="13574" max="13574" width="17.7265625" style="122" customWidth="1"/>
    <col min="13575" max="13575" width="9.26953125" style="122" customWidth="1"/>
    <col min="13576" max="13579" width="0" style="122" hidden="1" customWidth="1"/>
    <col min="13580" max="13824" width="0" style="122" hidden="1"/>
    <col min="13825" max="13825" width="0" style="122" hidden="1" customWidth="1"/>
    <col min="13826" max="13826" width="28.7265625" style="122" customWidth="1"/>
    <col min="13827" max="13828" width="20" style="122" customWidth="1"/>
    <col min="13829" max="13829" width="15.26953125" style="122" customWidth="1"/>
    <col min="13830" max="13830" width="17.7265625" style="122" customWidth="1"/>
    <col min="13831" max="13831" width="9.26953125" style="122" customWidth="1"/>
    <col min="13832" max="13835" width="0" style="122" hidden="1" customWidth="1"/>
    <col min="13836" max="14080" width="0" style="122" hidden="1"/>
    <col min="14081" max="14081" width="0" style="122" hidden="1" customWidth="1"/>
    <col min="14082" max="14082" width="28.7265625" style="122" customWidth="1"/>
    <col min="14083" max="14084" width="20" style="122" customWidth="1"/>
    <col min="14085" max="14085" width="15.26953125" style="122" customWidth="1"/>
    <col min="14086" max="14086" width="17.7265625" style="122" customWidth="1"/>
    <col min="14087" max="14087" width="9.26953125" style="122" customWidth="1"/>
    <col min="14088" max="14091" width="0" style="122" hidden="1" customWidth="1"/>
    <col min="14092" max="14336" width="0" style="122" hidden="1"/>
    <col min="14337" max="14337" width="0" style="122" hidden="1" customWidth="1"/>
    <col min="14338" max="14338" width="28.7265625" style="122" customWidth="1"/>
    <col min="14339" max="14340" width="20" style="122" customWidth="1"/>
    <col min="14341" max="14341" width="15.26953125" style="122" customWidth="1"/>
    <col min="14342" max="14342" width="17.7265625" style="122" customWidth="1"/>
    <col min="14343" max="14343" width="9.26953125" style="122" customWidth="1"/>
    <col min="14344" max="14347" width="0" style="122" hidden="1" customWidth="1"/>
    <col min="14348" max="14592" width="0" style="122" hidden="1"/>
    <col min="14593" max="14593" width="0" style="122" hidden="1" customWidth="1"/>
    <col min="14594" max="14594" width="28.7265625" style="122" customWidth="1"/>
    <col min="14595" max="14596" width="20" style="122" customWidth="1"/>
    <col min="14597" max="14597" width="15.26953125" style="122" customWidth="1"/>
    <col min="14598" max="14598" width="17.7265625" style="122" customWidth="1"/>
    <col min="14599" max="14599" width="9.26953125" style="122" customWidth="1"/>
    <col min="14600" max="14603" width="0" style="122" hidden="1" customWidth="1"/>
    <col min="14604" max="14848" width="0" style="122" hidden="1"/>
    <col min="14849" max="14849" width="0" style="122" hidden="1" customWidth="1"/>
    <col min="14850" max="14850" width="28.7265625" style="122" customWidth="1"/>
    <col min="14851" max="14852" width="20" style="122" customWidth="1"/>
    <col min="14853" max="14853" width="15.26953125" style="122" customWidth="1"/>
    <col min="14854" max="14854" width="17.7265625" style="122" customWidth="1"/>
    <col min="14855" max="14855" width="9.26953125" style="122" customWidth="1"/>
    <col min="14856" max="14859" width="0" style="122" hidden="1" customWidth="1"/>
    <col min="14860" max="15104" width="0" style="122" hidden="1"/>
    <col min="15105" max="15105" width="0" style="122" hidden="1" customWidth="1"/>
    <col min="15106" max="15106" width="28.7265625" style="122" customWidth="1"/>
    <col min="15107" max="15108" width="20" style="122" customWidth="1"/>
    <col min="15109" max="15109" width="15.26953125" style="122" customWidth="1"/>
    <col min="15110" max="15110" width="17.7265625" style="122" customWidth="1"/>
    <col min="15111" max="15111" width="9.26953125" style="122" customWidth="1"/>
    <col min="15112" max="15115" width="0" style="122" hidden="1" customWidth="1"/>
    <col min="15116" max="15360" width="0" style="122" hidden="1"/>
    <col min="15361" max="15361" width="0" style="122" hidden="1" customWidth="1"/>
    <col min="15362" max="15362" width="28.7265625" style="122" customWidth="1"/>
    <col min="15363" max="15364" width="20" style="122" customWidth="1"/>
    <col min="15365" max="15365" width="15.26953125" style="122" customWidth="1"/>
    <col min="15366" max="15366" width="17.7265625" style="122" customWidth="1"/>
    <col min="15367" max="15367" width="9.26953125" style="122" customWidth="1"/>
    <col min="15368" max="15371" width="0" style="122" hidden="1" customWidth="1"/>
    <col min="15372" max="15616" width="0" style="122" hidden="1"/>
    <col min="15617" max="15617" width="0" style="122" hidden="1" customWidth="1"/>
    <col min="15618" max="15618" width="28.7265625" style="122" customWidth="1"/>
    <col min="15619" max="15620" width="20" style="122" customWidth="1"/>
    <col min="15621" max="15621" width="15.26953125" style="122" customWidth="1"/>
    <col min="15622" max="15622" width="17.7265625" style="122" customWidth="1"/>
    <col min="15623" max="15623" width="9.26953125" style="122" customWidth="1"/>
    <col min="15624" max="15627" width="0" style="122" hidden="1" customWidth="1"/>
    <col min="15628" max="15872" width="0" style="122" hidden="1"/>
    <col min="15873" max="15873" width="0" style="122" hidden="1" customWidth="1"/>
    <col min="15874" max="15874" width="28.7265625" style="122" customWidth="1"/>
    <col min="15875" max="15876" width="20" style="122" customWidth="1"/>
    <col min="15877" max="15877" width="15.26953125" style="122" customWidth="1"/>
    <col min="15878" max="15878" width="17.7265625" style="122" customWidth="1"/>
    <col min="15879" max="15879" width="9.26953125" style="122" customWidth="1"/>
    <col min="15880" max="15883" width="0" style="122" hidden="1" customWidth="1"/>
    <col min="15884" max="16128" width="0" style="122" hidden="1"/>
    <col min="16129" max="16129" width="0" style="122" hidden="1" customWidth="1"/>
    <col min="16130" max="16130" width="28.7265625" style="122" customWidth="1"/>
    <col min="16131" max="16132" width="20" style="122" customWidth="1"/>
    <col min="16133" max="16133" width="15.26953125" style="122" customWidth="1"/>
    <col min="16134" max="16134" width="17.7265625" style="122" customWidth="1"/>
    <col min="16135" max="16135" width="9.26953125" style="122" customWidth="1"/>
    <col min="16136" max="16139" width="0" style="122" hidden="1" customWidth="1"/>
    <col min="16140" max="16384" width="0" style="122" hidden="1"/>
  </cols>
  <sheetData>
    <row r="1" spans="1:17" ht="60" customHeight="1" x14ac:dyDescent="0.3">
      <c r="B1" s="312" t="s">
        <v>92</v>
      </c>
      <c r="C1" s="313"/>
      <c r="D1" s="313"/>
      <c r="E1" s="313"/>
      <c r="F1" s="314"/>
    </row>
    <row r="2" spans="1:17" ht="14.5" x14ac:dyDescent="0.3">
      <c r="B2" s="287"/>
      <c r="C2" s="288" t="s">
        <v>1</v>
      </c>
      <c r="D2" s="290" t="s">
        <v>2</v>
      </c>
      <c r="E2" s="290"/>
      <c r="H2" s="288"/>
      <c r="I2" s="290"/>
      <c r="J2" s="290"/>
    </row>
    <row r="3" spans="1:17" ht="27" customHeight="1" x14ac:dyDescent="0.3">
      <c r="A3" s="4"/>
      <c r="B3" s="287"/>
      <c r="C3" s="289"/>
      <c r="D3" s="123" t="s">
        <v>3</v>
      </c>
      <c r="E3" s="123" t="s">
        <v>4</v>
      </c>
      <c r="F3" s="123" t="s">
        <v>5</v>
      </c>
      <c r="H3" s="289"/>
      <c r="I3" s="123"/>
      <c r="J3" s="123"/>
      <c r="K3" s="123"/>
    </row>
    <row r="4" spans="1:17" ht="24" customHeight="1" x14ac:dyDescent="0.3">
      <c r="A4" s="4"/>
      <c r="B4" s="124" t="s">
        <v>6</v>
      </c>
      <c r="C4" s="125">
        <v>3228</v>
      </c>
      <c r="D4" s="125">
        <v>521</v>
      </c>
      <c r="E4" s="125">
        <v>74</v>
      </c>
      <c r="F4" s="125">
        <v>1</v>
      </c>
      <c r="H4" s="162"/>
      <c r="I4" s="162"/>
      <c r="J4" s="162"/>
      <c r="K4" s="162"/>
      <c r="L4" s="162"/>
      <c r="M4" s="162"/>
      <c r="N4" s="162"/>
      <c r="O4" s="162"/>
      <c r="P4" s="162"/>
      <c r="Q4" s="162"/>
    </row>
    <row r="5" spans="1:17" s="127" customFormat="1" ht="25.5" customHeight="1" x14ac:dyDescent="0.3">
      <c r="A5" s="9"/>
      <c r="B5" s="126" t="s">
        <v>7</v>
      </c>
      <c r="C5" s="125">
        <v>2123</v>
      </c>
      <c r="D5" s="125">
        <v>372</v>
      </c>
      <c r="E5" s="125">
        <v>56</v>
      </c>
      <c r="F5" s="125">
        <v>1</v>
      </c>
      <c r="H5" s="162"/>
      <c r="I5" s="162"/>
      <c r="J5" s="162"/>
      <c r="K5" s="162"/>
      <c r="L5" s="162"/>
      <c r="M5" s="162"/>
      <c r="N5" s="162"/>
      <c r="O5" s="162"/>
      <c r="P5" s="162"/>
      <c r="Q5" s="162"/>
    </row>
    <row r="6" spans="1:17" ht="12.75" customHeight="1" x14ac:dyDescent="0.3">
      <c r="A6" s="12">
        <v>51</v>
      </c>
      <c r="B6" s="128" t="s">
        <v>8</v>
      </c>
      <c r="C6" s="163">
        <v>80</v>
      </c>
      <c r="D6" s="163">
        <v>12</v>
      </c>
      <c r="E6" s="163">
        <v>2</v>
      </c>
      <c r="F6" s="163">
        <v>0</v>
      </c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1:17" ht="12.75" customHeight="1" x14ac:dyDescent="0.3">
      <c r="A7" s="12">
        <v>52</v>
      </c>
      <c r="B7" s="128" t="s">
        <v>9</v>
      </c>
      <c r="C7" s="163">
        <v>63</v>
      </c>
      <c r="D7" s="163">
        <v>10</v>
      </c>
      <c r="E7" s="163">
        <v>1</v>
      </c>
      <c r="F7" s="163">
        <v>0</v>
      </c>
      <c r="H7" s="162"/>
      <c r="I7" s="162"/>
      <c r="J7" s="162"/>
      <c r="K7" s="162"/>
      <c r="L7" s="162"/>
      <c r="M7" s="162"/>
      <c r="N7" s="162"/>
      <c r="O7" s="162"/>
      <c r="P7" s="162"/>
      <c r="Q7" s="162"/>
    </row>
    <row r="8" spans="1:17" x14ac:dyDescent="0.3">
      <c r="A8" s="12">
        <v>86</v>
      </c>
      <c r="B8" s="128" t="s">
        <v>10</v>
      </c>
      <c r="C8" s="163">
        <v>67</v>
      </c>
      <c r="D8" s="163">
        <v>12</v>
      </c>
      <c r="E8" s="163">
        <v>1</v>
      </c>
      <c r="F8" s="163"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</row>
    <row r="9" spans="1:17" ht="12.75" customHeight="1" x14ac:dyDescent="0.3">
      <c r="A9" s="12">
        <v>53</v>
      </c>
      <c r="B9" s="128" t="s">
        <v>11</v>
      </c>
      <c r="C9" s="163">
        <v>24</v>
      </c>
      <c r="D9" s="163">
        <v>7</v>
      </c>
      <c r="E9" s="163">
        <v>0</v>
      </c>
      <c r="F9" s="163">
        <v>0</v>
      </c>
      <c r="H9" s="162"/>
      <c r="I9" s="162"/>
      <c r="J9" s="162"/>
      <c r="K9" s="162"/>
      <c r="L9" s="162"/>
      <c r="M9" s="162"/>
      <c r="N9" s="162"/>
      <c r="O9" s="162"/>
      <c r="P9" s="162"/>
      <c r="Q9" s="162"/>
    </row>
    <row r="10" spans="1:17" ht="12.75" customHeight="1" x14ac:dyDescent="0.3">
      <c r="A10" s="12">
        <v>54</v>
      </c>
      <c r="B10" s="128" t="s">
        <v>12</v>
      </c>
      <c r="C10" s="163">
        <v>96</v>
      </c>
      <c r="D10" s="163">
        <v>0</v>
      </c>
      <c r="E10" s="163">
        <v>9</v>
      </c>
      <c r="F10" s="163">
        <v>0</v>
      </c>
      <c r="H10" s="162"/>
      <c r="I10" s="162"/>
      <c r="J10" s="162"/>
      <c r="K10" s="162"/>
      <c r="L10" s="162"/>
      <c r="M10" s="162"/>
      <c r="N10" s="162"/>
      <c r="O10" s="162"/>
      <c r="P10" s="162"/>
      <c r="Q10" s="162"/>
    </row>
    <row r="11" spans="1:17" ht="12.75" customHeight="1" x14ac:dyDescent="0.3">
      <c r="A11" s="12">
        <v>55</v>
      </c>
      <c r="B11" s="128" t="s">
        <v>13</v>
      </c>
      <c r="C11" s="163">
        <v>25</v>
      </c>
      <c r="D11" s="163">
        <v>5</v>
      </c>
      <c r="E11" s="163">
        <v>0</v>
      </c>
      <c r="F11" s="163">
        <v>0</v>
      </c>
      <c r="H11" s="162"/>
      <c r="I11" s="162"/>
      <c r="J11" s="162"/>
      <c r="K11" s="162"/>
      <c r="L11" s="162"/>
      <c r="M11" s="162"/>
      <c r="N11" s="162"/>
      <c r="O11" s="162"/>
      <c r="P11" s="162"/>
      <c r="Q11" s="162"/>
    </row>
    <row r="12" spans="1:17" ht="12.75" customHeight="1" x14ac:dyDescent="0.3">
      <c r="A12" s="12">
        <v>56</v>
      </c>
      <c r="B12" s="128" t="s">
        <v>14</v>
      </c>
      <c r="C12" s="163">
        <v>13</v>
      </c>
      <c r="D12" s="163">
        <v>2</v>
      </c>
      <c r="E12" s="163">
        <v>0</v>
      </c>
      <c r="F12" s="163">
        <v>0</v>
      </c>
      <c r="H12" s="162"/>
      <c r="I12" s="162"/>
      <c r="J12" s="162"/>
      <c r="K12" s="162"/>
      <c r="L12" s="162"/>
      <c r="M12" s="162"/>
      <c r="N12" s="162"/>
      <c r="O12" s="162"/>
      <c r="P12" s="162"/>
      <c r="Q12" s="162"/>
    </row>
    <row r="13" spans="1:17" ht="12.75" customHeight="1" x14ac:dyDescent="0.3">
      <c r="A13" s="12">
        <v>57</v>
      </c>
      <c r="B13" s="128" t="s">
        <v>15</v>
      </c>
      <c r="C13" s="163">
        <v>49</v>
      </c>
      <c r="D13" s="163">
        <v>13</v>
      </c>
      <c r="E13" s="163">
        <v>13</v>
      </c>
      <c r="F13" s="163">
        <v>0</v>
      </c>
      <c r="H13" s="162"/>
      <c r="I13" s="162"/>
      <c r="J13" s="162"/>
      <c r="K13" s="162"/>
      <c r="L13" s="162"/>
      <c r="M13" s="162"/>
      <c r="N13" s="162"/>
      <c r="O13" s="162"/>
      <c r="P13" s="162"/>
      <c r="Q13" s="162"/>
    </row>
    <row r="14" spans="1:17" ht="12.75" customHeight="1" x14ac:dyDescent="0.3">
      <c r="A14" s="12">
        <v>59</v>
      </c>
      <c r="B14" s="128" t="s">
        <v>16</v>
      </c>
      <c r="C14" s="163">
        <v>28</v>
      </c>
      <c r="D14" s="163">
        <v>12</v>
      </c>
      <c r="E14" s="163">
        <v>0</v>
      </c>
      <c r="F14" s="163">
        <v>0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2"/>
    </row>
    <row r="15" spans="1:17" ht="12.75" customHeight="1" x14ac:dyDescent="0.3">
      <c r="A15" s="12">
        <v>60</v>
      </c>
      <c r="B15" s="128" t="s">
        <v>17</v>
      </c>
      <c r="C15" s="163">
        <v>36</v>
      </c>
      <c r="D15" s="163">
        <v>4</v>
      </c>
      <c r="E15" s="163">
        <v>0</v>
      </c>
      <c r="F15" s="163">
        <v>0</v>
      </c>
      <c r="H15" s="162"/>
      <c r="I15" s="162"/>
      <c r="J15" s="162"/>
      <c r="K15" s="162"/>
      <c r="L15" s="162"/>
      <c r="M15" s="162"/>
      <c r="N15" s="162"/>
      <c r="O15" s="162"/>
      <c r="P15" s="162"/>
      <c r="Q15" s="162"/>
    </row>
    <row r="16" spans="1:17" ht="12.75" customHeight="1" x14ac:dyDescent="0.3">
      <c r="A16" s="12">
        <v>61</v>
      </c>
      <c r="B16" s="130" t="s">
        <v>18</v>
      </c>
      <c r="C16" s="163">
        <v>91</v>
      </c>
      <c r="D16" s="163">
        <v>26</v>
      </c>
      <c r="E16" s="163">
        <v>1</v>
      </c>
      <c r="F16" s="163">
        <v>0</v>
      </c>
      <c r="H16" s="162"/>
      <c r="I16" s="162"/>
      <c r="J16" s="162"/>
      <c r="K16" s="162"/>
      <c r="L16" s="162"/>
      <c r="M16" s="162"/>
      <c r="N16" s="162"/>
      <c r="O16" s="162"/>
      <c r="P16" s="162"/>
      <c r="Q16" s="162"/>
    </row>
    <row r="17" spans="1:17" s="181" customFormat="1" ht="12.75" customHeight="1" x14ac:dyDescent="0.3">
      <c r="A17" s="12"/>
      <c r="B17" s="130" t="s">
        <v>122</v>
      </c>
      <c r="C17" s="163">
        <v>127</v>
      </c>
      <c r="D17" s="163">
        <v>18</v>
      </c>
      <c r="E17" s="163">
        <v>2</v>
      </c>
      <c r="F17" s="163">
        <v>0</v>
      </c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7" ht="12.75" customHeight="1" x14ac:dyDescent="0.3">
      <c r="A18" s="12">
        <v>58</v>
      </c>
      <c r="B18" s="128" t="s">
        <v>20</v>
      </c>
      <c r="C18" s="163">
        <v>25</v>
      </c>
      <c r="D18" s="163">
        <v>5</v>
      </c>
      <c r="E18" s="163">
        <v>0</v>
      </c>
      <c r="F18" s="163">
        <v>0</v>
      </c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12.75" customHeight="1" x14ac:dyDescent="0.3">
      <c r="A19" s="12">
        <v>63</v>
      </c>
      <c r="B19" s="128" t="s">
        <v>21</v>
      </c>
      <c r="C19" s="163">
        <v>98</v>
      </c>
      <c r="D19" s="163">
        <v>13</v>
      </c>
      <c r="E19" s="163">
        <v>1</v>
      </c>
      <c r="F19" s="163">
        <v>0</v>
      </c>
      <c r="H19" s="162"/>
      <c r="I19" s="162"/>
      <c r="J19" s="162"/>
      <c r="K19" s="162"/>
      <c r="L19" s="162"/>
      <c r="M19" s="162"/>
      <c r="N19" s="162"/>
      <c r="O19" s="162"/>
      <c r="P19" s="162"/>
      <c r="Q19" s="162"/>
    </row>
    <row r="20" spans="1:17" ht="12.75" customHeight="1" x14ac:dyDescent="0.3">
      <c r="A20" s="12">
        <v>64</v>
      </c>
      <c r="B20" s="128" t="s">
        <v>22</v>
      </c>
      <c r="C20" s="163">
        <v>118</v>
      </c>
      <c r="D20" s="163">
        <v>25</v>
      </c>
      <c r="E20" s="163">
        <v>5</v>
      </c>
      <c r="F20" s="163">
        <v>0</v>
      </c>
      <c r="H20" s="162"/>
      <c r="I20" s="162"/>
      <c r="J20" s="162"/>
      <c r="K20" s="162"/>
      <c r="L20" s="162"/>
      <c r="M20" s="162"/>
      <c r="N20" s="162"/>
      <c r="O20" s="162"/>
      <c r="P20" s="162"/>
      <c r="Q20" s="162"/>
    </row>
    <row r="21" spans="1:17" x14ac:dyDescent="0.3">
      <c r="A21" s="12">
        <v>65</v>
      </c>
      <c r="B21" s="128" t="s">
        <v>23</v>
      </c>
      <c r="C21" s="163">
        <v>55</v>
      </c>
      <c r="D21" s="163">
        <v>10</v>
      </c>
      <c r="E21" s="163">
        <v>0</v>
      </c>
      <c r="F21" s="163">
        <v>0</v>
      </c>
      <c r="H21" s="162"/>
      <c r="I21" s="162"/>
      <c r="J21" s="162"/>
      <c r="K21" s="162"/>
      <c r="L21" s="162"/>
      <c r="M21" s="162"/>
      <c r="N21" s="162"/>
      <c r="O21" s="162"/>
      <c r="P21" s="162"/>
      <c r="Q21" s="162"/>
    </row>
    <row r="22" spans="1:17" ht="12.75" customHeight="1" x14ac:dyDescent="0.3">
      <c r="A22" s="12">
        <v>67</v>
      </c>
      <c r="B22" s="128" t="s">
        <v>24</v>
      </c>
      <c r="C22" s="163">
        <v>55</v>
      </c>
      <c r="D22" s="163">
        <v>10</v>
      </c>
      <c r="E22" s="163">
        <v>5</v>
      </c>
      <c r="F22" s="163">
        <v>0</v>
      </c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1:17" x14ac:dyDescent="0.3">
      <c r="A23" s="12">
        <v>68</v>
      </c>
      <c r="B23" s="128" t="s">
        <v>25</v>
      </c>
      <c r="C23" s="163">
        <v>69</v>
      </c>
      <c r="D23" s="163">
        <v>4</v>
      </c>
      <c r="E23" s="163">
        <v>0</v>
      </c>
      <c r="F23" s="163">
        <v>0</v>
      </c>
      <c r="H23" s="162"/>
      <c r="I23" s="162"/>
      <c r="J23" s="162"/>
      <c r="K23" s="162"/>
      <c r="L23" s="162"/>
      <c r="M23" s="162"/>
      <c r="N23" s="162"/>
      <c r="O23" s="162"/>
      <c r="P23" s="162"/>
      <c r="Q23" s="162"/>
    </row>
    <row r="24" spans="1:17" x14ac:dyDescent="0.3">
      <c r="A24" s="12">
        <v>69</v>
      </c>
      <c r="B24" s="128" t="s">
        <v>26</v>
      </c>
      <c r="C24" s="163">
        <v>40</v>
      </c>
      <c r="D24" s="163">
        <v>12</v>
      </c>
      <c r="E24" s="163">
        <v>0</v>
      </c>
      <c r="F24" s="163">
        <v>0</v>
      </c>
      <c r="H24" s="162"/>
      <c r="I24" s="162"/>
      <c r="J24" s="162"/>
      <c r="K24" s="162"/>
      <c r="L24" s="162"/>
      <c r="M24" s="162"/>
      <c r="N24" s="162"/>
      <c r="O24" s="162"/>
      <c r="P24" s="162"/>
      <c r="Q24" s="162"/>
    </row>
    <row r="25" spans="1:17" x14ac:dyDescent="0.3">
      <c r="A25" s="12">
        <v>70</v>
      </c>
      <c r="B25" s="128" t="s">
        <v>27</v>
      </c>
      <c r="C25" s="163">
        <v>85</v>
      </c>
      <c r="D25" s="163">
        <v>10</v>
      </c>
      <c r="E25" s="163">
        <v>5</v>
      </c>
      <c r="F25" s="163">
        <v>0</v>
      </c>
      <c r="H25" s="162"/>
      <c r="I25" s="162"/>
      <c r="J25" s="162"/>
      <c r="K25" s="162"/>
      <c r="L25" s="162"/>
      <c r="M25" s="162"/>
      <c r="N25" s="162"/>
      <c r="O25" s="162"/>
      <c r="P25" s="162"/>
      <c r="Q25" s="162"/>
    </row>
    <row r="26" spans="1:17" x14ac:dyDescent="0.3">
      <c r="A26" s="12">
        <v>71</v>
      </c>
      <c r="B26" s="131" t="s">
        <v>28</v>
      </c>
      <c r="C26" s="163">
        <v>19</v>
      </c>
      <c r="D26" s="163">
        <v>9</v>
      </c>
      <c r="E26" s="163">
        <v>0</v>
      </c>
      <c r="F26" s="163">
        <v>0</v>
      </c>
      <c r="H26" s="162"/>
      <c r="I26" s="162"/>
      <c r="J26" s="162"/>
      <c r="K26" s="162"/>
      <c r="L26" s="162"/>
      <c r="M26" s="162"/>
      <c r="N26" s="162"/>
      <c r="O26" s="162"/>
      <c r="P26" s="162"/>
      <c r="Q26" s="162"/>
    </row>
    <row r="27" spans="1:17" x14ac:dyDescent="0.3">
      <c r="A27" s="12">
        <v>73</v>
      </c>
      <c r="B27" s="128" t="s">
        <v>29</v>
      </c>
      <c r="C27" s="132">
        <v>70</v>
      </c>
      <c r="D27" s="132">
        <v>9</v>
      </c>
      <c r="E27" s="132">
        <v>0</v>
      </c>
      <c r="F27" s="132">
        <v>0</v>
      </c>
      <c r="H27" s="162"/>
      <c r="I27" s="162"/>
      <c r="J27" s="162"/>
      <c r="K27" s="162"/>
      <c r="L27" s="162"/>
      <c r="M27" s="162"/>
      <c r="N27" s="162"/>
      <c r="O27" s="162"/>
      <c r="P27" s="162"/>
      <c r="Q27" s="162"/>
    </row>
    <row r="28" spans="1:17" x14ac:dyDescent="0.3">
      <c r="A28" s="12">
        <v>74</v>
      </c>
      <c r="B28" s="128" t="s">
        <v>30</v>
      </c>
      <c r="C28" s="163">
        <v>55</v>
      </c>
      <c r="D28" s="163">
        <v>8</v>
      </c>
      <c r="E28" s="163">
        <v>3</v>
      </c>
      <c r="F28" s="163"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</row>
    <row r="29" spans="1:17" x14ac:dyDescent="0.3">
      <c r="A29" s="12">
        <v>75</v>
      </c>
      <c r="B29" s="128" t="s">
        <v>31</v>
      </c>
      <c r="C29" s="163">
        <v>52</v>
      </c>
      <c r="D29" s="163">
        <v>12</v>
      </c>
      <c r="E29" s="163">
        <v>2</v>
      </c>
      <c r="F29" s="163"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</row>
    <row r="30" spans="1:17" x14ac:dyDescent="0.3">
      <c r="A30" s="12">
        <v>76</v>
      </c>
      <c r="B30" s="128" t="s">
        <v>32</v>
      </c>
      <c r="C30" s="163">
        <v>27</v>
      </c>
      <c r="D30" s="163">
        <v>7</v>
      </c>
      <c r="E30" s="163">
        <v>2</v>
      </c>
      <c r="F30" s="163">
        <v>0</v>
      </c>
      <c r="H30" s="162"/>
      <c r="I30" s="162"/>
      <c r="J30" s="162"/>
      <c r="K30" s="162"/>
      <c r="L30" s="162"/>
      <c r="M30" s="162"/>
      <c r="N30" s="162"/>
      <c r="O30" s="162"/>
      <c r="P30" s="162"/>
      <c r="Q30" s="162"/>
    </row>
    <row r="31" spans="1:17" x14ac:dyDescent="0.3">
      <c r="A31" s="12">
        <v>79</v>
      </c>
      <c r="B31" s="128" t="s">
        <v>33</v>
      </c>
      <c r="C31" s="163">
        <v>80</v>
      </c>
      <c r="D31" s="163">
        <v>16</v>
      </c>
      <c r="E31" s="163">
        <v>1</v>
      </c>
      <c r="F31" s="163"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</row>
    <row r="32" spans="1:17" x14ac:dyDescent="0.3">
      <c r="A32" s="12">
        <v>80</v>
      </c>
      <c r="B32" s="128" t="s">
        <v>34</v>
      </c>
      <c r="C32" s="163">
        <v>63</v>
      </c>
      <c r="D32" s="163">
        <v>5</v>
      </c>
      <c r="E32" s="163">
        <v>0</v>
      </c>
      <c r="F32" s="163">
        <v>0</v>
      </c>
      <c r="H32" s="162"/>
      <c r="I32" s="162"/>
      <c r="J32" s="162"/>
      <c r="K32" s="162"/>
      <c r="L32" s="162"/>
      <c r="M32" s="162"/>
      <c r="N32" s="162"/>
      <c r="O32" s="162"/>
      <c r="P32" s="162"/>
      <c r="Q32" s="162"/>
    </row>
    <row r="33" spans="1:17" x14ac:dyDescent="0.3">
      <c r="A33" s="12">
        <v>81</v>
      </c>
      <c r="B33" s="128" t="s">
        <v>35</v>
      </c>
      <c r="C33" s="163">
        <v>45</v>
      </c>
      <c r="D33" s="163">
        <v>11</v>
      </c>
      <c r="E33" s="163">
        <v>1</v>
      </c>
      <c r="F33" s="163"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</row>
    <row r="34" spans="1:17" x14ac:dyDescent="0.3">
      <c r="A34" s="12">
        <v>83</v>
      </c>
      <c r="B34" s="128" t="s">
        <v>36</v>
      </c>
      <c r="C34" s="163">
        <v>40</v>
      </c>
      <c r="D34" s="163">
        <v>12</v>
      </c>
      <c r="E34" s="163">
        <v>0</v>
      </c>
      <c r="F34" s="163"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</row>
    <row r="35" spans="1:17" x14ac:dyDescent="0.3">
      <c r="A35" s="12">
        <v>84</v>
      </c>
      <c r="B35" s="128" t="s">
        <v>37</v>
      </c>
      <c r="C35" s="163">
        <v>44</v>
      </c>
      <c r="D35" s="163">
        <v>13</v>
      </c>
      <c r="E35" s="163">
        <v>1</v>
      </c>
      <c r="F35" s="163"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</row>
    <row r="36" spans="1:17" x14ac:dyDescent="0.3">
      <c r="A36" s="12">
        <v>85</v>
      </c>
      <c r="B36" s="128" t="s">
        <v>38</v>
      </c>
      <c r="C36" s="163">
        <v>64</v>
      </c>
      <c r="D36" s="163">
        <v>6</v>
      </c>
      <c r="E36" s="163">
        <v>1</v>
      </c>
      <c r="F36" s="163"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</row>
    <row r="37" spans="1:17" x14ac:dyDescent="0.3">
      <c r="A37" s="12">
        <v>87</v>
      </c>
      <c r="B37" s="128" t="s">
        <v>39</v>
      </c>
      <c r="C37" s="163">
        <v>28</v>
      </c>
      <c r="D37" s="163">
        <v>4</v>
      </c>
      <c r="E37" s="163">
        <v>0</v>
      </c>
      <c r="F37" s="163">
        <v>0</v>
      </c>
      <c r="H37" s="162"/>
      <c r="I37" s="162"/>
      <c r="J37" s="162"/>
      <c r="K37" s="162"/>
      <c r="L37" s="162"/>
      <c r="M37" s="162"/>
      <c r="N37" s="162"/>
      <c r="O37" s="162"/>
      <c r="P37" s="162"/>
      <c r="Q37" s="162"/>
    </row>
    <row r="38" spans="1:17" x14ac:dyDescent="0.3">
      <c r="A38" s="12">
        <v>90</v>
      </c>
      <c r="B38" s="128" t="s">
        <v>40</v>
      </c>
      <c r="C38" s="163">
        <v>87</v>
      </c>
      <c r="D38" s="163">
        <v>15</v>
      </c>
      <c r="E38" s="163">
        <v>0</v>
      </c>
      <c r="F38" s="163"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</row>
    <row r="39" spans="1:17" x14ac:dyDescent="0.3">
      <c r="A39" s="12">
        <v>91</v>
      </c>
      <c r="B39" s="128" t="s">
        <v>41</v>
      </c>
      <c r="C39" s="163">
        <v>56</v>
      </c>
      <c r="D39" s="163">
        <v>3</v>
      </c>
      <c r="E39" s="163">
        <v>0</v>
      </c>
      <c r="F39" s="163">
        <v>1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</row>
    <row r="40" spans="1:17" x14ac:dyDescent="0.3">
      <c r="A40" s="12">
        <v>92</v>
      </c>
      <c r="B40" s="128" t="s">
        <v>42</v>
      </c>
      <c r="C40" s="163">
        <v>64</v>
      </c>
      <c r="D40" s="163">
        <v>16</v>
      </c>
      <c r="E40" s="163">
        <v>0</v>
      </c>
      <c r="F40" s="163">
        <v>0</v>
      </c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1:17" x14ac:dyDescent="0.3">
      <c r="A41" s="12">
        <v>94</v>
      </c>
      <c r="B41" s="128" t="s">
        <v>43</v>
      </c>
      <c r="C41" s="163">
        <v>43</v>
      </c>
      <c r="D41" s="163">
        <v>11</v>
      </c>
      <c r="E41" s="163">
        <v>0</v>
      </c>
      <c r="F41" s="163">
        <v>0</v>
      </c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1:17" x14ac:dyDescent="0.3">
      <c r="A42" s="12">
        <v>96</v>
      </c>
      <c r="B42" s="128" t="s">
        <v>44</v>
      </c>
      <c r="C42" s="163">
        <v>42</v>
      </c>
      <c r="D42" s="163">
        <v>5</v>
      </c>
      <c r="E42" s="163">
        <v>0</v>
      </c>
      <c r="F42" s="163"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</row>
    <row r="43" spans="1:17" x14ac:dyDescent="0.3">
      <c r="A43" s="12">
        <v>72</v>
      </c>
      <c r="B43" s="131" t="s">
        <v>46</v>
      </c>
      <c r="C43" s="163">
        <v>0</v>
      </c>
      <c r="D43" s="163">
        <v>0</v>
      </c>
      <c r="E43" s="163">
        <v>0</v>
      </c>
      <c r="F43" s="163"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</row>
    <row r="44" spans="1:17" s="127" customFormat="1" ht="25.5" customHeight="1" x14ac:dyDescent="0.3">
      <c r="B44" s="124" t="s">
        <v>47</v>
      </c>
      <c r="C44" s="125">
        <v>1105</v>
      </c>
      <c r="D44" s="125">
        <v>149</v>
      </c>
      <c r="E44" s="125">
        <v>18</v>
      </c>
      <c r="F44" s="125">
        <v>0</v>
      </c>
      <c r="H44" s="162"/>
      <c r="I44" s="162"/>
      <c r="J44" s="162"/>
      <c r="K44" s="162"/>
      <c r="L44" s="162"/>
      <c r="M44" s="162"/>
      <c r="N44" s="162"/>
      <c r="O44" s="162"/>
      <c r="P44" s="162"/>
      <c r="Q44" s="162"/>
    </row>
    <row r="45" spans="1:17" ht="12.75" customHeight="1" x14ac:dyDescent="0.3">
      <c r="A45" s="12">
        <v>66</v>
      </c>
      <c r="B45" s="134" t="s">
        <v>48</v>
      </c>
      <c r="C45" s="163">
        <v>87</v>
      </c>
      <c r="D45" s="163">
        <v>21</v>
      </c>
      <c r="E45" s="163">
        <v>1</v>
      </c>
      <c r="F45" s="163"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</row>
    <row r="46" spans="1:17" ht="12.75" customHeight="1" x14ac:dyDescent="0.3">
      <c r="A46" s="12">
        <v>78</v>
      </c>
      <c r="B46" s="128" t="s">
        <v>49</v>
      </c>
      <c r="C46" s="163">
        <v>33</v>
      </c>
      <c r="D46" s="163">
        <v>6</v>
      </c>
      <c r="E46" s="163">
        <v>4</v>
      </c>
      <c r="F46" s="163">
        <v>0</v>
      </c>
      <c r="H46" s="162"/>
      <c r="I46" s="162"/>
      <c r="J46" s="162"/>
      <c r="K46" s="162"/>
      <c r="L46" s="162"/>
      <c r="M46" s="162"/>
      <c r="N46" s="162"/>
      <c r="O46" s="162"/>
      <c r="P46" s="162"/>
      <c r="Q46" s="162"/>
    </row>
    <row r="47" spans="1:17" ht="12.75" customHeight="1" x14ac:dyDescent="0.3">
      <c r="A47" s="12">
        <v>89</v>
      </c>
      <c r="B47" s="128" t="s">
        <v>50</v>
      </c>
      <c r="C47" s="163">
        <v>90</v>
      </c>
      <c r="D47" s="163">
        <v>7</v>
      </c>
      <c r="E47" s="163">
        <v>0</v>
      </c>
      <c r="F47" s="163">
        <v>0</v>
      </c>
      <c r="H47" s="162"/>
      <c r="I47" s="162"/>
      <c r="J47" s="162"/>
      <c r="K47" s="162"/>
      <c r="L47" s="162"/>
      <c r="M47" s="162"/>
      <c r="N47" s="162"/>
      <c r="O47" s="162"/>
      <c r="P47" s="162"/>
      <c r="Q47" s="162"/>
    </row>
    <row r="48" spans="1:17" ht="12.75" customHeight="1" x14ac:dyDescent="0.3">
      <c r="A48" s="12">
        <v>93</v>
      </c>
      <c r="B48" s="128" t="s">
        <v>51</v>
      </c>
      <c r="C48" s="163">
        <v>37</v>
      </c>
      <c r="D48" s="163">
        <v>3</v>
      </c>
      <c r="E48" s="163">
        <v>1</v>
      </c>
      <c r="F48" s="163">
        <v>0</v>
      </c>
      <c r="H48" s="162"/>
      <c r="I48" s="162"/>
      <c r="J48" s="162"/>
      <c r="K48" s="162"/>
      <c r="L48" s="162"/>
      <c r="M48" s="162"/>
      <c r="N48" s="162"/>
      <c r="O48" s="162"/>
      <c r="P48" s="162"/>
      <c r="Q48" s="162"/>
    </row>
    <row r="49" spans="1:17" ht="12.75" customHeight="1" x14ac:dyDescent="0.3">
      <c r="A49" s="12">
        <v>95</v>
      </c>
      <c r="B49" s="128" t="s">
        <v>52</v>
      </c>
      <c r="C49" s="163">
        <v>82</v>
      </c>
      <c r="D49" s="163">
        <v>10</v>
      </c>
      <c r="E49" s="163">
        <v>3</v>
      </c>
      <c r="F49" s="163">
        <v>0</v>
      </c>
      <c r="H49" s="162"/>
      <c r="I49" s="162"/>
      <c r="J49" s="162"/>
      <c r="K49" s="162"/>
      <c r="L49" s="162"/>
      <c r="M49" s="162"/>
      <c r="N49" s="162"/>
      <c r="O49" s="162"/>
      <c r="P49" s="162"/>
      <c r="Q49" s="162"/>
    </row>
    <row r="50" spans="1:17" ht="12.75" customHeight="1" x14ac:dyDescent="0.3">
      <c r="A50" s="12">
        <v>97</v>
      </c>
      <c r="B50" s="128" t="s">
        <v>53</v>
      </c>
      <c r="C50" s="163">
        <v>97</v>
      </c>
      <c r="D50" s="163">
        <v>11</v>
      </c>
      <c r="E50" s="163">
        <v>1</v>
      </c>
      <c r="F50" s="163"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</row>
    <row r="51" spans="1:17" ht="12.75" customHeight="1" x14ac:dyDescent="0.3">
      <c r="A51" s="12">
        <v>77</v>
      </c>
      <c r="B51" s="135" t="s">
        <v>54</v>
      </c>
      <c r="C51" s="164">
        <v>679</v>
      </c>
      <c r="D51" s="164">
        <v>91</v>
      </c>
      <c r="E51" s="164">
        <v>8</v>
      </c>
      <c r="F51" s="164"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</row>
    <row r="53" spans="1:17" ht="12.75" customHeight="1" x14ac:dyDescent="0.3">
      <c r="B53" s="12" t="s">
        <v>55</v>
      </c>
      <c r="C53" s="137"/>
    </row>
    <row r="54" spans="1:17" ht="12.75" customHeight="1" x14ac:dyDescent="0.3">
      <c r="B54" s="291" t="s">
        <v>56</v>
      </c>
      <c r="C54" s="292"/>
      <c r="D54" s="292"/>
      <c r="E54" s="292"/>
      <c r="F54" s="292"/>
    </row>
    <row r="55" spans="1:17" ht="12.75" customHeight="1" x14ac:dyDescent="0.3">
      <c r="B55" s="292"/>
      <c r="C55" s="292"/>
      <c r="D55" s="292"/>
      <c r="E55" s="292"/>
      <c r="F55" s="292"/>
    </row>
    <row r="56" spans="1:17" ht="12.75" customHeight="1" x14ac:dyDescent="0.3">
      <c r="B56" s="292"/>
      <c r="C56" s="292"/>
      <c r="D56" s="292"/>
      <c r="E56" s="292"/>
      <c r="F56" s="292"/>
    </row>
    <row r="57" spans="1:17" ht="12.75" customHeight="1" x14ac:dyDescent="0.3">
      <c r="B57" s="292"/>
      <c r="C57" s="292"/>
      <c r="D57" s="292"/>
      <c r="E57" s="292"/>
      <c r="F57" s="292"/>
    </row>
    <row r="58" spans="1:17" ht="12.75" customHeight="1" x14ac:dyDescent="0.3">
      <c r="B58" s="292"/>
      <c r="C58" s="292"/>
      <c r="D58" s="292"/>
      <c r="E58" s="292"/>
      <c r="F58" s="292"/>
    </row>
    <row r="59" spans="1:17" ht="12.75" customHeight="1" x14ac:dyDescent="0.3">
      <c r="B59" s="292"/>
      <c r="C59" s="292"/>
      <c r="D59" s="292"/>
      <c r="E59" s="292"/>
      <c r="F59" s="292"/>
    </row>
    <row r="60" spans="1:17" ht="39" customHeight="1" x14ac:dyDescent="0.3">
      <c r="B60" s="292"/>
      <c r="C60" s="292"/>
      <c r="D60" s="292"/>
      <c r="E60" s="292"/>
      <c r="F60" s="292"/>
    </row>
    <row r="61" spans="1:17" ht="12.75" customHeight="1" x14ac:dyDescent="0.3">
      <c r="B61" s="23"/>
      <c r="C61" s="23"/>
      <c r="D61" s="23"/>
      <c r="E61" s="23"/>
      <c r="F61" s="23"/>
    </row>
    <row r="62" spans="1:17" ht="12.75" customHeight="1" x14ac:dyDescent="0.3">
      <c r="B62" s="138" t="s">
        <v>57</v>
      </c>
      <c r="C62" s="139"/>
      <c r="D62" s="139"/>
      <c r="E62" s="139"/>
    </row>
    <row r="63" spans="1:17" x14ac:dyDescent="0.3">
      <c r="B63" s="140"/>
      <c r="C63" s="165"/>
      <c r="D63" s="165"/>
      <c r="E63" s="165"/>
    </row>
    <row r="64" spans="1:17" ht="15.5" x14ac:dyDescent="0.3">
      <c r="C64" s="166"/>
      <c r="D64" s="167"/>
      <c r="E64" s="167"/>
    </row>
    <row r="65" spans="2:5" ht="15.5" x14ac:dyDescent="0.3">
      <c r="B65" s="141"/>
      <c r="C65" s="166"/>
      <c r="D65" s="167"/>
      <c r="E65" s="167"/>
    </row>
    <row r="66" spans="2:5" x14ac:dyDescent="0.3">
      <c r="C66" s="139"/>
      <c r="D66" s="139"/>
      <c r="E66" s="139"/>
    </row>
  </sheetData>
  <mergeCells count="7">
    <mergeCell ref="H2:H3"/>
    <mergeCell ref="I2:J2"/>
    <mergeCell ref="B54:F60"/>
    <mergeCell ref="B1:F1"/>
    <mergeCell ref="B2:B3"/>
    <mergeCell ref="C2:C3"/>
    <mergeCell ref="D2:E2"/>
  </mergeCells>
  <conditionalFormatting sqref="H4:Q51">
    <cfRule type="cellIs" dxfId="7" priority="1" stopIfTrue="1" operator="lessThan">
      <formula>-0.5</formula>
    </cfRule>
    <cfRule type="cellIs" dxfId="6" priority="2" stopIfTrue="1" operator="greaterThan">
      <formula>0.5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indexed="22"/>
  </sheetPr>
  <dimension ref="A1:U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ColWidth="0" defaultRowHeight="12.5" x14ac:dyDescent="0.3"/>
  <cols>
    <col min="1" max="1" width="4.7265625" style="1" hidden="1" customWidth="1"/>
    <col min="2" max="2" width="24.7265625" style="122" customWidth="1"/>
    <col min="3" max="3" width="11" style="122" customWidth="1"/>
    <col min="4" max="4" width="11.7265625" style="122" customWidth="1"/>
    <col min="5" max="10" width="11" style="122" customWidth="1"/>
    <col min="11" max="11" width="9.26953125" style="122" customWidth="1"/>
    <col min="12" max="256" width="0" style="122" hidden="1"/>
    <col min="257" max="257" width="0" style="122" hidden="1" customWidth="1"/>
    <col min="258" max="258" width="24.7265625" style="122" customWidth="1"/>
    <col min="259" max="259" width="11" style="122" customWidth="1"/>
    <col min="260" max="260" width="11.7265625" style="122" customWidth="1"/>
    <col min="261" max="266" width="11" style="122" customWidth="1"/>
    <col min="267" max="267" width="9.26953125" style="122" customWidth="1"/>
    <col min="268" max="512" width="0" style="122" hidden="1"/>
    <col min="513" max="513" width="0" style="122" hidden="1" customWidth="1"/>
    <col min="514" max="514" width="24.7265625" style="122" customWidth="1"/>
    <col min="515" max="515" width="11" style="122" customWidth="1"/>
    <col min="516" max="516" width="11.7265625" style="122" customWidth="1"/>
    <col min="517" max="522" width="11" style="122" customWidth="1"/>
    <col min="523" max="523" width="9.26953125" style="122" customWidth="1"/>
    <col min="524" max="768" width="0" style="122" hidden="1"/>
    <col min="769" max="769" width="0" style="122" hidden="1" customWidth="1"/>
    <col min="770" max="770" width="24.7265625" style="122" customWidth="1"/>
    <col min="771" max="771" width="11" style="122" customWidth="1"/>
    <col min="772" max="772" width="11.7265625" style="122" customWidth="1"/>
    <col min="773" max="778" width="11" style="122" customWidth="1"/>
    <col min="779" max="779" width="9.26953125" style="122" customWidth="1"/>
    <col min="780" max="1024" width="0" style="122" hidden="1"/>
    <col min="1025" max="1025" width="0" style="122" hidden="1" customWidth="1"/>
    <col min="1026" max="1026" width="24.7265625" style="122" customWidth="1"/>
    <col min="1027" max="1027" width="11" style="122" customWidth="1"/>
    <col min="1028" max="1028" width="11.7265625" style="122" customWidth="1"/>
    <col min="1029" max="1034" width="11" style="122" customWidth="1"/>
    <col min="1035" max="1035" width="9.26953125" style="122" customWidth="1"/>
    <col min="1036" max="1280" width="0" style="122" hidden="1"/>
    <col min="1281" max="1281" width="0" style="122" hidden="1" customWidth="1"/>
    <col min="1282" max="1282" width="24.7265625" style="122" customWidth="1"/>
    <col min="1283" max="1283" width="11" style="122" customWidth="1"/>
    <col min="1284" max="1284" width="11.7265625" style="122" customWidth="1"/>
    <col min="1285" max="1290" width="11" style="122" customWidth="1"/>
    <col min="1291" max="1291" width="9.26953125" style="122" customWidth="1"/>
    <col min="1292" max="1536" width="0" style="122" hidden="1"/>
    <col min="1537" max="1537" width="0" style="122" hidden="1" customWidth="1"/>
    <col min="1538" max="1538" width="24.7265625" style="122" customWidth="1"/>
    <col min="1539" max="1539" width="11" style="122" customWidth="1"/>
    <col min="1540" max="1540" width="11.7265625" style="122" customWidth="1"/>
    <col min="1541" max="1546" width="11" style="122" customWidth="1"/>
    <col min="1547" max="1547" width="9.26953125" style="122" customWidth="1"/>
    <col min="1548" max="1792" width="0" style="122" hidden="1"/>
    <col min="1793" max="1793" width="0" style="122" hidden="1" customWidth="1"/>
    <col min="1794" max="1794" width="24.7265625" style="122" customWidth="1"/>
    <col min="1795" max="1795" width="11" style="122" customWidth="1"/>
    <col min="1796" max="1796" width="11.7265625" style="122" customWidth="1"/>
    <col min="1797" max="1802" width="11" style="122" customWidth="1"/>
    <col min="1803" max="1803" width="9.26953125" style="122" customWidth="1"/>
    <col min="1804" max="2048" width="0" style="122" hidden="1"/>
    <col min="2049" max="2049" width="0" style="122" hidden="1" customWidth="1"/>
    <col min="2050" max="2050" width="24.7265625" style="122" customWidth="1"/>
    <col min="2051" max="2051" width="11" style="122" customWidth="1"/>
    <col min="2052" max="2052" width="11.7265625" style="122" customWidth="1"/>
    <col min="2053" max="2058" width="11" style="122" customWidth="1"/>
    <col min="2059" max="2059" width="9.26953125" style="122" customWidth="1"/>
    <col min="2060" max="2304" width="0" style="122" hidden="1"/>
    <col min="2305" max="2305" width="0" style="122" hidden="1" customWidth="1"/>
    <col min="2306" max="2306" width="24.7265625" style="122" customWidth="1"/>
    <col min="2307" max="2307" width="11" style="122" customWidth="1"/>
    <col min="2308" max="2308" width="11.7265625" style="122" customWidth="1"/>
    <col min="2309" max="2314" width="11" style="122" customWidth="1"/>
    <col min="2315" max="2315" width="9.26953125" style="122" customWidth="1"/>
    <col min="2316" max="2560" width="0" style="122" hidden="1"/>
    <col min="2561" max="2561" width="0" style="122" hidden="1" customWidth="1"/>
    <col min="2562" max="2562" width="24.7265625" style="122" customWidth="1"/>
    <col min="2563" max="2563" width="11" style="122" customWidth="1"/>
    <col min="2564" max="2564" width="11.7265625" style="122" customWidth="1"/>
    <col min="2565" max="2570" width="11" style="122" customWidth="1"/>
    <col min="2571" max="2571" width="9.26953125" style="122" customWidth="1"/>
    <col min="2572" max="2816" width="0" style="122" hidden="1"/>
    <col min="2817" max="2817" width="0" style="122" hidden="1" customWidth="1"/>
    <col min="2818" max="2818" width="24.7265625" style="122" customWidth="1"/>
    <col min="2819" max="2819" width="11" style="122" customWidth="1"/>
    <col min="2820" max="2820" width="11.7265625" style="122" customWidth="1"/>
    <col min="2821" max="2826" width="11" style="122" customWidth="1"/>
    <col min="2827" max="2827" width="9.26953125" style="122" customWidth="1"/>
    <col min="2828" max="3072" width="0" style="122" hidden="1"/>
    <col min="3073" max="3073" width="0" style="122" hidden="1" customWidth="1"/>
    <col min="3074" max="3074" width="24.7265625" style="122" customWidth="1"/>
    <col min="3075" max="3075" width="11" style="122" customWidth="1"/>
    <col min="3076" max="3076" width="11.7265625" style="122" customWidth="1"/>
    <col min="3077" max="3082" width="11" style="122" customWidth="1"/>
    <col min="3083" max="3083" width="9.26953125" style="122" customWidth="1"/>
    <col min="3084" max="3328" width="0" style="122" hidden="1"/>
    <col min="3329" max="3329" width="0" style="122" hidden="1" customWidth="1"/>
    <col min="3330" max="3330" width="24.7265625" style="122" customWidth="1"/>
    <col min="3331" max="3331" width="11" style="122" customWidth="1"/>
    <col min="3332" max="3332" width="11.7265625" style="122" customWidth="1"/>
    <col min="3333" max="3338" width="11" style="122" customWidth="1"/>
    <col min="3339" max="3339" width="9.26953125" style="122" customWidth="1"/>
    <col min="3340" max="3584" width="0" style="122" hidden="1"/>
    <col min="3585" max="3585" width="0" style="122" hidden="1" customWidth="1"/>
    <col min="3586" max="3586" width="24.7265625" style="122" customWidth="1"/>
    <col min="3587" max="3587" width="11" style="122" customWidth="1"/>
    <col min="3588" max="3588" width="11.7265625" style="122" customWidth="1"/>
    <col min="3589" max="3594" width="11" style="122" customWidth="1"/>
    <col min="3595" max="3595" width="9.26953125" style="122" customWidth="1"/>
    <col min="3596" max="3840" width="0" style="122" hidden="1"/>
    <col min="3841" max="3841" width="0" style="122" hidden="1" customWidth="1"/>
    <col min="3842" max="3842" width="24.7265625" style="122" customWidth="1"/>
    <col min="3843" max="3843" width="11" style="122" customWidth="1"/>
    <col min="3844" max="3844" width="11.7265625" style="122" customWidth="1"/>
    <col min="3845" max="3850" width="11" style="122" customWidth="1"/>
    <col min="3851" max="3851" width="9.26953125" style="122" customWidth="1"/>
    <col min="3852" max="4096" width="0" style="122" hidden="1"/>
    <col min="4097" max="4097" width="0" style="122" hidden="1" customWidth="1"/>
    <col min="4098" max="4098" width="24.7265625" style="122" customWidth="1"/>
    <col min="4099" max="4099" width="11" style="122" customWidth="1"/>
    <col min="4100" max="4100" width="11.7265625" style="122" customWidth="1"/>
    <col min="4101" max="4106" width="11" style="122" customWidth="1"/>
    <col min="4107" max="4107" width="9.26953125" style="122" customWidth="1"/>
    <col min="4108" max="4352" width="0" style="122" hidden="1"/>
    <col min="4353" max="4353" width="0" style="122" hidden="1" customWidth="1"/>
    <col min="4354" max="4354" width="24.7265625" style="122" customWidth="1"/>
    <col min="4355" max="4355" width="11" style="122" customWidth="1"/>
    <col min="4356" max="4356" width="11.7265625" style="122" customWidth="1"/>
    <col min="4357" max="4362" width="11" style="122" customWidth="1"/>
    <col min="4363" max="4363" width="9.26953125" style="122" customWidth="1"/>
    <col min="4364" max="4608" width="0" style="122" hidden="1"/>
    <col min="4609" max="4609" width="0" style="122" hidden="1" customWidth="1"/>
    <col min="4610" max="4610" width="24.7265625" style="122" customWidth="1"/>
    <col min="4611" max="4611" width="11" style="122" customWidth="1"/>
    <col min="4612" max="4612" width="11.7265625" style="122" customWidth="1"/>
    <col min="4613" max="4618" width="11" style="122" customWidth="1"/>
    <col min="4619" max="4619" width="9.26953125" style="122" customWidth="1"/>
    <col min="4620" max="4864" width="0" style="122" hidden="1"/>
    <col min="4865" max="4865" width="0" style="122" hidden="1" customWidth="1"/>
    <col min="4866" max="4866" width="24.7265625" style="122" customWidth="1"/>
    <col min="4867" max="4867" width="11" style="122" customWidth="1"/>
    <col min="4868" max="4868" width="11.7265625" style="122" customWidth="1"/>
    <col min="4869" max="4874" width="11" style="122" customWidth="1"/>
    <col min="4875" max="4875" width="9.26953125" style="122" customWidth="1"/>
    <col min="4876" max="5120" width="0" style="122" hidden="1"/>
    <col min="5121" max="5121" width="0" style="122" hidden="1" customWidth="1"/>
    <col min="5122" max="5122" width="24.7265625" style="122" customWidth="1"/>
    <col min="5123" max="5123" width="11" style="122" customWidth="1"/>
    <col min="5124" max="5124" width="11.7265625" style="122" customWidth="1"/>
    <col min="5125" max="5130" width="11" style="122" customWidth="1"/>
    <col min="5131" max="5131" width="9.26953125" style="122" customWidth="1"/>
    <col min="5132" max="5376" width="0" style="122" hidden="1"/>
    <col min="5377" max="5377" width="0" style="122" hidden="1" customWidth="1"/>
    <col min="5378" max="5378" width="24.7265625" style="122" customWidth="1"/>
    <col min="5379" max="5379" width="11" style="122" customWidth="1"/>
    <col min="5380" max="5380" width="11.7265625" style="122" customWidth="1"/>
    <col min="5381" max="5386" width="11" style="122" customWidth="1"/>
    <col min="5387" max="5387" width="9.26953125" style="122" customWidth="1"/>
    <col min="5388" max="5632" width="0" style="122" hidden="1"/>
    <col min="5633" max="5633" width="0" style="122" hidden="1" customWidth="1"/>
    <col min="5634" max="5634" width="24.7265625" style="122" customWidth="1"/>
    <col min="5635" max="5635" width="11" style="122" customWidth="1"/>
    <col min="5636" max="5636" width="11.7265625" style="122" customWidth="1"/>
    <col min="5637" max="5642" width="11" style="122" customWidth="1"/>
    <col min="5643" max="5643" width="9.26953125" style="122" customWidth="1"/>
    <col min="5644" max="5888" width="0" style="122" hidden="1"/>
    <col min="5889" max="5889" width="0" style="122" hidden="1" customWidth="1"/>
    <col min="5890" max="5890" width="24.7265625" style="122" customWidth="1"/>
    <col min="5891" max="5891" width="11" style="122" customWidth="1"/>
    <col min="5892" max="5892" width="11.7265625" style="122" customWidth="1"/>
    <col min="5893" max="5898" width="11" style="122" customWidth="1"/>
    <col min="5899" max="5899" width="9.26953125" style="122" customWidth="1"/>
    <col min="5900" max="6144" width="0" style="122" hidden="1"/>
    <col min="6145" max="6145" width="0" style="122" hidden="1" customWidth="1"/>
    <col min="6146" max="6146" width="24.7265625" style="122" customWidth="1"/>
    <col min="6147" max="6147" width="11" style="122" customWidth="1"/>
    <col min="6148" max="6148" width="11.7265625" style="122" customWidth="1"/>
    <col min="6149" max="6154" width="11" style="122" customWidth="1"/>
    <col min="6155" max="6155" width="9.26953125" style="122" customWidth="1"/>
    <col min="6156" max="6400" width="0" style="122" hidden="1"/>
    <col min="6401" max="6401" width="0" style="122" hidden="1" customWidth="1"/>
    <col min="6402" max="6402" width="24.7265625" style="122" customWidth="1"/>
    <col min="6403" max="6403" width="11" style="122" customWidth="1"/>
    <col min="6404" max="6404" width="11.7265625" style="122" customWidth="1"/>
    <col min="6405" max="6410" width="11" style="122" customWidth="1"/>
    <col min="6411" max="6411" width="9.26953125" style="122" customWidth="1"/>
    <col min="6412" max="6656" width="0" style="122" hidden="1"/>
    <col min="6657" max="6657" width="0" style="122" hidden="1" customWidth="1"/>
    <col min="6658" max="6658" width="24.7265625" style="122" customWidth="1"/>
    <col min="6659" max="6659" width="11" style="122" customWidth="1"/>
    <col min="6660" max="6660" width="11.7265625" style="122" customWidth="1"/>
    <col min="6661" max="6666" width="11" style="122" customWidth="1"/>
    <col min="6667" max="6667" width="9.26953125" style="122" customWidth="1"/>
    <col min="6668" max="6912" width="0" style="122" hidden="1"/>
    <col min="6913" max="6913" width="0" style="122" hidden="1" customWidth="1"/>
    <col min="6914" max="6914" width="24.7265625" style="122" customWidth="1"/>
    <col min="6915" max="6915" width="11" style="122" customWidth="1"/>
    <col min="6916" max="6916" width="11.7265625" style="122" customWidth="1"/>
    <col min="6917" max="6922" width="11" style="122" customWidth="1"/>
    <col min="6923" max="6923" width="9.26953125" style="122" customWidth="1"/>
    <col min="6924" max="7168" width="0" style="122" hidden="1"/>
    <col min="7169" max="7169" width="0" style="122" hidden="1" customWidth="1"/>
    <col min="7170" max="7170" width="24.7265625" style="122" customWidth="1"/>
    <col min="7171" max="7171" width="11" style="122" customWidth="1"/>
    <col min="7172" max="7172" width="11.7265625" style="122" customWidth="1"/>
    <col min="7173" max="7178" width="11" style="122" customWidth="1"/>
    <col min="7179" max="7179" width="9.26953125" style="122" customWidth="1"/>
    <col min="7180" max="7424" width="0" style="122" hidden="1"/>
    <col min="7425" max="7425" width="0" style="122" hidden="1" customWidth="1"/>
    <col min="7426" max="7426" width="24.7265625" style="122" customWidth="1"/>
    <col min="7427" max="7427" width="11" style="122" customWidth="1"/>
    <col min="7428" max="7428" width="11.7265625" style="122" customWidth="1"/>
    <col min="7429" max="7434" width="11" style="122" customWidth="1"/>
    <col min="7435" max="7435" width="9.26953125" style="122" customWidth="1"/>
    <col min="7436" max="7680" width="0" style="122" hidden="1"/>
    <col min="7681" max="7681" width="0" style="122" hidden="1" customWidth="1"/>
    <col min="7682" max="7682" width="24.7265625" style="122" customWidth="1"/>
    <col min="7683" max="7683" width="11" style="122" customWidth="1"/>
    <col min="7684" max="7684" width="11.7265625" style="122" customWidth="1"/>
    <col min="7685" max="7690" width="11" style="122" customWidth="1"/>
    <col min="7691" max="7691" width="9.26953125" style="122" customWidth="1"/>
    <col min="7692" max="7936" width="0" style="122" hidden="1"/>
    <col min="7937" max="7937" width="0" style="122" hidden="1" customWidth="1"/>
    <col min="7938" max="7938" width="24.7265625" style="122" customWidth="1"/>
    <col min="7939" max="7939" width="11" style="122" customWidth="1"/>
    <col min="7940" max="7940" width="11.7265625" style="122" customWidth="1"/>
    <col min="7941" max="7946" width="11" style="122" customWidth="1"/>
    <col min="7947" max="7947" width="9.26953125" style="122" customWidth="1"/>
    <col min="7948" max="8192" width="0" style="122" hidden="1"/>
    <col min="8193" max="8193" width="0" style="122" hidden="1" customWidth="1"/>
    <col min="8194" max="8194" width="24.7265625" style="122" customWidth="1"/>
    <col min="8195" max="8195" width="11" style="122" customWidth="1"/>
    <col min="8196" max="8196" width="11.7265625" style="122" customWidth="1"/>
    <col min="8197" max="8202" width="11" style="122" customWidth="1"/>
    <col min="8203" max="8203" width="9.26953125" style="122" customWidth="1"/>
    <col min="8204" max="8448" width="0" style="122" hidden="1"/>
    <col min="8449" max="8449" width="0" style="122" hidden="1" customWidth="1"/>
    <col min="8450" max="8450" width="24.7265625" style="122" customWidth="1"/>
    <col min="8451" max="8451" width="11" style="122" customWidth="1"/>
    <col min="8452" max="8452" width="11.7265625" style="122" customWidth="1"/>
    <col min="8453" max="8458" width="11" style="122" customWidth="1"/>
    <col min="8459" max="8459" width="9.26953125" style="122" customWidth="1"/>
    <col min="8460" max="8704" width="0" style="122" hidden="1"/>
    <col min="8705" max="8705" width="0" style="122" hidden="1" customWidth="1"/>
    <col min="8706" max="8706" width="24.7265625" style="122" customWidth="1"/>
    <col min="8707" max="8707" width="11" style="122" customWidth="1"/>
    <col min="8708" max="8708" width="11.7265625" style="122" customWidth="1"/>
    <col min="8709" max="8714" width="11" style="122" customWidth="1"/>
    <col min="8715" max="8715" width="9.26953125" style="122" customWidth="1"/>
    <col min="8716" max="8960" width="0" style="122" hidden="1"/>
    <col min="8961" max="8961" width="0" style="122" hidden="1" customWidth="1"/>
    <col min="8962" max="8962" width="24.7265625" style="122" customWidth="1"/>
    <col min="8963" max="8963" width="11" style="122" customWidth="1"/>
    <col min="8964" max="8964" width="11.7265625" style="122" customWidth="1"/>
    <col min="8965" max="8970" width="11" style="122" customWidth="1"/>
    <col min="8971" max="8971" width="9.26953125" style="122" customWidth="1"/>
    <col min="8972" max="9216" width="0" style="122" hidden="1"/>
    <col min="9217" max="9217" width="0" style="122" hidden="1" customWidth="1"/>
    <col min="9218" max="9218" width="24.7265625" style="122" customWidth="1"/>
    <col min="9219" max="9219" width="11" style="122" customWidth="1"/>
    <col min="9220" max="9220" width="11.7265625" style="122" customWidth="1"/>
    <col min="9221" max="9226" width="11" style="122" customWidth="1"/>
    <col min="9227" max="9227" width="9.26953125" style="122" customWidth="1"/>
    <col min="9228" max="9472" width="0" style="122" hidden="1"/>
    <col min="9473" max="9473" width="0" style="122" hidden="1" customWidth="1"/>
    <col min="9474" max="9474" width="24.7265625" style="122" customWidth="1"/>
    <col min="9475" max="9475" width="11" style="122" customWidth="1"/>
    <col min="9476" max="9476" width="11.7265625" style="122" customWidth="1"/>
    <col min="9477" max="9482" width="11" style="122" customWidth="1"/>
    <col min="9483" max="9483" width="9.26953125" style="122" customWidth="1"/>
    <col min="9484" max="9728" width="0" style="122" hidden="1"/>
    <col min="9729" max="9729" width="0" style="122" hidden="1" customWidth="1"/>
    <col min="9730" max="9730" width="24.7265625" style="122" customWidth="1"/>
    <col min="9731" max="9731" width="11" style="122" customWidth="1"/>
    <col min="9732" max="9732" width="11.7265625" style="122" customWidth="1"/>
    <col min="9733" max="9738" width="11" style="122" customWidth="1"/>
    <col min="9739" max="9739" width="9.26953125" style="122" customWidth="1"/>
    <col min="9740" max="9984" width="0" style="122" hidden="1"/>
    <col min="9985" max="9985" width="0" style="122" hidden="1" customWidth="1"/>
    <col min="9986" max="9986" width="24.7265625" style="122" customWidth="1"/>
    <col min="9987" max="9987" width="11" style="122" customWidth="1"/>
    <col min="9988" max="9988" width="11.7265625" style="122" customWidth="1"/>
    <col min="9989" max="9994" width="11" style="122" customWidth="1"/>
    <col min="9995" max="9995" width="9.26953125" style="122" customWidth="1"/>
    <col min="9996" max="10240" width="0" style="122" hidden="1"/>
    <col min="10241" max="10241" width="0" style="122" hidden="1" customWidth="1"/>
    <col min="10242" max="10242" width="24.7265625" style="122" customWidth="1"/>
    <col min="10243" max="10243" width="11" style="122" customWidth="1"/>
    <col min="10244" max="10244" width="11.7265625" style="122" customWidth="1"/>
    <col min="10245" max="10250" width="11" style="122" customWidth="1"/>
    <col min="10251" max="10251" width="9.26953125" style="122" customWidth="1"/>
    <col min="10252" max="10496" width="0" style="122" hidden="1"/>
    <col min="10497" max="10497" width="0" style="122" hidden="1" customWidth="1"/>
    <col min="10498" max="10498" width="24.7265625" style="122" customWidth="1"/>
    <col min="10499" max="10499" width="11" style="122" customWidth="1"/>
    <col min="10500" max="10500" width="11.7265625" style="122" customWidth="1"/>
    <col min="10501" max="10506" width="11" style="122" customWidth="1"/>
    <col min="10507" max="10507" width="9.26953125" style="122" customWidth="1"/>
    <col min="10508" max="10752" width="0" style="122" hidden="1"/>
    <col min="10753" max="10753" width="0" style="122" hidden="1" customWidth="1"/>
    <col min="10754" max="10754" width="24.7265625" style="122" customWidth="1"/>
    <col min="10755" max="10755" width="11" style="122" customWidth="1"/>
    <col min="10756" max="10756" width="11.7265625" style="122" customWidth="1"/>
    <col min="10757" max="10762" width="11" style="122" customWidth="1"/>
    <col min="10763" max="10763" width="9.26953125" style="122" customWidth="1"/>
    <col min="10764" max="11008" width="0" style="122" hidden="1"/>
    <col min="11009" max="11009" width="0" style="122" hidden="1" customWidth="1"/>
    <col min="11010" max="11010" width="24.7265625" style="122" customWidth="1"/>
    <col min="11011" max="11011" width="11" style="122" customWidth="1"/>
    <col min="11012" max="11012" width="11.7265625" style="122" customWidth="1"/>
    <col min="11013" max="11018" width="11" style="122" customWidth="1"/>
    <col min="11019" max="11019" width="9.26953125" style="122" customWidth="1"/>
    <col min="11020" max="11264" width="0" style="122" hidden="1"/>
    <col min="11265" max="11265" width="0" style="122" hidden="1" customWidth="1"/>
    <col min="11266" max="11266" width="24.7265625" style="122" customWidth="1"/>
    <col min="11267" max="11267" width="11" style="122" customWidth="1"/>
    <col min="11268" max="11268" width="11.7265625" style="122" customWidth="1"/>
    <col min="11269" max="11274" width="11" style="122" customWidth="1"/>
    <col min="11275" max="11275" width="9.26953125" style="122" customWidth="1"/>
    <col min="11276" max="11520" width="0" style="122" hidden="1"/>
    <col min="11521" max="11521" width="0" style="122" hidden="1" customWidth="1"/>
    <col min="11522" max="11522" width="24.7265625" style="122" customWidth="1"/>
    <col min="11523" max="11523" width="11" style="122" customWidth="1"/>
    <col min="11524" max="11524" width="11.7265625" style="122" customWidth="1"/>
    <col min="11525" max="11530" width="11" style="122" customWidth="1"/>
    <col min="11531" max="11531" width="9.26953125" style="122" customWidth="1"/>
    <col min="11532" max="11776" width="0" style="122" hidden="1"/>
    <col min="11777" max="11777" width="0" style="122" hidden="1" customWidth="1"/>
    <col min="11778" max="11778" width="24.7265625" style="122" customWidth="1"/>
    <col min="11779" max="11779" width="11" style="122" customWidth="1"/>
    <col min="11780" max="11780" width="11.7265625" style="122" customWidth="1"/>
    <col min="11781" max="11786" width="11" style="122" customWidth="1"/>
    <col min="11787" max="11787" width="9.26953125" style="122" customWidth="1"/>
    <col min="11788" max="12032" width="0" style="122" hidden="1"/>
    <col min="12033" max="12033" width="0" style="122" hidden="1" customWidth="1"/>
    <col min="12034" max="12034" width="24.7265625" style="122" customWidth="1"/>
    <col min="12035" max="12035" width="11" style="122" customWidth="1"/>
    <col min="12036" max="12036" width="11.7265625" style="122" customWidth="1"/>
    <col min="12037" max="12042" width="11" style="122" customWidth="1"/>
    <col min="12043" max="12043" width="9.26953125" style="122" customWidth="1"/>
    <col min="12044" max="12288" width="0" style="122" hidden="1"/>
    <col min="12289" max="12289" width="0" style="122" hidden="1" customWidth="1"/>
    <col min="12290" max="12290" width="24.7265625" style="122" customWidth="1"/>
    <col min="12291" max="12291" width="11" style="122" customWidth="1"/>
    <col min="12292" max="12292" width="11.7265625" style="122" customWidth="1"/>
    <col min="12293" max="12298" width="11" style="122" customWidth="1"/>
    <col min="12299" max="12299" width="9.26953125" style="122" customWidth="1"/>
    <col min="12300" max="12544" width="0" style="122" hidden="1"/>
    <col min="12545" max="12545" width="0" style="122" hidden="1" customWidth="1"/>
    <col min="12546" max="12546" width="24.7265625" style="122" customWidth="1"/>
    <col min="12547" max="12547" width="11" style="122" customWidth="1"/>
    <col min="12548" max="12548" width="11.7265625" style="122" customWidth="1"/>
    <col min="12549" max="12554" width="11" style="122" customWidth="1"/>
    <col min="12555" max="12555" width="9.26953125" style="122" customWidth="1"/>
    <col min="12556" max="12800" width="0" style="122" hidden="1"/>
    <col min="12801" max="12801" width="0" style="122" hidden="1" customWidth="1"/>
    <col min="12802" max="12802" width="24.7265625" style="122" customWidth="1"/>
    <col min="12803" max="12803" width="11" style="122" customWidth="1"/>
    <col min="12804" max="12804" width="11.7265625" style="122" customWidth="1"/>
    <col min="12805" max="12810" width="11" style="122" customWidth="1"/>
    <col min="12811" max="12811" width="9.26953125" style="122" customWidth="1"/>
    <col min="12812" max="13056" width="0" style="122" hidden="1"/>
    <col min="13057" max="13057" width="0" style="122" hidden="1" customWidth="1"/>
    <col min="13058" max="13058" width="24.7265625" style="122" customWidth="1"/>
    <col min="13059" max="13059" width="11" style="122" customWidth="1"/>
    <col min="13060" max="13060" width="11.7265625" style="122" customWidth="1"/>
    <col min="13061" max="13066" width="11" style="122" customWidth="1"/>
    <col min="13067" max="13067" width="9.26953125" style="122" customWidth="1"/>
    <col min="13068" max="13312" width="0" style="122" hidden="1"/>
    <col min="13313" max="13313" width="0" style="122" hidden="1" customWidth="1"/>
    <col min="13314" max="13314" width="24.7265625" style="122" customWidth="1"/>
    <col min="13315" max="13315" width="11" style="122" customWidth="1"/>
    <col min="13316" max="13316" width="11.7265625" style="122" customWidth="1"/>
    <col min="13317" max="13322" width="11" style="122" customWidth="1"/>
    <col min="13323" max="13323" width="9.26953125" style="122" customWidth="1"/>
    <col min="13324" max="13568" width="0" style="122" hidden="1"/>
    <col min="13569" max="13569" width="0" style="122" hidden="1" customWidth="1"/>
    <col min="13570" max="13570" width="24.7265625" style="122" customWidth="1"/>
    <col min="13571" max="13571" width="11" style="122" customWidth="1"/>
    <col min="13572" max="13572" width="11.7265625" style="122" customWidth="1"/>
    <col min="13573" max="13578" width="11" style="122" customWidth="1"/>
    <col min="13579" max="13579" width="9.26953125" style="122" customWidth="1"/>
    <col min="13580" max="13824" width="0" style="122" hidden="1"/>
    <col min="13825" max="13825" width="0" style="122" hidden="1" customWidth="1"/>
    <col min="13826" max="13826" width="24.7265625" style="122" customWidth="1"/>
    <col min="13827" max="13827" width="11" style="122" customWidth="1"/>
    <col min="13828" max="13828" width="11.7265625" style="122" customWidth="1"/>
    <col min="13829" max="13834" width="11" style="122" customWidth="1"/>
    <col min="13835" max="13835" width="9.26953125" style="122" customWidth="1"/>
    <col min="13836" max="14080" width="0" style="122" hidden="1"/>
    <col min="14081" max="14081" width="0" style="122" hidden="1" customWidth="1"/>
    <col min="14082" max="14082" width="24.7265625" style="122" customWidth="1"/>
    <col min="14083" max="14083" width="11" style="122" customWidth="1"/>
    <col min="14084" max="14084" width="11.7265625" style="122" customWidth="1"/>
    <col min="14085" max="14090" width="11" style="122" customWidth="1"/>
    <col min="14091" max="14091" width="9.26953125" style="122" customWidth="1"/>
    <col min="14092" max="14336" width="0" style="122" hidden="1"/>
    <col min="14337" max="14337" width="0" style="122" hidden="1" customWidth="1"/>
    <col min="14338" max="14338" width="24.7265625" style="122" customWidth="1"/>
    <col min="14339" max="14339" width="11" style="122" customWidth="1"/>
    <col min="14340" max="14340" width="11.7265625" style="122" customWidth="1"/>
    <col min="14341" max="14346" width="11" style="122" customWidth="1"/>
    <col min="14347" max="14347" width="9.26953125" style="122" customWidth="1"/>
    <col min="14348" max="14592" width="0" style="122" hidden="1"/>
    <col min="14593" max="14593" width="0" style="122" hidden="1" customWidth="1"/>
    <col min="14594" max="14594" width="24.7265625" style="122" customWidth="1"/>
    <col min="14595" max="14595" width="11" style="122" customWidth="1"/>
    <col min="14596" max="14596" width="11.7265625" style="122" customWidth="1"/>
    <col min="14597" max="14602" width="11" style="122" customWidth="1"/>
    <col min="14603" max="14603" width="9.26953125" style="122" customWidth="1"/>
    <col min="14604" max="14848" width="0" style="122" hidden="1"/>
    <col min="14849" max="14849" width="0" style="122" hidden="1" customWidth="1"/>
    <col min="14850" max="14850" width="24.7265625" style="122" customWidth="1"/>
    <col min="14851" max="14851" width="11" style="122" customWidth="1"/>
    <col min="14852" max="14852" width="11.7265625" style="122" customWidth="1"/>
    <col min="14853" max="14858" width="11" style="122" customWidth="1"/>
    <col min="14859" max="14859" width="9.26953125" style="122" customWidth="1"/>
    <col min="14860" max="15104" width="0" style="122" hidden="1"/>
    <col min="15105" max="15105" width="0" style="122" hidden="1" customWidth="1"/>
    <col min="15106" max="15106" width="24.7265625" style="122" customWidth="1"/>
    <col min="15107" max="15107" width="11" style="122" customWidth="1"/>
    <col min="15108" max="15108" width="11.7265625" style="122" customWidth="1"/>
    <col min="15109" max="15114" width="11" style="122" customWidth="1"/>
    <col min="15115" max="15115" width="9.26953125" style="122" customWidth="1"/>
    <col min="15116" max="15360" width="0" style="122" hidden="1"/>
    <col min="15361" max="15361" width="0" style="122" hidden="1" customWidth="1"/>
    <col min="15362" max="15362" width="24.7265625" style="122" customWidth="1"/>
    <col min="15363" max="15363" width="11" style="122" customWidth="1"/>
    <col min="15364" max="15364" width="11.7265625" style="122" customWidth="1"/>
    <col min="15365" max="15370" width="11" style="122" customWidth="1"/>
    <col min="15371" max="15371" width="9.26953125" style="122" customWidth="1"/>
    <col min="15372" max="15616" width="0" style="122" hidden="1"/>
    <col min="15617" max="15617" width="0" style="122" hidden="1" customWidth="1"/>
    <col min="15618" max="15618" width="24.7265625" style="122" customWidth="1"/>
    <col min="15619" max="15619" width="11" style="122" customWidth="1"/>
    <col min="15620" max="15620" width="11.7265625" style="122" customWidth="1"/>
    <col min="15621" max="15626" width="11" style="122" customWidth="1"/>
    <col min="15627" max="15627" width="9.26953125" style="122" customWidth="1"/>
    <col min="15628" max="15872" width="0" style="122" hidden="1"/>
    <col min="15873" max="15873" width="0" style="122" hidden="1" customWidth="1"/>
    <col min="15874" max="15874" width="24.7265625" style="122" customWidth="1"/>
    <col min="15875" max="15875" width="11" style="122" customWidth="1"/>
    <col min="15876" max="15876" width="11.7265625" style="122" customWidth="1"/>
    <col min="15877" max="15882" width="11" style="122" customWidth="1"/>
    <col min="15883" max="15883" width="9.26953125" style="122" customWidth="1"/>
    <col min="15884" max="16128" width="0" style="122" hidden="1"/>
    <col min="16129" max="16129" width="0" style="122" hidden="1" customWidth="1"/>
    <col min="16130" max="16130" width="24.7265625" style="122" customWidth="1"/>
    <col min="16131" max="16131" width="11" style="122" customWidth="1"/>
    <col min="16132" max="16132" width="11.7265625" style="122" customWidth="1"/>
    <col min="16133" max="16138" width="11" style="122" customWidth="1"/>
    <col min="16139" max="16139" width="9.26953125" style="122" customWidth="1"/>
    <col min="16140" max="16384" width="0" style="122" hidden="1"/>
  </cols>
  <sheetData>
    <row r="1" spans="1:21" ht="48" customHeight="1" x14ac:dyDescent="0.3">
      <c r="B1" s="312" t="s">
        <v>93</v>
      </c>
      <c r="C1" s="313"/>
      <c r="D1" s="313"/>
      <c r="E1" s="313"/>
      <c r="F1" s="313"/>
      <c r="G1" s="313"/>
      <c r="H1" s="313"/>
      <c r="I1" s="313"/>
      <c r="J1" s="314"/>
    </row>
    <row r="2" spans="1:21" ht="12.75" customHeight="1" x14ac:dyDescent="0.3">
      <c r="B2" s="287"/>
      <c r="C2" s="311" t="s">
        <v>1</v>
      </c>
      <c r="D2" s="311"/>
      <c r="E2" s="290" t="s">
        <v>2</v>
      </c>
      <c r="F2" s="290"/>
      <c r="G2" s="290"/>
      <c r="H2" s="290"/>
      <c r="I2" s="311" t="s">
        <v>5</v>
      </c>
      <c r="J2" s="311"/>
      <c r="L2" s="311"/>
      <c r="M2" s="311"/>
      <c r="N2" s="294"/>
      <c r="O2" s="294"/>
      <c r="P2" s="294"/>
      <c r="Q2" s="294"/>
      <c r="R2" s="295"/>
      <c r="S2" s="295"/>
    </row>
    <row r="3" spans="1:21" ht="30" customHeight="1" x14ac:dyDescent="0.3">
      <c r="A3" s="4"/>
      <c r="B3" s="287"/>
      <c r="C3" s="296"/>
      <c r="D3" s="296"/>
      <c r="E3" s="142" t="s">
        <v>3</v>
      </c>
      <c r="F3" s="142"/>
      <c r="G3" s="142" t="s">
        <v>4</v>
      </c>
      <c r="H3" s="142"/>
      <c r="I3" s="296"/>
      <c r="J3" s="296"/>
      <c r="L3" s="296"/>
      <c r="M3" s="296"/>
      <c r="N3" s="142"/>
      <c r="O3" s="142"/>
      <c r="P3" s="142"/>
      <c r="Q3" s="142"/>
      <c r="R3" s="296"/>
      <c r="S3" s="296"/>
    </row>
    <row r="4" spans="1:21" ht="45.75" customHeight="1" x14ac:dyDescent="0.3">
      <c r="B4" s="293"/>
      <c r="C4" s="143" t="s">
        <v>59</v>
      </c>
      <c r="D4" s="144" t="s">
        <v>60</v>
      </c>
      <c r="E4" s="143" t="s">
        <v>59</v>
      </c>
      <c r="F4" s="144" t="s">
        <v>60</v>
      </c>
      <c r="G4" s="143" t="s">
        <v>59</v>
      </c>
      <c r="H4" s="144" t="s">
        <v>60</v>
      </c>
      <c r="I4" s="143" t="s">
        <v>59</v>
      </c>
      <c r="J4" s="144" t="s">
        <v>60</v>
      </c>
      <c r="L4" s="143"/>
      <c r="M4" s="144"/>
      <c r="N4" s="143"/>
      <c r="O4" s="144"/>
      <c r="P4" s="143"/>
      <c r="Q4" s="144"/>
      <c r="R4" s="143"/>
      <c r="S4" s="144"/>
    </row>
    <row r="5" spans="1:21" ht="30" customHeight="1" x14ac:dyDescent="0.3">
      <c r="B5" s="127" t="s">
        <v>6</v>
      </c>
      <c r="C5" s="133">
        <v>656</v>
      </c>
      <c r="D5" s="133">
        <v>301</v>
      </c>
      <c r="E5" s="133">
        <v>105</v>
      </c>
      <c r="F5" s="133">
        <v>58</v>
      </c>
      <c r="G5" s="133">
        <v>20</v>
      </c>
      <c r="H5" s="133">
        <v>11</v>
      </c>
      <c r="I5" s="133">
        <v>0</v>
      </c>
      <c r="J5" s="133">
        <v>0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</row>
    <row r="6" spans="1:21" s="127" customFormat="1" ht="25.5" customHeight="1" x14ac:dyDescent="0.3">
      <c r="A6" s="9"/>
      <c r="B6" s="127" t="s">
        <v>7</v>
      </c>
      <c r="C6" s="146">
        <v>463</v>
      </c>
      <c r="D6" s="146">
        <v>237</v>
      </c>
      <c r="E6" s="146">
        <v>69</v>
      </c>
      <c r="F6" s="146">
        <v>41</v>
      </c>
      <c r="G6" s="146">
        <v>15</v>
      </c>
      <c r="H6" s="146">
        <v>10</v>
      </c>
      <c r="I6" s="146">
        <v>0</v>
      </c>
      <c r="J6" s="146">
        <v>0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</row>
    <row r="7" spans="1:21" ht="12.75" customHeight="1" x14ac:dyDescent="0.3">
      <c r="A7" s="12">
        <v>51</v>
      </c>
      <c r="B7" s="122" t="s">
        <v>8</v>
      </c>
      <c r="C7" s="147">
        <v>12</v>
      </c>
      <c r="D7" s="147">
        <v>5</v>
      </c>
      <c r="E7" s="147">
        <v>1</v>
      </c>
      <c r="F7" s="147">
        <v>0</v>
      </c>
      <c r="G7" s="147">
        <v>0</v>
      </c>
      <c r="H7" s="148">
        <v>0</v>
      </c>
      <c r="I7" s="148">
        <v>0</v>
      </c>
      <c r="J7" s="148">
        <v>0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</row>
    <row r="8" spans="1:21" ht="12.75" customHeight="1" x14ac:dyDescent="0.3">
      <c r="A8" s="12">
        <v>52</v>
      </c>
      <c r="B8" s="122" t="s">
        <v>9</v>
      </c>
      <c r="C8" s="147">
        <v>18</v>
      </c>
      <c r="D8" s="147">
        <v>4</v>
      </c>
      <c r="E8" s="147">
        <v>2</v>
      </c>
      <c r="F8" s="147">
        <v>0</v>
      </c>
      <c r="G8" s="147">
        <v>1</v>
      </c>
      <c r="H8" s="148">
        <v>0</v>
      </c>
      <c r="I8" s="148">
        <v>0</v>
      </c>
      <c r="J8" s="148">
        <v>0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</row>
    <row r="9" spans="1:21" ht="12.75" customHeight="1" x14ac:dyDescent="0.3">
      <c r="A9" s="12">
        <v>86</v>
      </c>
      <c r="B9" s="122" t="s">
        <v>10</v>
      </c>
      <c r="C9" s="148">
        <v>11</v>
      </c>
      <c r="D9" s="148">
        <v>4</v>
      </c>
      <c r="E9" s="148">
        <v>2</v>
      </c>
      <c r="F9" s="148">
        <v>0</v>
      </c>
      <c r="G9" s="148">
        <v>0</v>
      </c>
      <c r="H9" s="148">
        <v>0</v>
      </c>
      <c r="I9" s="148">
        <v>0</v>
      </c>
      <c r="J9" s="148">
        <v>0</v>
      </c>
      <c r="L9" s="162"/>
      <c r="M9" s="162"/>
      <c r="N9" s="162"/>
      <c r="O9" s="162"/>
      <c r="P9" s="162"/>
      <c r="Q9" s="162"/>
      <c r="R9" s="162"/>
      <c r="S9" s="162"/>
      <c r="T9" s="162"/>
      <c r="U9" s="162"/>
    </row>
    <row r="10" spans="1:21" ht="12.75" customHeight="1" x14ac:dyDescent="0.3">
      <c r="A10" s="12">
        <v>53</v>
      </c>
      <c r="B10" s="122" t="s">
        <v>11</v>
      </c>
      <c r="C10" s="147">
        <v>4</v>
      </c>
      <c r="D10" s="147">
        <v>2</v>
      </c>
      <c r="E10" s="147">
        <v>1</v>
      </c>
      <c r="F10" s="147">
        <v>1</v>
      </c>
      <c r="G10" s="147">
        <v>0</v>
      </c>
      <c r="H10" s="148">
        <v>0</v>
      </c>
      <c r="I10" s="148">
        <v>0</v>
      </c>
      <c r="J10" s="148">
        <v>0</v>
      </c>
      <c r="L10" s="162"/>
      <c r="M10" s="162"/>
      <c r="N10" s="162"/>
      <c r="O10" s="162"/>
      <c r="P10" s="162"/>
      <c r="Q10" s="162"/>
      <c r="R10" s="162"/>
      <c r="S10" s="162"/>
      <c r="T10" s="162"/>
      <c r="U10" s="162"/>
    </row>
    <row r="11" spans="1:21" ht="12.75" customHeight="1" x14ac:dyDescent="0.3">
      <c r="A11" s="12">
        <v>54</v>
      </c>
      <c r="B11" s="122" t="s">
        <v>12</v>
      </c>
      <c r="C11" s="147">
        <v>24</v>
      </c>
      <c r="D11" s="147">
        <v>13</v>
      </c>
      <c r="E11" s="147">
        <v>0</v>
      </c>
      <c r="F11" s="147">
        <v>0</v>
      </c>
      <c r="G11" s="147">
        <v>1</v>
      </c>
      <c r="H11" s="148">
        <v>1</v>
      </c>
      <c r="I11" s="148">
        <v>0</v>
      </c>
      <c r="J11" s="148">
        <v>0</v>
      </c>
      <c r="L11" s="162"/>
      <c r="M11" s="162"/>
      <c r="N11" s="162"/>
      <c r="O11" s="162"/>
      <c r="P11" s="162"/>
      <c r="Q11" s="162"/>
      <c r="R11" s="162"/>
      <c r="S11" s="162"/>
      <c r="T11" s="162"/>
      <c r="U11" s="162"/>
    </row>
    <row r="12" spans="1:21" ht="12.75" customHeight="1" x14ac:dyDescent="0.3">
      <c r="A12" s="12">
        <v>55</v>
      </c>
      <c r="B12" s="122" t="s">
        <v>13</v>
      </c>
      <c r="C12" s="147">
        <v>8</v>
      </c>
      <c r="D12" s="147">
        <v>4</v>
      </c>
      <c r="E12" s="147">
        <v>2</v>
      </c>
      <c r="F12" s="147">
        <v>1</v>
      </c>
      <c r="G12" s="147">
        <v>0</v>
      </c>
      <c r="H12" s="148">
        <v>0</v>
      </c>
      <c r="I12" s="148">
        <v>0</v>
      </c>
      <c r="J12" s="148">
        <v>0</v>
      </c>
      <c r="L12" s="162"/>
      <c r="M12" s="162"/>
      <c r="N12" s="162"/>
      <c r="O12" s="162"/>
      <c r="P12" s="162"/>
      <c r="Q12" s="162"/>
      <c r="R12" s="162"/>
      <c r="S12" s="162"/>
      <c r="T12" s="162"/>
      <c r="U12" s="162"/>
    </row>
    <row r="13" spans="1:21" ht="12.75" customHeight="1" x14ac:dyDescent="0.3">
      <c r="A13" s="12">
        <v>56</v>
      </c>
      <c r="B13" s="122" t="s">
        <v>14</v>
      </c>
      <c r="C13" s="147">
        <v>3</v>
      </c>
      <c r="D13" s="147">
        <v>2</v>
      </c>
      <c r="E13" s="147">
        <v>1</v>
      </c>
      <c r="F13" s="147">
        <v>1</v>
      </c>
      <c r="G13" s="147">
        <v>0</v>
      </c>
      <c r="H13" s="148">
        <v>0</v>
      </c>
      <c r="I13" s="148">
        <v>0</v>
      </c>
      <c r="J13" s="148">
        <v>0</v>
      </c>
      <c r="L13" s="162"/>
      <c r="M13" s="162"/>
      <c r="N13" s="162"/>
      <c r="O13" s="162"/>
      <c r="P13" s="162"/>
      <c r="Q13" s="162"/>
      <c r="R13" s="162"/>
      <c r="S13" s="162"/>
      <c r="T13" s="162"/>
      <c r="U13" s="162"/>
    </row>
    <row r="14" spans="1:21" ht="12.75" customHeight="1" x14ac:dyDescent="0.3">
      <c r="A14" s="12">
        <v>57</v>
      </c>
      <c r="B14" s="122" t="s">
        <v>15</v>
      </c>
      <c r="C14" s="147">
        <v>15</v>
      </c>
      <c r="D14" s="147">
        <v>11</v>
      </c>
      <c r="E14" s="147">
        <v>6</v>
      </c>
      <c r="F14" s="147">
        <v>4</v>
      </c>
      <c r="G14" s="147">
        <v>6</v>
      </c>
      <c r="H14" s="148">
        <v>4</v>
      </c>
      <c r="I14" s="148">
        <v>0</v>
      </c>
      <c r="J14" s="148">
        <v>0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</row>
    <row r="15" spans="1:21" ht="12.75" customHeight="1" x14ac:dyDescent="0.3">
      <c r="A15" s="12">
        <v>59</v>
      </c>
      <c r="B15" s="122" t="s">
        <v>16</v>
      </c>
      <c r="C15" s="147">
        <v>2</v>
      </c>
      <c r="D15" s="147">
        <v>6</v>
      </c>
      <c r="E15" s="147">
        <v>0</v>
      </c>
      <c r="F15" s="147">
        <v>3</v>
      </c>
      <c r="G15" s="147">
        <v>0</v>
      </c>
      <c r="H15" s="148">
        <v>0</v>
      </c>
      <c r="I15" s="148">
        <v>0</v>
      </c>
      <c r="J15" s="148">
        <v>0</v>
      </c>
      <c r="L15" s="162"/>
      <c r="M15" s="162"/>
      <c r="N15" s="162"/>
      <c r="O15" s="162"/>
      <c r="P15" s="162"/>
      <c r="Q15" s="162"/>
      <c r="R15" s="162"/>
      <c r="S15" s="162"/>
      <c r="T15" s="162"/>
      <c r="U15" s="162"/>
    </row>
    <row r="16" spans="1:21" ht="12.75" customHeight="1" x14ac:dyDescent="0.3">
      <c r="A16" s="12">
        <v>60</v>
      </c>
      <c r="B16" s="122" t="s">
        <v>17</v>
      </c>
      <c r="C16" s="147">
        <v>8</v>
      </c>
      <c r="D16" s="147">
        <v>3</v>
      </c>
      <c r="E16" s="147">
        <v>1</v>
      </c>
      <c r="F16" s="147">
        <v>1</v>
      </c>
      <c r="G16" s="147">
        <v>0</v>
      </c>
      <c r="H16" s="148">
        <v>0</v>
      </c>
      <c r="I16" s="148">
        <v>0</v>
      </c>
      <c r="J16" s="148">
        <v>0</v>
      </c>
      <c r="L16" s="162"/>
      <c r="M16" s="162"/>
      <c r="N16" s="162"/>
      <c r="O16" s="162"/>
      <c r="P16" s="162"/>
      <c r="Q16" s="162"/>
      <c r="R16" s="162"/>
      <c r="S16" s="162"/>
      <c r="T16" s="162"/>
      <c r="U16" s="162"/>
    </row>
    <row r="17" spans="1:21" ht="12.75" customHeight="1" x14ac:dyDescent="0.3">
      <c r="A17" s="12">
        <v>61</v>
      </c>
      <c r="B17" s="149" t="s">
        <v>18</v>
      </c>
      <c r="C17" s="147">
        <v>15</v>
      </c>
      <c r="D17" s="147">
        <v>18</v>
      </c>
      <c r="E17" s="147">
        <v>4</v>
      </c>
      <c r="F17" s="147">
        <v>5</v>
      </c>
      <c r="G17" s="147">
        <v>0</v>
      </c>
      <c r="H17" s="148">
        <v>0</v>
      </c>
      <c r="I17" s="148">
        <v>0</v>
      </c>
      <c r="J17" s="148">
        <v>0</v>
      </c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s="181" customFormat="1" ht="12.75" customHeight="1" x14ac:dyDescent="0.3">
      <c r="A18" s="12"/>
      <c r="B18" s="130" t="s">
        <v>122</v>
      </c>
      <c r="C18" s="163">
        <v>26</v>
      </c>
      <c r="D18" s="163">
        <v>15</v>
      </c>
      <c r="E18" s="163">
        <v>2</v>
      </c>
      <c r="F18" s="163">
        <v>2</v>
      </c>
      <c r="G18" s="163">
        <v>0</v>
      </c>
      <c r="H18" s="163">
        <v>0</v>
      </c>
      <c r="I18" s="163">
        <v>0</v>
      </c>
      <c r="J18" s="163">
        <v>0</v>
      </c>
      <c r="L18" s="162"/>
      <c r="M18" s="162"/>
      <c r="N18" s="162"/>
      <c r="O18" s="162"/>
      <c r="P18" s="162"/>
      <c r="Q18" s="162"/>
      <c r="R18" s="162"/>
      <c r="S18" s="162"/>
      <c r="T18" s="162"/>
      <c r="U18" s="162"/>
    </row>
    <row r="19" spans="1:21" ht="12.75" customHeight="1" x14ac:dyDescent="0.3">
      <c r="A19" s="12">
        <v>58</v>
      </c>
      <c r="B19" s="122" t="s">
        <v>20</v>
      </c>
      <c r="C19" s="147">
        <v>4</v>
      </c>
      <c r="D19" s="147">
        <v>7</v>
      </c>
      <c r="E19" s="147">
        <v>0</v>
      </c>
      <c r="F19" s="147">
        <v>3</v>
      </c>
      <c r="G19" s="147">
        <v>0</v>
      </c>
      <c r="H19" s="148">
        <v>0</v>
      </c>
      <c r="I19" s="148">
        <v>0</v>
      </c>
      <c r="J19" s="148">
        <v>0</v>
      </c>
      <c r="L19" s="162"/>
      <c r="M19" s="162"/>
      <c r="N19" s="162"/>
      <c r="O19" s="162"/>
      <c r="P19" s="162"/>
      <c r="Q19" s="162"/>
      <c r="R19" s="162"/>
      <c r="S19" s="162"/>
      <c r="T19" s="162"/>
      <c r="U19" s="162"/>
    </row>
    <row r="20" spans="1:21" ht="12.75" customHeight="1" x14ac:dyDescent="0.3">
      <c r="A20" s="12">
        <v>63</v>
      </c>
      <c r="B20" s="122" t="s">
        <v>21</v>
      </c>
      <c r="C20" s="147">
        <v>21</v>
      </c>
      <c r="D20" s="147">
        <v>16</v>
      </c>
      <c r="E20" s="147">
        <v>2</v>
      </c>
      <c r="F20" s="147">
        <v>2</v>
      </c>
      <c r="G20" s="147">
        <v>0</v>
      </c>
      <c r="H20" s="148">
        <v>0</v>
      </c>
      <c r="I20" s="148">
        <v>0</v>
      </c>
      <c r="J20" s="148">
        <v>0</v>
      </c>
      <c r="L20" s="162"/>
      <c r="M20" s="162"/>
      <c r="N20" s="162"/>
      <c r="O20" s="162"/>
      <c r="P20" s="162"/>
      <c r="Q20" s="162"/>
      <c r="R20" s="162"/>
      <c r="S20" s="162"/>
      <c r="T20" s="162"/>
      <c r="U20" s="162"/>
    </row>
    <row r="21" spans="1:21" ht="12.75" customHeight="1" x14ac:dyDescent="0.3">
      <c r="A21" s="12">
        <v>64</v>
      </c>
      <c r="B21" s="122" t="s">
        <v>22</v>
      </c>
      <c r="C21" s="147">
        <v>19</v>
      </c>
      <c r="D21" s="147">
        <v>16</v>
      </c>
      <c r="E21" s="147">
        <v>1</v>
      </c>
      <c r="F21" s="147">
        <v>2</v>
      </c>
      <c r="G21" s="147">
        <v>1</v>
      </c>
      <c r="H21" s="148">
        <v>0</v>
      </c>
      <c r="I21" s="148">
        <v>0</v>
      </c>
      <c r="J21" s="148">
        <v>0</v>
      </c>
      <c r="L21" s="162"/>
      <c r="M21" s="162"/>
      <c r="N21" s="162"/>
      <c r="O21" s="162"/>
      <c r="P21" s="162"/>
      <c r="Q21" s="162"/>
      <c r="R21" s="162"/>
      <c r="S21" s="162"/>
      <c r="T21" s="162"/>
      <c r="U21" s="162"/>
    </row>
    <row r="22" spans="1:21" ht="12.75" customHeight="1" x14ac:dyDescent="0.3">
      <c r="A22" s="12">
        <v>65</v>
      </c>
      <c r="B22" s="122" t="s">
        <v>23</v>
      </c>
      <c r="C22" s="147">
        <v>3</v>
      </c>
      <c r="D22" s="147">
        <v>6</v>
      </c>
      <c r="E22" s="147">
        <v>1</v>
      </c>
      <c r="F22" s="147">
        <v>2</v>
      </c>
      <c r="G22" s="147">
        <v>0</v>
      </c>
      <c r="H22" s="148">
        <v>0</v>
      </c>
      <c r="I22" s="148">
        <v>0</v>
      </c>
      <c r="J22" s="148">
        <v>0</v>
      </c>
      <c r="L22" s="162"/>
      <c r="M22" s="162"/>
      <c r="N22" s="162"/>
      <c r="O22" s="162"/>
      <c r="P22" s="162"/>
      <c r="Q22" s="162"/>
      <c r="R22" s="162"/>
      <c r="S22" s="162"/>
      <c r="T22" s="162"/>
      <c r="U22" s="162"/>
    </row>
    <row r="23" spans="1:21" ht="12.75" customHeight="1" x14ac:dyDescent="0.3">
      <c r="A23" s="12">
        <v>67</v>
      </c>
      <c r="B23" s="122" t="s">
        <v>24</v>
      </c>
      <c r="C23" s="147">
        <v>14</v>
      </c>
      <c r="D23" s="147">
        <v>7</v>
      </c>
      <c r="E23" s="147">
        <v>0</v>
      </c>
      <c r="F23" s="147">
        <v>2</v>
      </c>
      <c r="G23" s="147">
        <v>1</v>
      </c>
      <c r="H23" s="148">
        <v>2</v>
      </c>
      <c r="I23" s="148">
        <v>0</v>
      </c>
      <c r="J23" s="148">
        <v>0</v>
      </c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1:21" ht="12.75" customHeight="1" x14ac:dyDescent="0.3">
      <c r="A24" s="12">
        <v>68</v>
      </c>
      <c r="B24" s="122" t="s">
        <v>25</v>
      </c>
      <c r="C24" s="147">
        <v>18</v>
      </c>
      <c r="D24" s="147">
        <v>5</v>
      </c>
      <c r="E24" s="147">
        <v>1</v>
      </c>
      <c r="F24" s="147">
        <v>1</v>
      </c>
      <c r="G24" s="147">
        <v>0</v>
      </c>
      <c r="H24" s="148">
        <v>0</v>
      </c>
      <c r="I24" s="148">
        <v>0</v>
      </c>
      <c r="J24" s="148">
        <v>0</v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</row>
    <row r="25" spans="1:21" ht="12.75" customHeight="1" x14ac:dyDescent="0.3">
      <c r="A25" s="12">
        <v>69</v>
      </c>
      <c r="B25" s="122" t="s">
        <v>26</v>
      </c>
      <c r="C25" s="147">
        <v>4</v>
      </c>
      <c r="D25" s="147">
        <v>1</v>
      </c>
      <c r="E25" s="147">
        <v>2</v>
      </c>
      <c r="F25" s="147">
        <v>0</v>
      </c>
      <c r="G25" s="147">
        <v>0</v>
      </c>
      <c r="H25" s="148">
        <v>0</v>
      </c>
      <c r="I25" s="148">
        <v>0</v>
      </c>
      <c r="J25" s="148">
        <v>0</v>
      </c>
      <c r="L25" s="162"/>
      <c r="M25" s="162"/>
      <c r="N25" s="162"/>
      <c r="O25" s="162"/>
      <c r="P25" s="162"/>
      <c r="Q25" s="162"/>
      <c r="R25" s="162"/>
      <c r="S25" s="162"/>
      <c r="T25" s="162"/>
      <c r="U25" s="162"/>
    </row>
    <row r="26" spans="1:21" ht="12.75" customHeight="1" x14ac:dyDescent="0.3">
      <c r="A26" s="12">
        <v>70</v>
      </c>
      <c r="B26" s="122" t="s">
        <v>27</v>
      </c>
      <c r="C26" s="147">
        <v>14</v>
      </c>
      <c r="D26" s="147">
        <v>10</v>
      </c>
      <c r="E26" s="147">
        <v>1</v>
      </c>
      <c r="F26" s="147">
        <v>1</v>
      </c>
      <c r="G26" s="147">
        <v>1</v>
      </c>
      <c r="H26" s="148">
        <v>1</v>
      </c>
      <c r="I26" s="148">
        <v>0</v>
      </c>
      <c r="J26" s="148">
        <v>0</v>
      </c>
      <c r="L26" s="162"/>
      <c r="M26" s="162"/>
      <c r="N26" s="162"/>
      <c r="O26" s="162"/>
      <c r="P26" s="162"/>
      <c r="Q26" s="162"/>
      <c r="R26" s="162"/>
      <c r="S26" s="162"/>
      <c r="T26" s="162"/>
      <c r="U26" s="162"/>
    </row>
    <row r="27" spans="1:21" ht="12.75" customHeight="1" x14ac:dyDescent="0.3">
      <c r="A27" s="12">
        <v>71</v>
      </c>
      <c r="B27" s="150" t="s">
        <v>28</v>
      </c>
      <c r="C27" s="147">
        <v>4</v>
      </c>
      <c r="D27" s="147">
        <v>2</v>
      </c>
      <c r="E27" s="147">
        <v>4</v>
      </c>
      <c r="F27" s="147">
        <v>2</v>
      </c>
      <c r="G27" s="147">
        <v>0</v>
      </c>
      <c r="H27" s="148">
        <v>0</v>
      </c>
      <c r="I27" s="148">
        <v>0</v>
      </c>
      <c r="J27" s="148">
        <v>0</v>
      </c>
      <c r="L27" s="162"/>
      <c r="M27" s="162"/>
      <c r="N27" s="162"/>
      <c r="O27" s="162"/>
      <c r="P27" s="162"/>
      <c r="Q27" s="162"/>
      <c r="R27" s="162"/>
      <c r="S27" s="162"/>
      <c r="T27" s="162"/>
      <c r="U27" s="162"/>
    </row>
    <row r="28" spans="1:21" ht="12.75" customHeight="1" x14ac:dyDescent="0.3">
      <c r="A28" s="12">
        <v>73</v>
      </c>
      <c r="B28" s="122" t="s">
        <v>29</v>
      </c>
      <c r="C28" s="151">
        <v>37</v>
      </c>
      <c r="D28" s="151">
        <v>2</v>
      </c>
      <c r="E28" s="151">
        <v>3</v>
      </c>
      <c r="F28" s="151">
        <v>0</v>
      </c>
      <c r="G28" s="151">
        <v>0</v>
      </c>
      <c r="H28" s="151">
        <v>0</v>
      </c>
      <c r="I28" s="151">
        <v>0</v>
      </c>
      <c r="J28" s="151">
        <v>0</v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</row>
    <row r="29" spans="1:21" ht="12.75" customHeight="1" x14ac:dyDescent="0.3">
      <c r="A29" s="12">
        <v>74</v>
      </c>
      <c r="B29" s="122" t="s">
        <v>30</v>
      </c>
      <c r="C29" s="147">
        <v>10</v>
      </c>
      <c r="D29" s="147">
        <v>4</v>
      </c>
      <c r="E29" s="147">
        <v>1</v>
      </c>
      <c r="F29" s="147">
        <v>0</v>
      </c>
      <c r="G29" s="147">
        <v>1</v>
      </c>
      <c r="H29" s="148">
        <v>0</v>
      </c>
      <c r="I29" s="148">
        <v>0</v>
      </c>
      <c r="J29" s="148">
        <v>0</v>
      </c>
      <c r="L29" s="162"/>
      <c r="M29" s="162"/>
      <c r="N29" s="162"/>
      <c r="O29" s="162"/>
      <c r="P29" s="162"/>
      <c r="Q29" s="162"/>
      <c r="R29" s="162"/>
      <c r="S29" s="162"/>
      <c r="T29" s="162"/>
      <c r="U29" s="162"/>
    </row>
    <row r="30" spans="1:21" ht="12.75" customHeight="1" x14ac:dyDescent="0.3">
      <c r="A30" s="12">
        <v>75</v>
      </c>
      <c r="B30" s="122" t="s">
        <v>31</v>
      </c>
      <c r="C30" s="147">
        <v>13</v>
      </c>
      <c r="D30" s="147">
        <v>4</v>
      </c>
      <c r="E30" s="147">
        <v>4</v>
      </c>
      <c r="F30" s="147">
        <v>0</v>
      </c>
      <c r="G30" s="147">
        <v>2</v>
      </c>
      <c r="H30" s="148">
        <v>0</v>
      </c>
      <c r="I30" s="148">
        <v>0</v>
      </c>
      <c r="J30" s="148">
        <v>0</v>
      </c>
      <c r="L30" s="162"/>
      <c r="M30" s="162"/>
      <c r="N30" s="162"/>
      <c r="O30" s="162"/>
      <c r="P30" s="162"/>
      <c r="Q30" s="162"/>
      <c r="R30" s="162"/>
      <c r="S30" s="162"/>
      <c r="T30" s="162"/>
      <c r="U30" s="162"/>
    </row>
    <row r="31" spans="1:21" ht="12.75" customHeight="1" x14ac:dyDescent="0.3">
      <c r="A31" s="12">
        <v>76</v>
      </c>
      <c r="B31" s="122" t="s">
        <v>32</v>
      </c>
      <c r="C31" s="148">
        <v>5</v>
      </c>
      <c r="D31" s="148">
        <v>11</v>
      </c>
      <c r="E31" s="148">
        <v>1</v>
      </c>
      <c r="F31" s="148">
        <v>2</v>
      </c>
      <c r="G31" s="148">
        <v>0</v>
      </c>
      <c r="H31" s="148">
        <v>1</v>
      </c>
      <c r="I31" s="148">
        <v>0</v>
      </c>
      <c r="J31" s="148">
        <v>0</v>
      </c>
      <c r="L31" s="162"/>
      <c r="M31" s="162"/>
      <c r="N31" s="162"/>
      <c r="O31" s="162"/>
      <c r="P31" s="162"/>
      <c r="Q31" s="162"/>
      <c r="R31" s="162"/>
      <c r="S31" s="162"/>
      <c r="T31" s="162"/>
      <c r="U31" s="162"/>
    </row>
    <row r="32" spans="1:21" ht="12.75" customHeight="1" x14ac:dyDescent="0.3">
      <c r="A32" s="12">
        <v>79</v>
      </c>
      <c r="B32" s="122" t="s">
        <v>33</v>
      </c>
      <c r="C32" s="148">
        <v>19</v>
      </c>
      <c r="D32" s="148">
        <v>9</v>
      </c>
      <c r="E32" s="148">
        <v>5</v>
      </c>
      <c r="F32" s="148">
        <v>0</v>
      </c>
      <c r="G32" s="148">
        <v>0</v>
      </c>
      <c r="H32" s="148">
        <v>0</v>
      </c>
      <c r="I32" s="148">
        <v>0</v>
      </c>
      <c r="J32" s="148">
        <v>0</v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</row>
    <row r="33" spans="1:21" ht="12.75" customHeight="1" x14ac:dyDescent="0.3">
      <c r="A33" s="12">
        <v>80</v>
      </c>
      <c r="B33" s="122" t="s">
        <v>34</v>
      </c>
      <c r="C33" s="148">
        <v>8</v>
      </c>
      <c r="D33" s="148">
        <v>5</v>
      </c>
      <c r="E33" s="148">
        <v>2</v>
      </c>
      <c r="F33" s="148">
        <v>0</v>
      </c>
      <c r="G33" s="148">
        <v>0</v>
      </c>
      <c r="H33" s="148">
        <v>0</v>
      </c>
      <c r="I33" s="148">
        <v>0</v>
      </c>
      <c r="J33" s="148">
        <v>0</v>
      </c>
      <c r="L33" s="162"/>
      <c r="M33" s="162"/>
      <c r="N33" s="162"/>
      <c r="O33" s="162"/>
      <c r="P33" s="162"/>
      <c r="Q33" s="162"/>
      <c r="R33" s="162"/>
      <c r="S33" s="162"/>
      <c r="T33" s="162"/>
      <c r="U33" s="162"/>
    </row>
    <row r="34" spans="1:21" ht="12.75" customHeight="1" x14ac:dyDescent="0.3">
      <c r="A34" s="12">
        <v>81</v>
      </c>
      <c r="B34" s="122" t="s">
        <v>35</v>
      </c>
      <c r="C34" s="148">
        <v>14</v>
      </c>
      <c r="D34" s="148">
        <v>4</v>
      </c>
      <c r="E34" s="148">
        <v>1</v>
      </c>
      <c r="F34" s="148">
        <v>0</v>
      </c>
      <c r="G34" s="148">
        <v>1</v>
      </c>
      <c r="H34" s="148">
        <v>0</v>
      </c>
      <c r="I34" s="148">
        <v>0</v>
      </c>
      <c r="J34" s="148">
        <v>0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</row>
    <row r="35" spans="1:21" ht="12.75" customHeight="1" x14ac:dyDescent="0.3">
      <c r="A35" s="12">
        <v>83</v>
      </c>
      <c r="B35" s="122" t="s">
        <v>36</v>
      </c>
      <c r="C35" s="148">
        <v>7</v>
      </c>
      <c r="D35" s="148">
        <v>7</v>
      </c>
      <c r="E35" s="148">
        <v>3</v>
      </c>
      <c r="F35" s="148">
        <v>1</v>
      </c>
      <c r="G35" s="148">
        <v>0</v>
      </c>
      <c r="H35" s="148">
        <v>0</v>
      </c>
      <c r="I35" s="148">
        <v>0</v>
      </c>
      <c r="J35" s="148">
        <v>0</v>
      </c>
      <c r="L35" s="162"/>
      <c r="M35" s="162"/>
      <c r="N35" s="162"/>
      <c r="O35" s="162"/>
      <c r="P35" s="162"/>
      <c r="Q35" s="162"/>
      <c r="R35" s="162"/>
      <c r="S35" s="162"/>
      <c r="T35" s="162"/>
      <c r="U35" s="162"/>
    </row>
    <row r="36" spans="1:21" ht="12.75" customHeight="1" x14ac:dyDescent="0.3">
      <c r="A36" s="12">
        <v>84</v>
      </c>
      <c r="B36" s="122" t="s">
        <v>37</v>
      </c>
      <c r="C36" s="148">
        <v>13</v>
      </c>
      <c r="D36" s="148">
        <v>7</v>
      </c>
      <c r="E36" s="148">
        <v>4</v>
      </c>
      <c r="F36" s="148">
        <v>0</v>
      </c>
      <c r="G36" s="148">
        <v>0</v>
      </c>
      <c r="H36" s="148">
        <v>1</v>
      </c>
      <c r="I36" s="148">
        <v>0</v>
      </c>
      <c r="J36" s="148">
        <v>0</v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</row>
    <row r="37" spans="1:21" ht="12.75" customHeight="1" x14ac:dyDescent="0.3">
      <c r="A37" s="12">
        <v>85</v>
      </c>
      <c r="B37" s="122" t="s">
        <v>38</v>
      </c>
      <c r="C37" s="148">
        <v>21</v>
      </c>
      <c r="D37" s="148">
        <v>8</v>
      </c>
      <c r="E37" s="148">
        <v>1</v>
      </c>
      <c r="F37" s="148">
        <v>2</v>
      </c>
      <c r="G37" s="148">
        <v>0</v>
      </c>
      <c r="H37" s="148">
        <v>0</v>
      </c>
      <c r="I37" s="148">
        <v>0</v>
      </c>
      <c r="J37" s="148">
        <v>0</v>
      </c>
      <c r="L37" s="162"/>
      <c r="M37" s="162"/>
      <c r="N37" s="162"/>
      <c r="O37" s="162"/>
      <c r="P37" s="162"/>
      <c r="Q37" s="162"/>
      <c r="R37" s="162"/>
      <c r="S37" s="162"/>
      <c r="T37" s="162"/>
      <c r="U37" s="162"/>
    </row>
    <row r="38" spans="1:21" ht="12.75" customHeight="1" x14ac:dyDescent="0.3">
      <c r="A38" s="12">
        <v>87</v>
      </c>
      <c r="B38" s="122" t="s">
        <v>39</v>
      </c>
      <c r="C38" s="148">
        <v>5</v>
      </c>
      <c r="D38" s="148">
        <v>3</v>
      </c>
      <c r="E38" s="148">
        <v>1</v>
      </c>
      <c r="F38" s="148">
        <v>1</v>
      </c>
      <c r="G38" s="148">
        <v>0</v>
      </c>
      <c r="H38" s="148">
        <v>0</v>
      </c>
      <c r="I38" s="148">
        <v>0</v>
      </c>
      <c r="J38" s="148">
        <v>0</v>
      </c>
      <c r="L38" s="162"/>
      <c r="M38" s="162"/>
      <c r="N38" s="162"/>
      <c r="O38" s="162"/>
      <c r="P38" s="162"/>
      <c r="Q38" s="162"/>
      <c r="R38" s="162"/>
      <c r="S38" s="162"/>
      <c r="T38" s="162"/>
      <c r="U38" s="162"/>
    </row>
    <row r="39" spans="1:21" ht="12.75" customHeight="1" x14ac:dyDescent="0.3">
      <c r="A39" s="12">
        <v>90</v>
      </c>
      <c r="B39" s="122" t="s">
        <v>40</v>
      </c>
      <c r="C39" s="148">
        <v>13</v>
      </c>
      <c r="D39" s="148">
        <v>4</v>
      </c>
      <c r="E39" s="148">
        <v>2</v>
      </c>
      <c r="F39" s="148">
        <v>1</v>
      </c>
      <c r="G39" s="148">
        <v>0</v>
      </c>
      <c r="H39" s="148">
        <v>0</v>
      </c>
      <c r="I39" s="148">
        <v>0</v>
      </c>
      <c r="J39" s="148">
        <v>0</v>
      </c>
      <c r="L39" s="162"/>
      <c r="M39" s="162"/>
      <c r="N39" s="162"/>
      <c r="O39" s="162"/>
      <c r="P39" s="162"/>
      <c r="Q39" s="162"/>
      <c r="R39" s="162"/>
      <c r="S39" s="162"/>
      <c r="T39" s="162"/>
      <c r="U39" s="162"/>
    </row>
    <row r="40" spans="1:21" ht="12.75" customHeight="1" x14ac:dyDescent="0.3">
      <c r="A40" s="12">
        <v>91</v>
      </c>
      <c r="B40" s="122" t="s">
        <v>41</v>
      </c>
      <c r="C40" s="148">
        <v>16</v>
      </c>
      <c r="D40" s="148">
        <v>3</v>
      </c>
      <c r="E40" s="148">
        <v>0</v>
      </c>
      <c r="F40" s="148">
        <v>0</v>
      </c>
      <c r="G40" s="148">
        <v>0</v>
      </c>
      <c r="H40" s="148">
        <v>0</v>
      </c>
      <c r="I40" s="148">
        <v>0</v>
      </c>
      <c r="J40" s="148">
        <v>0</v>
      </c>
      <c r="K40" s="127"/>
      <c r="L40" s="162"/>
      <c r="M40" s="162"/>
      <c r="N40" s="162"/>
      <c r="O40" s="162"/>
      <c r="P40" s="162"/>
      <c r="Q40" s="162"/>
      <c r="R40" s="162"/>
      <c r="S40" s="162"/>
      <c r="T40" s="162"/>
      <c r="U40" s="162"/>
    </row>
    <row r="41" spans="1:21" ht="12.75" customHeight="1" x14ac:dyDescent="0.3">
      <c r="A41" s="12">
        <v>92</v>
      </c>
      <c r="B41" s="122" t="s">
        <v>42</v>
      </c>
      <c r="C41" s="148">
        <v>12</v>
      </c>
      <c r="D41" s="148">
        <v>1</v>
      </c>
      <c r="E41" s="148">
        <v>3</v>
      </c>
      <c r="F41" s="148">
        <v>0</v>
      </c>
      <c r="G41" s="148">
        <v>0</v>
      </c>
      <c r="H41" s="148">
        <v>0</v>
      </c>
      <c r="I41" s="148">
        <v>0</v>
      </c>
      <c r="J41" s="148">
        <v>0</v>
      </c>
      <c r="L41" s="162"/>
      <c r="M41" s="162"/>
      <c r="N41" s="162"/>
      <c r="O41" s="162"/>
      <c r="P41" s="162"/>
      <c r="Q41" s="162"/>
      <c r="R41" s="162"/>
      <c r="S41" s="162"/>
      <c r="T41" s="162"/>
      <c r="U41" s="162"/>
    </row>
    <row r="42" spans="1:21" ht="12.75" customHeight="1" x14ac:dyDescent="0.3">
      <c r="A42" s="12">
        <v>94</v>
      </c>
      <c r="B42" s="122" t="s">
        <v>43</v>
      </c>
      <c r="C42" s="148">
        <v>16</v>
      </c>
      <c r="D42" s="148">
        <v>2</v>
      </c>
      <c r="E42" s="148">
        <v>2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L42" s="162"/>
      <c r="M42" s="162"/>
      <c r="N42" s="162"/>
      <c r="O42" s="162"/>
      <c r="P42" s="162"/>
      <c r="Q42" s="162"/>
      <c r="R42" s="162"/>
      <c r="S42" s="162"/>
      <c r="T42" s="162"/>
      <c r="U42" s="162"/>
    </row>
    <row r="43" spans="1:21" ht="12.75" customHeight="1" x14ac:dyDescent="0.3">
      <c r="A43" s="12">
        <v>96</v>
      </c>
      <c r="B43" s="122" t="s">
        <v>44</v>
      </c>
      <c r="C43" s="148">
        <v>7</v>
      </c>
      <c r="D43" s="148">
        <v>6</v>
      </c>
      <c r="E43" s="148">
        <v>2</v>
      </c>
      <c r="F43" s="148">
        <v>1</v>
      </c>
      <c r="G43" s="148">
        <v>0</v>
      </c>
      <c r="H43" s="148">
        <v>0</v>
      </c>
      <c r="I43" s="148">
        <v>0</v>
      </c>
      <c r="J43" s="148">
        <v>0</v>
      </c>
      <c r="L43" s="162"/>
      <c r="M43" s="162"/>
      <c r="N43" s="162"/>
      <c r="O43" s="162"/>
      <c r="P43" s="162"/>
      <c r="Q43" s="162"/>
      <c r="R43" s="162"/>
      <c r="S43" s="162"/>
      <c r="T43" s="162"/>
      <c r="U43" s="162"/>
    </row>
    <row r="44" spans="1:21" ht="12.75" customHeight="1" x14ac:dyDescent="0.3">
      <c r="A44" s="12">
        <v>72</v>
      </c>
      <c r="B44" s="150" t="s">
        <v>46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8">
        <v>0</v>
      </c>
      <c r="I44" s="148">
        <v>0</v>
      </c>
      <c r="J44" s="148">
        <v>0</v>
      </c>
      <c r="L44" s="162"/>
      <c r="M44" s="162"/>
      <c r="N44" s="162"/>
      <c r="O44" s="162"/>
      <c r="P44" s="162"/>
      <c r="Q44" s="162"/>
      <c r="R44" s="162"/>
      <c r="S44" s="162"/>
      <c r="T44" s="162"/>
      <c r="U44" s="162"/>
    </row>
    <row r="45" spans="1:21" s="127" customFormat="1" ht="25.5" customHeight="1" x14ac:dyDescent="0.3">
      <c r="B45" s="127" t="s">
        <v>47</v>
      </c>
      <c r="C45" s="153">
        <v>193</v>
      </c>
      <c r="D45" s="153">
        <v>64</v>
      </c>
      <c r="E45" s="153">
        <v>36</v>
      </c>
      <c r="F45" s="153">
        <v>17</v>
      </c>
      <c r="G45" s="153">
        <v>5</v>
      </c>
      <c r="H45" s="153">
        <v>1</v>
      </c>
      <c r="I45" s="153">
        <v>0</v>
      </c>
      <c r="J45" s="153">
        <v>0</v>
      </c>
      <c r="L45" s="162"/>
      <c r="M45" s="162"/>
      <c r="N45" s="162"/>
      <c r="O45" s="162"/>
      <c r="P45" s="162"/>
      <c r="Q45" s="162"/>
      <c r="R45" s="162"/>
      <c r="S45" s="162"/>
      <c r="T45" s="162"/>
      <c r="U45" s="162"/>
    </row>
    <row r="46" spans="1:21" ht="12.75" customHeight="1" x14ac:dyDescent="0.3">
      <c r="A46" s="12">
        <v>66</v>
      </c>
      <c r="B46" s="122" t="s">
        <v>48</v>
      </c>
      <c r="C46" s="147">
        <v>46</v>
      </c>
      <c r="D46" s="147">
        <v>3</v>
      </c>
      <c r="E46" s="147">
        <v>10</v>
      </c>
      <c r="F46" s="147">
        <v>1</v>
      </c>
      <c r="G46" s="147">
        <v>0</v>
      </c>
      <c r="H46" s="148">
        <v>0</v>
      </c>
      <c r="I46" s="148">
        <v>0</v>
      </c>
      <c r="J46" s="148">
        <v>0</v>
      </c>
      <c r="L46" s="162"/>
      <c r="M46" s="162"/>
      <c r="N46" s="162"/>
      <c r="O46" s="162"/>
      <c r="P46" s="162"/>
      <c r="Q46" s="162"/>
      <c r="R46" s="162"/>
      <c r="S46" s="162"/>
      <c r="T46" s="162"/>
      <c r="U46" s="162"/>
    </row>
    <row r="47" spans="1:21" ht="12.75" customHeight="1" x14ac:dyDescent="0.3">
      <c r="A47" s="12">
        <v>78</v>
      </c>
      <c r="B47" s="122" t="s">
        <v>49</v>
      </c>
      <c r="C47" s="147">
        <v>19</v>
      </c>
      <c r="D47" s="147">
        <v>5</v>
      </c>
      <c r="E47" s="147">
        <v>0</v>
      </c>
      <c r="F47" s="147">
        <v>1</v>
      </c>
      <c r="G47" s="147">
        <v>3</v>
      </c>
      <c r="H47" s="148">
        <v>0</v>
      </c>
      <c r="I47" s="148">
        <v>0</v>
      </c>
      <c r="J47" s="148">
        <v>0</v>
      </c>
      <c r="L47" s="162"/>
      <c r="M47" s="162"/>
      <c r="N47" s="162"/>
      <c r="O47" s="162"/>
      <c r="P47" s="162"/>
      <c r="Q47" s="162"/>
      <c r="R47" s="162"/>
      <c r="S47" s="162"/>
      <c r="T47" s="162"/>
      <c r="U47" s="162"/>
    </row>
    <row r="48" spans="1:21" ht="12.75" customHeight="1" x14ac:dyDescent="0.3">
      <c r="A48" s="12">
        <v>89</v>
      </c>
      <c r="B48" s="122" t="s">
        <v>50</v>
      </c>
      <c r="C48" s="147">
        <v>14</v>
      </c>
      <c r="D48" s="147">
        <v>16</v>
      </c>
      <c r="E48" s="147">
        <v>2</v>
      </c>
      <c r="F48" s="147">
        <v>2</v>
      </c>
      <c r="G48" s="147">
        <v>0</v>
      </c>
      <c r="H48" s="148">
        <v>0</v>
      </c>
      <c r="I48" s="148">
        <v>0</v>
      </c>
      <c r="J48" s="148">
        <v>0</v>
      </c>
      <c r="L48" s="162"/>
      <c r="M48" s="162"/>
      <c r="N48" s="162"/>
      <c r="O48" s="162"/>
      <c r="P48" s="162"/>
      <c r="Q48" s="162"/>
      <c r="R48" s="162"/>
      <c r="S48" s="162"/>
      <c r="T48" s="162"/>
      <c r="U48" s="162"/>
    </row>
    <row r="49" spans="1:21" ht="12.75" customHeight="1" x14ac:dyDescent="0.3">
      <c r="A49" s="12">
        <v>93</v>
      </c>
      <c r="B49" s="122" t="s">
        <v>51</v>
      </c>
      <c r="C49" s="147">
        <v>4</v>
      </c>
      <c r="D49" s="147">
        <v>5</v>
      </c>
      <c r="E49" s="147">
        <v>0</v>
      </c>
      <c r="F49" s="147">
        <v>2</v>
      </c>
      <c r="G49" s="147">
        <v>0</v>
      </c>
      <c r="H49" s="148">
        <v>0</v>
      </c>
      <c r="I49" s="148">
        <v>0</v>
      </c>
      <c r="J49" s="148">
        <v>0</v>
      </c>
      <c r="L49" s="162"/>
      <c r="M49" s="162"/>
      <c r="N49" s="162"/>
      <c r="O49" s="162"/>
      <c r="P49" s="162"/>
      <c r="Q49" s="162"/>
      <c r="R49" s="162"/>
      <c r="S49" s="162"/>
      <c r="T49" s="162"/>
      <c r="U49" s="162"/>
    </row>
    <row r="50" spans="1:21" ht="12.75" customHeight="1" x14ac:dyDescent="0.3">
      <c r="A50" s="12">
        <v>95</v>
      </c>
      <c r="B50" s="122" t="s">
        <v>52</v>
      </c>
      <c r="C50" s="147">
        <v>23</v>
      </c>
      <c r="D50" s="147">
        <v>3</v>
      </c>
      <c r="E50" s="147">
        <v>2</v>
      </c>
      <c r="F50" s="147">
        <v>0</v>
      </c>
      <c r="G50" s="147">
        <v>1</v>
      </c>
      <c r="H50" s="148">
        <v>0</v>
      </c>
      <c r="I50" s="148">
        <v>0</v>
      </c>
      <c r="J50" s="148">
        <v>0</v>
      </c>
      <c r="L50" s="162"/>
      <c r="M50" s="162"/>
      <c r="N50" s="162"/>
      <c r="O50" s="162"/>
      <c r="P50" s="162"/>
      <c r="Q50" s="162"/>
      <c r="R50" s="162"/>
      <c r="S50" s="162"/>
      <c r="T50" s="162"/>
      <c r="U50" s="162"/>
    </row>
    <row r="51" spans="1:21" ht="12.75" customHeight="1" x14ac:dyDescent="0.3">
      <c r="A51" s="12">
        <v>97</v>
      </c>
      <c r="B51" s="122" t="s">
        <v>53</v>
      </c>
      <c r="C51" s="147">
        <v>18</v>
      </c>
      <c r="D51" s="147">
        <v>3</v>
      </c>
      <c r="E51" s="147">
        <v>1</v>
      </c>
      <c r="F51" s="147">
        <v>0</v>
      </c>
      <c r="G51" s="147">
        <v>1</v>
      </c>
      <c r="H51" s="148">
        <v>0</v>
      </c>
      <c r="I51" s="148">
        <v>0</v>
      </c>
      <c r="J51" s="148">
        <v>0</v>
      </c>
      <c r="L51" s="162"/>
      <c r="M51" s="162"/>
      <c r="N51" s="162"/>
      <c r="O51" s="162"/>
      <c r="P51" s="162"/>
      <c r="Q51" s="162"/>
      <c r="R51" s="162"/>
      <c r="S51" s="162"/>
      <c r="T51" s="162"/>
      <c r="U51" s="162"/>
    </row>
    <row r="52" spans="1:21" ht="12.75" customHeight="1" x14ac:dyDescent="0.3">
      <c r="A52" s="12">
        <v>77</v>
      </c>
      <c r="B52" s="154" t="s">
        <v>54</v>
      </c>
      <c r="C52" s="155">
        <v>69</v>
      </c>
      <c r="D52" s="155">
        <v>29</v>
      </c>
      <c r="E52" s="155">
        <v>21</v>
      </c>
      <c r="F52" s="155">
        <v>11</v>
      </c>
      <c r="G52" s="155">
        <v>0</v>
      </c>
      <c r="H52" s="156">
        <v>1</v>
      </c>
      <c r="I52" s="156">
        <v>0</v>
      </c>
      <c r="J52" s="156">
        <v>0</v>
      </c>
      <c r="L52" s="162"/>
      <c r="M52" s="162"/>
      <c r="N52" s="162"/>
      <c r="O52" s="162"/>
      <c r="P52" s="162"/>
      <c r="Q52" s="162"/>
      <c r="R52" s="162"/>
      <c r="S52" s="162"/>
      <c r="T52" s="162"/>
      <c r="U52" s="162"/>
    </row>
    <row r="53" spans="1:21" s="152" customFormat="1" ht="13.5" customHeight="1" x14ac:dyDescent="0.3">
      <c r="A53" s="1"/>
      <c r="C53" s="157"/>
      <c r="D53" s="158"/>
      <c r="E53" s="157"/>
      <c r="F53" s="157"/>
      <c r="G53" s="157"/>
      <c r="H53" s="157"/>
      <c r="I53" s="157"/>
      <c r="J53" s="157"/>
      <c r="K53" s="122"/>
      <c r="L53" s="122"/>
    </row>
    <row r="54" spans="1:21" ht="18.75" customHeight="1" x14ac:dyDescent="0.3">
      <c r="B54" s="12" t="s">
        <v>55</v>
      </c>
    </row>
    <row r="55" spans="1:21" x14ac:dyDescent="0.3">
      <c r="B55" s="291" t="s">
        <v>56</v>
      </c>
      <c r="C55" s="291"/>
      <c r="D55" s="291"/>
      <c r="E55" s="291"/>
      <c r="F55" s="291"/>
      <c r="G55" s="291"/>
      <c r="H55" s="291"/>
      <c r="I55" s="291"/>
      <c r="J55" s="291"/>
    </row>
    <row r="56" spans="1:21" ht="12.75" customHeight="1" x14ac:dyDescent="0.3">
      <c r="B56" s="291"/>
      <c r="C56" s="291"/>
      <c r="D56" s="291"/>
      <c r="E56" s="291"/>
      <c r="F56" s="291"/>
      <c r="G56" s="291"/>
      <c r="H56" s="291"/>
      <c r="I56" s="291"/>
      <c r="J56" s="291"/>
    </row>
    <row r="57" spans="1:21" ht="18.75" customHeight="1" x14ac:dyDescent="0.3">
      <c r="B57" s="291"/>
      <c r="C57" s="291"/>
      <c r="D57" s="291"/>
      <c r="E57" s="291"/>
      <c r="F57" s="291"/>
      <c r="G57" s="291"/>
      <c r="H57" s="291"/>
      <c r="I57" s="291"/>
      <c r="J57" s="291"/>
    </row>
    <row r="58" spans="1:21" ht="18.75" customHeight="1" x14ac:dyDescent="0.3">
      <c r="B58" s="291"/>
      <c r="C58" s="291"/>
      <c r="D58" s="291"/>
      <c r="E58" s="291"/>
      <c r="F58" s="291"/>
      <c r="G58" s="291"/>
      <c r="H58" s="291"/>
      <c r="I58" s="291"/>
      <c r="J58" s="291"/>
    </row>
    <row r="59" spans="1:21" ht="18.75" customHeight="1" x14ac:dyDescent="0.3"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21" ht="17.25" customHeight="1" x14ac:dyDescent="0.3"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21" ht="15.75" customHeight="1" x14ac:dyDescent="0.3">
      <c r="B61" s="12" t="s">
        <v>61</v>
      </c>
    </row>
    <row r="62" spans="1:21" ht="9.75" customHeight="1" x14ac:dyDescent="0.3">
      <c r="B62" s="291"/>
      <c r="C62" s="291"/>
      <c r="D62" s="291"/>
      <c r="E62" s="57"/>
      <c r="F62" s="57"/>
      <c r="G62" s="57"/>
      <c r="H62" s="57"/>
      <c r="I62" s="57"/>
      <c r="J62" s="57"/>
    </row>
    <row r="63" spans="1:21" ht="18.75" customHeight="1" x14ac:dyDescent="0.3">
      <c r="B63" s="138" t="s">
        <v>62</v>
      </c>
    </row>
    <row r="64" spans="1:21" ht="15.5" x14ac:dyDescent="0.3">
      <c r="B64" s="140"/>
      <c r="C64" s="166"/>
      <c r="D64" s="167"/>
      <c r="E64" s="167"/>
    </row>
    <row r="65" spans="2:5" ht="15.5" x14ac:dyDescent="0.3">
      <c r="C65" s="166"/>
      <c r="D65" s="167"/>
      <c r="E65" s="167"/>
    </row>
    <row r="66" spans="2:5" x14ac:dyDescent="0.3">
      <c r="B66" s="141"/>
      <c r="C66" s="141"/>
      <c r="D66" s="141"/>
      <c r="E66" s="141"/>
    </row>
  </sheetData>
  <mergeCells count="10">
    <mergeCell ref="N2:Q2"/>
    <mergeCell ref="R2:S3"/>
    <mergeCell ref="B55:J60"/>
    <mergeCell ref="B62:D62"/>
    <mergeCell ref="B1:J1"/>
    <mergeCell ref="B2:B4"/>
    <mergeCell ref="C2:D3"/>
    <mergeCell ref="E2:H2"/>
    <mergeCell ref="I2:J3"/>
    <mergeCell ref="L2:M3"/>
  </mergeCells>
  <conditionalFormatting sqref="L5:U52">
    <cfRule type="cellIs" dxfId="5" priority="1" stopIfTrue="1" operator="lessThan">
      <formula>-0.5</formula>
    </cfRule>
    <cfRule type="cellIs" dxfId="4" priority="2" stopIfTrue="1" operator="greaterThan">
      <formula>0.5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indexed="22"/>
  </sheetPr>
  <dimension ref="A1:K64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ColWidth="0" defaultRowHeight="12.5" x14ac:dyDescent="0.3"/>
  <cols>
    <col min="1" max="1" width="3.26953125" style="1" hidden="1" customWidth="1"/>
    <col min="2" max="2" width="24.7265625" style="122" customWidth="1"/>
    <col min="3" max="3" width="18" style="122" customWidth="1"/>
    <col min="4" max="4" width="18.453125" style="122" customWidth="1"/>
    <col min="5" max="5" width="13.7265625" style="122" customWidth="1"/>
    <col min="6" max="6" width="14" style="122" customWidth="1"/>
    <col min="7" max="7" width="9.26953125" style="122" customWidth="1"/>
    <col min="8" max="256" width="0" style="122" hidden="1"/>
    <col min="257" max="257" width="0" style="122" hidden="1" customWidth="1"/>
    <col min="258" max="258" width="24.7265625" style="122" customWidth="1"/>
    <col min="259" max="259" width="18" style="122" customWidth="1"/>
    <col min="260" max="260" width="18.453125" style="122" customWidth="1"/>
    <col min="261" max="261" width="13.7265625" style="122" customWidth="1"/>
    <col min="262" max="262" width="14" style="122" customWidth="1"/>
    <col min="263" max="263" width="9.26953125" style="122" customWidth="1"/>
    <col min="264" max="512" width="0" style="122" hidden="1"/>
    <col min="513" max="513" width="0" style="122" hidden="1" customWidth="1"/>
    <col min="514" max="514" width="24.7265625" style="122" customWidth="1"/>
    <col min="515" max="515" width="18" style="122" customWidth="1"/>
    <col min="516" max="516" width="18.453125" style="122" customWidth="1"/>
    <col min="517" max="517" width="13.7265625" style="122" customWidth="1"/>
    <col min="518" max="518" width="14" style="122" customWidth="1"/>
    <col min="519" max="519" width="9.26953125" style="122" customWidth="1"/>
    <col min="520" max="768" width="0" style="122" hidden="1"/>
    <col min="769" max="769" width="0" style="122" hidden="1" customWidth="1"/>
    <col min="770" max="770" width="24.7265625" style="122" customWidth="1"/>
    <col min="771" max="771" width="18" style="122" customWidth="1"/>
    <col min="772" max="772" width="18.453125" style="122" customWidth="1"/>
    <col min="773" max="773" width="13.7265625" style="122" customWidth="1"/>
    <col min="774" max="774" width="14" style="122" customWidth="1"/>
    <col min="775" max="775" width="9.26953125" style="122" customWidth="1"/>
    <col min="776" max="1024" width="0" style="122" hidden="1"/>
    <col min="1025" max="1025" width="0" style="122" hidden="1" customWidth="1"/>
    <col min="1026" max="1026" width="24.7265625" style="122" customWidth="1"/>
    <col min="1027" max="1027" width="18" style="122" customWidth="1"/>
    <col min="1028" max="1028" width="18.453125" style="122" customWidth="1"/>
    <col min="1029" max="1029" width="13.7265625" style="122" customWidth="1"/>
    <col min="1030" max="1030" width="14" style="122" customWidth="1"/>
    <col min="1031" max="1031" width="9.26953125" style="122" customWidth="1"/>
    <col min="1032" max="1280" width="0" style="122" hidden="1"/>
    <col min="1281" max="1281" width="0" style="122" hidden="1" customWidth="1"/>
    <col min="1282" max="1282" width="24.7265625" style="122" customWidth="1"/>
    <col min="1283" max="1283" width="18" style="122" customWidth="1"/>
    <col min="1284" max="1284" width="18.453125" style="122" customWidth="1"/>
    <col min="1285" max="1285" width="13.7265625" style="122" customWidth="1"/>
    <col min="1286" max="1286" width="14" style="122" customWidth="1"/>
    <col min="1287" max="1287" width="9.26953125" style="122" customWidth="1"/>
    <col min="1288" max="1536" width="0" style="122" hidden="1"/>
    <col min="1537" max="1537" width="0" style="122" hidden="1" customWidth="1"/>
    <col min="1538" max="1538" width="24.7265625" style="122" customWidth="1"/>
    <col min="1539" max="1539" width="18" style="122" customWidth="1"/>
    <col min="1540" max="1540" width="18.453125" style="122" customWidth="1"/>
    <col min="1541" max="1541" width="13.7265625" style="122" customWidth="1"/>
    <col min="1542" max="1542" width="14" style="122" customWidth="1"/>
    <col min="1543" max="1543" width="9.26953125" style="122" customWidth="1"/>
    <col min="1544" max="1792" width="0" style="122" hidden="1"/>
    <col min="1793" max="1793" width="0" style="122" hidden="1" customWidth="1"/>
    <col min="1794" max="1794" width="24.7265625" style="122" customWidth="1"/>
    <col min="1795" max="1795" width="18" style="122" customWidth="1"/>
    <col min="1796" max="1796" width="18.453125" style="122" customWidth="1"/>
    <col min="1797" max="1797" width="13.7265625" style="122" customWidth="1"/>
    <col min="1798" max="1798" width="14" style="122" customWidth="1"/>
    <col min="1799" max="1799" width="9.26953125" style="122" customWidth="1"/>
    <col min="1800" max="2048" width="0" style="122" hidden="1"/>
    <col min="2049" max="2049" width="0" style="122" hidden="1" customWidth="1"/>
    <col min="2050" max="2050" width="24.7265625" style="122" customWidth="1"/>
    <col min="2051" max="2051" width="18" style="122" customWidth="1"/>
    <col min="2052" max="2052" width="18.453125" style="122" customWidth="1"/>
    <col min="2053" max="2053" width="13.7265625" style="122" customWidth="1"/>
    <col min="2054" max="2054" width="14" style="122" customWidth="1"/>
    <col min="2055" max="2055" width="9.26953125" style="122" customWidth="1"/>
    <col min="2056" max="2304" width="0" style="122" hidden="1"/>
    <col min="2305" max="2305" width="0" style="122" hidden="1" customWidth="1"/>
    <col min="2306" max="2306" width="24.7265625" style="122" customWidth="1"/>
    <col min="2307" max="2307" width="18" style="122" customWidth="1"/>
    <col min="2308" max="2308" width="18.453125" style="122" customWidth="1"/>
    <col min="2309" max="2309" width="13.7265625" style="122" customWidth="1"/>
    <col min="2310" max="2310" width="14" style="122" customWidth="1"/>
    <col min="2311" max="2311" width="9.26953125" style="122" customWidth="1"/>
    <col min="2312" max="2560" width="0" style="122" hidden="1"/>
    <col min="2561" max="2561" width="0" style="122" hidden="1" customWidth="1"/>
    <col min="2562" max="2562" width="24.7265625" style="122" customWidth="1"/>
    <col min="2563" max="2563" width="18" style="122" customWidth="1"/>
    <col min="2564" max="2564" width="18.453125" style="122" customWidth="1"/>
    <col min="2565" max="2565" width="13.7265625" style="122" customWidth="1"/>
    <col min="2566" max="2566" width="14" style="122" customWidth="1"/>
    <col min="2567" max="2567" width="9.26953125" style="122" customWidth="1"/>
    <col min="2568" max="2816" width="0" style="122" hidden="1"/>
    <col min="2817" max="2817" width="0" style="122" hidden="1" customWidth="1"/>
    <col min="2818" max="2818" width="24.7265625" style="122" customWidth="1"/>
    <col min="2819" max="2819" width="18" style="122" customWidth="1"/>
    <col min="2820" max="2820" width="18.453125" style="122" customWidth="1"/>
    <col min="2821" max="2821" width="13.7265625" style="122" customWidth="1"/>
    <col min="2822" max="2822" width="14" style="122" customWidth="1"/>
    <col min="2823" max="2823" width="9.26953125" style="122" customWidth="1"/>
    <col min="2824" max="3072" width="0" style="122" hidden="1"/>
    <col min="3073" max="3073" width="0" style="122" hidden="1" customWidth="1"/>
    <col min="3074" max="3074" width="24.7265625" style="122" customWidth="1"/>
    <col min="3075" max="3075" width="18" style="122" customWidth="1"/>
    <col min="3076" max="3076" width="18.453125" style="122" customWidth="1"/>
    <col min="3077" max="3077" width="13.7265625" style="122" customWidth="1"/>
    <col min="3078" max="3078" width="14" style="122" customWidth="1"/>
    <col min="3079" max="3079" width="9.26953125" style="122" customWidth="1"/>
    <col min="3080" max="3328" width="0" style="122" hidden="1"/>
    <col min="3329" max="3329" width="0" style="122" hidden="1" customWidth="1"/>
    <col min="3330" max="3330" width="24.7265625" style="122" customWidth="1"/>
    <col min="3331" max="3331" width="18" style="122" customWidth="1"/>
    <col min="3332" max="3332" width="18.453125" style="122" customWidth="1"/>
    <col min="3333" max="3333" width="13.7265625" style="122" customWidth="1"/>
    <col min="3334" max="3334" width="14" style="122" customWidth="1"/>
    <col min="3335" max="3335" width="9.26953125" style="122" customWidth="1"/>
    <col min="3336" max="3584" width="0" style="122" hidden="1"/>
    <col min="3585" max="3585" width="0" style="122" hidden="1" customWidth="1"/>
    <col min="3586" max="3586" width="24.7265625" style="122" customWidth="1"/>
    <col min="3587" max="3587" width="18" style="122" customWidth="1"/>
    <col min="3588" max="3588" width="18.453125" style="122" customWidth="1"/>
    <col min="3589" max="3589" width="13.7265625" style="122" customWidth="1"/>
    <col min="3590" max="3590" width="14" style="122" customWidth="1"/>
    <col min="3591" max="3591" width="9.26953125" style="122" customWidth="1"/>
    <col min="3592" max="3840" width="0" style="122" hidden="1"/>
    <col min="3841" max="3841" width="0" style="122" hidden="1" customWidth="1"/>
    <col min="3842" max="3842" width="24.7265625" style="122" customWidth="1"/>
    <col min="3843" max="3843" width="18" style="122" customWidth="1"/>
    <col min="3844" max="3844" width="18.453125" style="122" customWidth="1"/>
    <col min="3845" max="3845" width="13.7265625" style="122" customWidth="1"/>
    <col min="3846" max="3846" width="14" style="122" customWidth="1"/>
    <col min="3847" max="3847" width="9.26953125" style="122" customWidth="1"/>
    <col min="3848" max="4096" width="0" style="122" hidden="1"/>
    <col min="4097" max="4097" width="0" style="122" hidden="1" customWidth="1"/>
    <col min="4098" max="4098" width="24.7265625" style="122" customWidth="1"/>
    <col min="4099" max="4099" width="18" style="122" customWidth="1"/>
    <col min="4100" max="4100" width="18.453125" style="122" customWidth="1"/>
    <col min="4101" max="4101" width="13.7265625" style="122" customWidth="1"/>
    <col min="4102" max="4102" width="14" style="122" customWidth="1"/>
    <col min="4103" max="4103" width="9.26953125" style="122" customWidth="1"/>
    <col min="4104" max="4352" width="0" style="122" hidden="1"/>
    <col min="4353" max="4353" width="0" style="122" hidden="1" customWidth="1"/>
    <col min="4354" max="4354" width="24.7265625" style="122" customWidth="1"/>
    <col min="4355" max="4355" width="18" style="122" customWidth="1"/>
    <col min="4356" max="4356" width="18.453125" style="122" customWidth="1"/>
    <col min="4357" max="4357" width="13.7265625" style="122" customWidth="1"/>
    <col min="4358" max="4358" width="14" style="122" customWidth="1"/>
    <col min="4359" max="4359" width="9.26953125" style="122" customWidth="1"/>
    <col min="4360" max="4608" width="0" style="122" hidden="1"/>
    <col min="4609" max="4609" width="0" style="122" hidden="1" customWidth="1"/>
    <col min="4610" max="4610" width="24.7265625" style="122" customWidth="1"/>
    <col min="4611" max="4611" width="18" style="122" customWidth="1"/>
    <col min="4612" max="4612" width="18.453125" style="122" customWidth="1"/>
    <col min="4613" max="4613" width="13.7265625" style="122" customWidth="1"/>
    <col min="4614" max="4614" width="14" style="122" customWidth="1"/>
    <col min="4615" max="4615" width="9.26953125" style="122" customWidth="1"/>
    <col min="4616" max="4864" width="0" style="122" hidden="1"/>
    <col min="4865" max="4865" width="0" style="122" hidden="1" customWidth="1"/>
    <col min="4866" max="4866" width="24.7265625" style="122" customWidth="1"/>
    <col min="4867" max="4867" width="18" style="122" customWidth="1"/>
    <col min="4868" max="4868" width="18.453125" style="122" customWidth="1"/>
    <col min="4869" max="4869" width="13.7265625" style="122" customWidth="1"/>
    <col min="4870" max="4870" width="14" style="122" customWidth="1"/>
    <col min="4871" max="4871" width="9.26953125" style="122" customWidth="1"/>
    <col min="4872" max="5120" width="0" style="122" hidden="1"/>
    <col min="5121" max="5121" width="0" style="122" hidden="1" customWidth="1"/>
    <col min="5122" max="5122" width="24.7265625" style="122" customWidth="1"/>
    <col min="5123" max="5123" width="18" style="122" customWidth="1"/>
    <col min="5124" max="5124" width="18.453125" style="122" customWidth="1"/>
    <col min="5125" max="5125" width="13.7265625" style="122" customWidth="1"/>
    <col min="5126" max="5126" width="14" style="122" customWidth="1"/>
    <col min="5127" max="5127" width="9.26953125" style="122" customWidth="1"/>
    <col min="5128" max="5376" width="0" style="122" hidden="1"/>
    <col min="5377" max="5377" width="0" style="122" hidden="1" customWidth="1"/>
    <col min="5378" max="5378" width="24.7265625" style="122" customWidth="1"/>
    <col min="5379" max="5379" width="18" style="122" customWidth="1"/>
    <col min="5380" max="5380" width="18.453125" style="122" customWidth="1"/>
    <col min="5381" max="5381" width="13.7265625" style="122" customWidth="1"/>
    <col min="5382" max="5382" width="14" style="122" customWidth="1"/>
    <col min="5383" max="5383" width="9.26953125" style="122" customWidth="1"/>
    <col min="5384" max="5632" width="0" style="122" hidden="1"/>
    <col min="5633" max="5633" width="0" style="122" hidden="1" customWidth="1"/>
    <col min="5634" max="5634" width="24.7265625" style="122" customWidth="1"/>
    <col min="5635" max="5635" width="18" style="122" customWidth="1"/>
    <col min="5636" max="5636" width="18.453125" style="122" customWidth="1"/>
    <col min="5637" max="5637" width="13.7265625" style="122" customWidth="1"/>
    <col min="5638" max="5638" width="14" style="122" customWidth="1"/>
    <col min="5639" max="5639" width="9.26953125" style="122" customWidth="1"/>
    <col min="5640" max="5888" width="0" style="122" hidden="1"/>
    <col min="5889" max="5889" width="0" style="122" hidden="1" customWidth="1"/>
    <col min="5890" max="5890" width="24.7265625" style="122" customWidth="1"/>
    <col min="5891" max="5891" width="18" style="122" customWidth="1"/>
    <col min="5892" max="5892" width="18.453125" style="122" customWidth="1"/>
    <col min="5893" max="5893" width="13.7265625" style="122" customWidth="1"/>
    <col min="5894" max="5894" width="14" style="122" customWidth="1"/>
    <col min="5895" max="5895" width="9.26953125" style="122" customWidth="1"/>
    <col min="5896" max="6144" width="0" style="122" hidden="1"/>
    <col min="6145" max="6145" width="0" style="122" hidden="1" customWidth="1"/>
    <col min="6146" max="6146" width="24.7265625" style="122" customWidth="1"/>
    <col min="6147" max="6147" width="18" style="122" customWidth="1"/>
    <col min="6148" max="6148" width="18.453125" style="122" customWidth="1"/>
    <col min="6149" max="6149" width="13.7265625" style="122" customWidth="1"/>
    <col min="6150" max="6150" width="14" style="122" customWidth="1"/>
    <col min="6151" max="6151" width="9.26953125" style="122" customWidth="1"/>
    <col min="6152" max="6400" width="0" style="122" hidden="1"/>
    <col min="6401" max="6401" width="0" style="122" hidden="1" customWidth="1"/>
    <col min="6402" max="6402" width="24.7265625" style="122" customWidth="1"/>
    <col min="6403" max="6403" width="18" style="122" customWidth="1"/>
    <col min="6404" max="6404" width="18.453125" style="122" customWidth="1"/>
    <col min="6405" max="6405" width="13.7265625" style="122" customWidth="1"/>
    <col min="6406" max="6406" width="14" style="122" customWidth="1"/>
    <col min="6407" max="6407" width="9.26953125" style="122" customWidth="1"/>
    <col min="6408" max="6656" width="0" style="122" hidden="1"/>
    <col min="6657" max="6657" width="0" style="122" hidden="1" customWidth="1"/>
    <col min="6658" max="6658" width="24.7265625" style="122" customWidth="1"/>
    <col min="6659" max="6659" width="18" style="122" customWidth="1"/>
    <col min="6660" max="6660" width="18.453125" style="122" customWidth="1"/>
    <col min="6661" max="6661" width="13.7265625" style="122" customWidth="1"/>
    <col min="6662" max="6662" width="14" style="122" customWidth="1"/>
    <col min="6663" max="6663" width="9.26953125" style="122" customWidth="1"/>
    <col min="6664" max="6912" width="0" style="122" hidden="1"/>
    <col min="6913" max="6913" width="0" style="122" hidden="1" customWidth="1"/>
    <col min="6914" max="6914" width="24.7265625" style="122" customWidth="1"/>
    <col min="6915" max="6915" width="18" style="122" customWidth="1"/>
    <col min="6916" max="6916" width="18.453125" style="122" customWidth="1"/>
    <col min="6917" max="6917" width="13.7265625" style="122" customWidth="1"/>
    <col min="6918" max="6918" width="14" style="122" customWidth="1"/>
    <col min="6919" max="6919" width="9.26953125" style="122" customWidth="1"/>
    <col min="6920" max="7168" width="0" style="122" hidden="1"/>
    <col min="7169" max="7169" width="0" style="122" hidden="1" customWidth="1"/>
    <col min="7170" max="7170" width="24.7265625" style="122" customWidth="1"/>
    <col min="7171" max="7171" width="18" style="122" customWidth="1"/>
    <col min="7172" max="7172" width="18.453125" style="122" customWidth="1"/>
    <col min="7173" max="7173" width="13.7265625" style="122" customWidth="1"/>
    <col min="7174" max="7174" width="14" style="122" customWidth="1"/>
    <col min="7175" max="7175" width="9.26953125" style="122" customWidth="1"/>
    <col min="7176" max="7424" width="0" style="122" hidden="1"/>
    <col min="7425" max="7425" width="0" style="122" hidden="1" customWidth="1"/>
    <col min="7426" max="7426" width="24.7265625" style="122" customWidth="1"/>
    <col min="7427" max="7427" width="18" style="122" customWidth="1"/>
    <col min="7428" max="7428" width="18.453125" style="122" customWidth="1"/>
    <col min="7429" max="7429" width="13.7265625" style="122" customWidth="1"/>
    <col min="7430" max="7430" width="14" style="122" customWidth="1"/>
    <col min="7431" max="7431" width="9.26953125" style="122" customWidth="1"/>
    <col min="7432" max="7680" width="0" style="122" hidden="1"/>
    <col min="7681" max="7681" width="0" style="122" hidden="1" customWidth="1"/>
    <col min="7682" max="7682" width="24.7265625" style="122" customWidth="1"/>
    <col min="7683" max="7683" width="18" style="122" customWidth="1"/>
    <col min="7684" max="7684" width="18.453125" style="122" customWidth="1"/>
    <col min="7685" max="7685" width="13.7265625" style="122" customWidth="1"/>
    <col min="7686" max="7686" width="14" style="122" customWidth="1"/>
    <col min="7687" max="7687" width="9.26953125" style="122" customWidth="1"/>
    <col min="7688" max="7936" width="0" style="122" hidden="1"/>
    <col min="7937" max="7937" width="0" style="122" hidden="1" customWidth="1"/>
    <col min="7938" max="7938" width="24.7265625" style="122" customWidth="1"/>
    <col min="7939" max="7939" width="18" style="122" customWidth="1"/>
    <col min="7940" max="7940" width="18.453125" style="122" customWidth="1"/>
    <col min="7941" max="7941" width="13.7265625" style="122" customWidth="1"/>
    <col min="7942" max="7942" width="14" style="122" customWidth="1"/>
    <col min="7943" max="7943" width="9.26953125" style="122" customWidth="1"/>
    <col min="7944" max="8192" width="0" style="122" hidden="1"/>
    <col min="8193" max="8193" width="0" style="122" hidden="1" customWidth="1"/>
    <col min="8194" max="8194" width="24.7265625" style="122" customWidth="1"/>
    <col min="8195" max="8195" width="18" style="122" customWidth="1"/>
    <col min="8196" max="8196" width="18.453125" style="122" customWidth="1"/>
    <col min="8197" max="8197" width="13.7265625" style="122" customWidth="1"/>
    <col min="8198" max="8198" width="14" style="122" customWidth="1"/>
    <col min="8199" max="8199" width="9.26953125" style="122" customWidth="1"/>
    <col min="8200" max="8448" width="0" style="122" hidden="1"/>
    <col min="8449" max="8449" width="0" style="122" hidden="1" customWidth="1"/>
    <col min="8450" max="8450" width="24.7265625" style="122" customWidth="1"/>
    <col min="8451" max="8451" width="18" style="122" customWidth="1"/>
    <col min="8452" max="8452" width="18.453125" style="122" customWidth="1"/>
    <col min="8453" max="8453" width="13.7265625" style="122" customWidth="1"/>
    <col min="8454" max="8454" width="14" style="122" customWidth="1"/>
    <col min="8455" max="8455" width="9.26953125" style="122" customWidth="1"/>
    <col min="8456" max="8704" width="0" style="122" hidden="1"/>
    <col min="8705" max="8705" width="0" style="122" hidden="1" customWidth="1"/>
    <col min="8706" max="8706" width="24.7265625" style="122" customWidth="1"/>
    <col min="8707" max="8707" width="18" style="122" customWidth="1"/>
    <col min="8708" max="8708" width="18.453125" style="122" customWidth="1"/>
    <col min="8709" max="8709" width="13.7265625" style="122" customWidth="1"/>
    <col min="8710" max="8710" width="14" style="122" customWidth="1"/>
    <col min="8711" max="8711" width="9.26953125" style="122" customWidth="1"/>
    <col min="8712" max="8960" width="0" style="122" hidden="1"/>
    <col min="8961" max="8961" width="0" style="122" hidden="1" customWidth="1"/>
    <col min="8962" max="8962" width="24.7265625" style="122" customWidth="1"/>
    <col min="8963" max="8963" width="18" style="122" customWidth="1"/>
    <col min="8964" max="8964" width="18.453125" style="122" customWidth="1"/>
    <col min="8965" max="8965" width="13.7265625" style="122" customWidth="1"/>
    <col min="8966" max="8966" width="14" style="122" customWidth="1"/>
    <col min="8967" max="8967" width="9.26953125" style="122" customWidth="1"/>
    <col min="8968" max="9216" width="0" style="122" hidden="1"/>
    <col min="9217" max="9217" width="0" style="122" hidden="1" customWidth="1"/>
    <col min="9218" max="9218" width="24.7265625" style="122" customWidth="1"/>
    <col min="9219" max="9219" width="18" style="122" customWidth="1"/>
    <col min="9220" max="9220" width="18.453125" style="122" customWidth="1"/>
    <col min="9221" max="9221" width="13.7265625" style="122" customWidth="1"/>
    <col min="9222" max="9222" width="14" style="122" customWidth="1"/>
    <col min="9223" max="9223" width="9.26953125" style="122" customWidth="1"/>
    <col min="9224" max="9472" width="0" style="122" hidden="1"/>
    <col min="9473" max="9473" width="0" style="122" hidden="1" customWidth="1"/>
    <col min="9474" max="9474" width="24.7265625" style="122" customWidth="1"/>
    <col min="9475" max="9475" width="18" style="122" customWidth="1"/>
    <col min="9476" max="9476" width="18.453125" style="122" customWidth="1"/>
    <col min="9477" max="9477" width="13.7265625" style="122" customWidth="1"/>
    <col min="9478" max="9478" width="14" style="122" customWidth="1"/>
    <col min="9479" max="9479" width="9.26953125" style="122" customWidth="1"/>
    <col min="9480" max="9728" width="0" style="122" hidden="1"/>
    <col min="9729" max="9729" width="0" style="122" hidden="1" customWidth="1"/>
    <col min="9730" max="9730" width="24.7265625" style="122" customWidth="1"/>
    <col min="9731" max="9731" width="18" style="122" customWidth="1"/>
    <col min="9732" max="9732" width="18.453125" style="122" customWidth="1"/>
    <col min="9733" max="9733" width="13.7265625" style="122" customWidth="1"/>
    <col min="9734" max="9734" width="14" style="122" customWidth="1"/>
    <col min="9735" max="9735" width="9.26953125" style="122" customWidth="1"/>
    <col min="9736" max="9984" width="0" style="122" hidden="1"/>
    <col min="9985" max="9985" width="0" style="122" hidden="1" customWidth="1"/>
    <col min="9986" max="9986" width="24.7265625" style="122" customWidth="1"/>
    <col min="9987" max="9987" width="18" style="122" customWidth="1"/>
    <col min="9988" max="9988" width="18.453125" style="122" customWidth="1"/>
    <col min="9989" max="9989" width="13.7265625" style="122" customWidth="1"/>
    <col min="9990" max="9990" width="14" style="122" customWidth="1"/>
    <col min="9991" max="9991" width="9.26953125" style="122" customWidth="1"/>
    <col min="9992" max="10240" width="0" style="122" hidden="1"/>
    <col min="10241" max="10241" width="0" style="122" hidden="1" customWidth="1"/>
    <col min="10242" max="10242" width="24.7265625" style="122" customWidth="1"/>
    <col min="10243" max="10243" width="18" style="122" customWidth="1"/>
    <col min="10244" max="10244" width="18.453125" style="122" customWidth="1"/>
    <col min="10245" max="10245" width="13.7265625" style="122" customWidth="1"/>
    <col min="10246" max="10246" width="14" style="122" customWidth="1"/>
    <col min="10247" max="10247" width="9.26953125" style="122" customWidth="1"/>
    <col min="10248" max="10496" width="0" style="122" hidden="1"/>
    <col min="10497" max="10497" width="0" style="122" hidden="1" customWidth="1"/>
    <col min="10498" max="10498" width="24.7265625" style="122" customWidth="1"/>
    <col min="10499" max="10499" width="18" style="122" customWidth="1"/>
    <col min="10500" max="10500" width="18.453125" style="122" customWidth="1"/>
    <col min="10501" max="10501" width="13.7265625" style="122" customWidth="1"/>
    <col min="10502" max="10502" width="14" style="122" customWidth="1"/>
    <col min="10503" max="10503" width="9.26953125" style="122" customWidth="1"/>
    <col min="10504" max="10752" width="0" style="122" hidden="1"/>
    <col min="10753" max="10753" width="0" style="122" hidden="1" customWidth="1"/>
    <col min="10754" max="10754" width="24.7265625" style="122" customWidth="1"/>
    <col min="10755" max="10755" width="18" style="122" customWidth="1"/>
    <col min="10756" max="10756" width="18.453125" style="122" customWidth="1"/>
    <col min="10757" max="10757" width="13.7265625" style="122" customWidth="1"/>
    <col min="10758" max="10758" width="14" style="122" customWidth="1"/>
    <col min="10759" max="10759" width="9.26953125" style="122" customWidth="1"/>
    <col min="10760" max="11008" width="0" style="122" hidden="1"/>
    <col min="11009" max="11009" width="0" style="122" hidden="1" customWidth="1"/>
    <col min="11010" max="11010" width="24.7265625" style="122" customWidth="1"/>
    <col min="11011" max="11011" width="18" style="122" customWidth="1"/>
    <col min="11012" max="11012" width="18.453125" style="122" customWidth="1"/>
    <col min="11013" max="11013" width="13.7265625" style="122" customWidth="1"/>
    <col min="11014" max="11014" width="14" style="122" customWidth="1"/>
    <col min="11015" max="11015" width="9.26953125" style="122" customWidth="1"/>
    <col min="11016" max="11264" width="0" style="122" hidden="1"/>
    <col min="11265" max="11265" width="0" style="122" hidden="1" customWidth="1"/>
    <col min="11266" max="11266" width="24.7265625" style="122" customWidth="1"/>
    <col min="11267" max="11267" width="18" style="122" customWidth="1"/>
    <col min="11268" max="11268" width="18.453125" style="122" customWidth="1"/>
    <col min="11269" max="11269" width="13.7265625" style="122" customWidth="1"/>
    <col min="11270" max="11270" width="14" style="122" customWidth="1"/>
    <col min="11271" max="11271" width="9.26953125" style="122" customWidth="1"/>
    <col min="11272" max="11520" width="0" style="122" hidden="1"/>
    <col min="11521" max="11521" width="0" style="122" hidden="1" customWidth="1"/>
    <col min="11522" max="11522" width="24.7265625" style="122" customWidth="1"/>
    <col min="11523" max="11523" width="18" style="122" customWidth="1"/>
    <col min="11524" max="11524" width="18.453125" style="122" customWidth="1"/>
    <col min="11525" max="11525" width="13.7265625" style="122" customWidth="1"/>
    <col min="11526" max="11526" width="14" style="122" customWidth="1"/>
    <col min="11527" max="11527" width="9.26953125" style="122" customWidth="1"/>
    <col min="11528" max="11776" width="0" style="122" hidden="1"/>
    <col min="11777" max="11777" width="0" style="122" hidden="1" customWidth="1"/>
    <col min="11778" max="11778" width="24.7265625" style="122" customWidth="1"/>
    <col min="11779" max="11779" width="18" style="122" customWidth="1"/>
    <col min="11780" max="11780" width="18.453125" style="122" customWidth="1"/>
    <col min="11781" max="11781" width="13.7265625" style="122" customWidth="1"/>
    <col min="11782" max="11782" width="14" style="122" customWidth="1"/>
    <col min="11783" max="11783" width="9.26953125" style="122" customWidth="1"/>
    <col min="11784" max="12032" width="0" style="122" hidden="1"/>
    <col min="12033" max="12033" width="0" style="122" hidden="1" customWidth="1"/>
    <col min="12034" max="12034" width="24.7265625" style="122" customWidth="1"/>
    <col min="12035" max="12035" width="18" style="122" customWidth="1"/>
    <col min="12036" max="12036" width="18.453125" style="122" customWidth="1"/>
    <col min="12037" max="12037" width="13.7265625" style="122" customWidth="1"/>
    <col min="12038" max="12038" width="14" style="122" customWidth="1"/>
    <col min="12039" max="12039" width="9.26953125" style="122" customWidth="1"/>
    <col min="12040" max="12288" width="0" style="122" hidden="1"/>
    <col min="12289" max="12289" width="0" style="122" hidden="1" customWidth="1"/>
    <col min="12290" max="12290" width="24.7265625" style="122" customWidth="1"/>
    <col min="12291" max="12291" width="18" style="122" customWidth="1"/>
    <col min="12292" max="12292" width="18.453125" style="122" customWidth="1"/>
    <col min="12293" max="12293" width="13.7265625" style="122" customWidth="1"/>
    <col min="12294" max="12294" width="14" style="122" customWidth="1"/>
    <col min="12295" max="12295" width="9.26953125" style="122" customWidth="1"/>
    <col min="12296" max="12544" width="0" style="122" hidden="1"/>
    <col min="12545" max="12545" width="0" style="122" hidden="1" customWidth="1"/>
    <col min="12546" max="12546" width="24.7265625" style="122" customWidth="1"/>
    <col min="12547" max="12547" width="18" style="122" customWidth="1"/>
    <col min="12548" max="12548" width="18.453125" style="122" customWidth="1"/>
    <col min="12549" max="12549" width="13.7265625" style="122" customWidth="1"/>
    <col min="12550" max="12550" width="14" style="122" customWidth="1"/>
    <col min="12551" max="12551" width="9.26953125" style="122" customWidth="1"/>
    <col min="12552" max="12800" width="0" style="122" hidden="1"/>
    <col min="12801" max="12801" width="0" style="122" hidden="1" customWidth="1"/>
    <col min="12802" max="12802" width="24.7265625" style="122" customWidth="1"/>
    <col min="12803" max="12803" width="18" style="122" customWidth="1"/>
    <col min="12804" max="12804" width="18.453125" style="122" customWidth="1"/>
    <col min="12805" max="12805" width="13.7265625" style="122" customWidth="1"/>
    <col min="12806" max="12806" width="14" style="122" customWidth="1"/>
    <col min="12807" max="12807" width="9.26953125" style="122" customWidth="1"/>
    <col min="12808" max="13056" width="0" style="122" hidden="1"/>
    <col min="13057" max="13057" width="0" style="122" hidden="1" customWidth="1"/>
    <col min="13058" max="13058" width="24.7265625" style="122" customWidth="1"/>
    <col min="13059" max="13059" width="18" style="122" customWidth="1"/>
    <col min="13060" max="13060" width="18.453125" style="122" customWidth="1"/>
    <col min="13061" max="13061" width="13.7265625" style="122" customWidth="1"/>
    <col min="13062" max="13062" width="14" style="122" customWidth="1"/>
    <col min="13063" max="13063" width="9.26953125" style="122" customWidth="1"/>
    <col min="13064" max="13312" width="0" style="122" hidden="1"/>
    <col min="13313" max="13313" width="0" style="122" hidden="1" customWidth="1"/>
    <col min="13314" max="13314" width="24.7265625" style="122" customWidth="1"/>
    <col min="13315" max="13315" width="18" style="122" customWidth="1"/>
    <col min="13316" max="13316" width="18.453125" style="122" customWidth="1"/>
    <col min="13317" max="13317" width="13.7265625" style="122" customWidth="1"/>
    <col min="13318" max="13318" width="14" style="122" customWidth="1"/>
    <col min="13319" max="13319" width="9.26953125" style="122" customWidth="1"/>
    <col min="13320" max="13568" width="0" style="122" hidden="1"/>
    <col min="13569" max="13569" width="0" style="122" hidden="1" customWidth="1"/>
    <col min="13570" max="13570" width="24.7265625" style="122" customWidth="1"/>
    <col min="13571" max="13571" width="18" style="122" customWidth="1"/>
    <col min="13572" max="13572" width="18.453125" style="122" customWidth="1"/>
    <col min="13573" max="13573" width="13.7265625" style="122" customWidth="1"/>
    <col min="13574" max="13574" width="14" style="122" customWidth="1"/>
    <col min="13575" max="13575" width="9.26953125" style="122" customWidth="1"/>
    <col min="13576" max="13824" width="0" style="122" hidden="1"/>
    <col min="13825" max="13825" width="0" style="122" hidden="1" customWidth="1"/>
    <col min="13826" max="13826" width="24.7265625" style="122" customWidth="1"/>
    <col min="13827" max="13827" width="18" style="122" customWidth="1"/>
    <col min="13828" max="13828" width="18.453125" style="122" customWidth="1"/>
    <col min="13829" max="13829" width="13.7265625" style="122" customWidth="1"/>
    <col min="13830" max="13830" width="14" style="122" customWidth="1"/>
    <col min="13831" max="13831" width="9.26953125" style="122" customWidth="1"/>
    <col min="13832" max="14080" width="0" style="122" hidden="1"/>
    <col min="14081" max="14081" width="0" style="122" hidden="1" customWidth="1"/>
    <col min="14082" max="14082" width="24.7265625" style="122" customWidth="1"/>
    <col min="14083" max="14083" width="18" style="122" customWidth="1"/>
    <col min="14084" max="14084" width="18.453125" style="122" customWidth="1"/>
    <col min="14085" max="14085" width="13.7265625" style="122" customWidth="1"/>
    <col min="14086" max="14086" width="14" style="122" customWidth="1"/>
    <col min="14087" max="14087" width="9.26953125" style="122" customWidth="1"/>
    <col min="14088" max="14336" width="0" style="122" hidden="1"/>
    <col min="14337" max="14337" width="0" style="122" hidden="1" customWidth="1"/>
    <col min="14338" max="14338" width="24.7265625" style="122" customWidth="1"/>
    <col min="14339" max="14339" width="18" style="122" customWidth="1"/>
    <col min="14340" max="14340" width="18.453125" style="122" customWidth="1"/>
    <col min="14341" max="14341" width="13.7265625" style="122" customWidth="1"/>
    <col min="14342" max="14342" width="14" style="122" customWidth="1"/>
    <col min="14343" max="14343" width="9.26953125" style="122" customWidth="1"/>
    <col min="14344" max="14592" width="0" style="122" hidden="1"/>
    <col min="14593" max="14593" width="0" style="122" hidden="1" customWidth="1"/>
    <col min="14594" max="14594" width="24.7265625" style="122" customWidth="1"/>
    <col min="14595" max="14595" width="18" style="122" customWidth="1"/>
    <col min="14596" max="14596" width="18.453125" style="122" customWidth="1"/>
    <col min="14597" max="14597" width="13.7265625" style="122" customWidth="1"/>
    <col min="14598" max="14598" width="14" style="122" customWidth="1"/>
    <col min="14599" max="14599" width="9.26953125" style="122" customWidth="1"/>
    <col min="14600" max="14848" width="0" style="122" hidden="1"/>
    <col min="14849" max="14849" width="0" style="122" hidden="1" customWidth="1"/>
    <col min="14850" max="14850" width="24.7265625" style="122" customWidth="1"/>
    <col min="14851" max="14851" width="18" style="122" customWidth="1"/>
    <col min="14852" max="14852" width="18.453125" style="122" customWidth="1"/>
    <col min="14853" max="14853" width="13.7265625" style="122" customWidth="1"/>
    <col min="14854" max="14854" width="14" style="122" customWidth="1"/>
    <col min="14855" max="14855" width="9.26953125" style="122" customWidth="1"/>
    <col min="14856" max="15104" width="0" style="122" hidden="1"/>
    <col min="15105" max="15105" width="0" style="122" hidden="1" customWidth="1"/>
    <col min="15106" max="15106" width="24.7265625" style="122" customWidth="1"/>
    <col min="15107" max="15107" width="18" style="122" customWidth="1"/>
    <col min="15108" max="15108" width="18.453125" style="122" customWidth="1"/>
    <col min="15109" max="15109" width="13.7265625" style="122" customWidth="1"/>
    <col min="15110" max="15110" width="14" style="122" customWidth="1"/>
    <col min="15111" max="15111" width="9.26953125" style="122" customWidth="1"/>
    <col min="15112" max="15360" width="0" style="122" hidden="1"/>
    <col min="15361" max="15361" width="0" style="122" hidden="1" customWidth="1"/>
    <col min="15362" max="15362" width="24.7265625" style="122" customWidth="1"/>
    <col min="15363" max="15363" width="18" style="122" customWidth="1"/>
    <col min="15364" max="15364" width="18.453125" style="122" customWidth="1"/>
    <col min="15365" max="15365" width="13.7265625" style="122" customWidth="1"/>
    <col min="15366" max="15366" width="14" style="122" customWidth="1"/>
    <col min="15367" max="15367" width="9.26953125" style="122" customWidth="1"/>
    <col min="15368" max="15616" width="0" style="122" hidden="1"/>
    <col min="15617" max="15617" width="0" style="122" hidden="1" customWidth="1"/>
    <col min="15618" max="15618" width="24.7265625" style="122" customWidth="1"/>
    <col min="15619" max="15619" width="18" style="122" customWidth="1"/>
    <col min="15620" max="15620" width="18.453125" style="122" customWidth="1"/>
    <col min="15621" max="15621" width="13.7265625" style="122" customWidth="1"/>
    <col min="15622" max="15622" width="14" style="122" customWidth="1"/>
    <col min="15623" max="15623" width="9.26953125" style="122" customWidth="1"/>
    <col min="15624" max="15872" width="0" style="122" hidden="1"/>
    <col min="15873" max="15873" width="0" style="122" hidden="1" customWidth="1"/>
    <col min="15874" max="15874" width="24.7265625" style="122" customWidth="1"/>
    <col min="15875" max="15875" width="18" style="122" customWidth="1"/>
    <col min="15876" max="15876" width="18.453125" style="122" customWidth="1"/>
    <col min="15877" max="15877" width="13.7265625" style="122" customWidth="1"/>
    <col min="15878" max="15878" width="14" style="122" customWidth="1"/>
    <col min="15879" max="15879" width="9.26953125" style="122" customWidth="1"/>
    <col min="15880" max="16128" width="0" style="122" hidden="1"/>
    <col min="16129" max="16129" width="0" style="122" hidden="1" customWidth="1"/>
    <col min="16130" max="16130" width="24.7265625" style="122" customWidth="1"/>
    <col min="16131" max="16131" width="18" style="122" customWidth="1"/>
    <col min="16132" max="16132" width="18.453125" style="122" customWidth="1"/>
    <col min="16133" max="16133" width="13.7265625" style="122" customWidth="1"/>
    <col min="16134" max="16134" width="14" style="122" customWidth="1"/>
    <col min="16135" max="16135" width="9.26953125" style="122" customWidth="1"/>
    <col min="16136" max="16384" width="0" style="122" hidden="1"/>
  </cols>
  <sheetData>
    <row r="1" spans="1:11" ht="48.75" customHeight="1" x14ac:dyDescent="0.3">
      <c r="B1" s="312" t="s">
        <v>94</v>
      </c>
      <c r="C1" s="313"/>
      <c r="D1" s="313"/>
      <c r="E1" s="313"/>
      <c r="F1" s="314"/>
    </row>
    <row r="2" spans="1:11" ht="15.75" customHeight="1" x14ac:dyDescent="0.3">
      <c r="C2" s="288" t="s">
        <v>1</v>
      </c>
      <c r="D2" s="290" t="s">
        <v>2</v>
      </c>
      <c r="E2" s="290"/>
      <c r="F2" s="288" t="s">
        <v>5</v>
      </c>
      <c r="H2" s="297"/>
      <c r="I2" s="294"/>
      <c r="J2" s="294"/>
      <c r="K2" s="297"/>
    </row>
    <row r="3" spans="1:11" ht="34.5" customHeight="1" x14ac:dyDescent="0.3">
      <c r="A3" s="4"/>
      <c r="C3" s="289"/>
      <c r="D3" s="143" t="s">
        <v>3</v>
      </c>
      <c r="E3" s="143" t="s">
        <v>4</v>
      </c>
      <c r="F3" s="289"/>
      <c r="H3" s="289"/>
      <c r="I3" s="143"/>
      <c r="J3" s="143"/>
      <c r="K3" s="289"/>
    </row>
    <row r="4" spans="1:11" ht="23.25" customHeight="1" x14ac:dyDescent="0.3">
      <c r="A4" s="4"/>
      <c r="B4" s="127" t="s">
        <v>6</v>
      </c>
      <c r="C4" s="159">
        <v>1174</v>
      </c>
      <c r="D4" s="159">
        <v>209</v>
      </c>
      <c r="E4" s="159">
        <v>29</v>
      </c>
      <c r="F4" s="159">
        <v>1</v>
      </c>
      <c r="H4" s="162"/>
      <c r="I4" s="162"/>
      <c r="J4" s="162"/>
      <c r="K4" s="162"/>
    </row>
    <row r="5" spans="1:11" s="127" customFormat="1" ht="25.5" customHeight="1" x14ac:dyDescent="0.3">
      <c r="A5" s="9"/>
      <c r="B5" s="127" t="s">
        <v>7</v>
      </c>
      <c r="C5" s="168">
        <v>879</v>
      </c>
      <c r="D5" s="168">
        <v>167</v>
      </c>
      <c r="E5" s="168">
        <v>23</v>
      </c>
      <c r="F5" s="168">
        <v>1</v>
      </c>
      <c r="H5" s="162"/>
      <c r="I5" s="162"/>
      <c r="J5" s="162"/>
      <c r="K5" s="162"/>
    </row>
    <row r="6" spans="1:11" x14ac:dyDescent="0.3">
      <c r="A6" s="12">
        <v>51</v>
      </c>
      <c r="B6" s="122" t="s">
        <v>8</v>
      </c>
      <c r="C6" s="139">
        <v>28</v>
      </c>
      <c r="D6" s="139">
        <v>6</v>
      </c>
      <c r="E6" s="139">
        <v>1</v>
      </c>
      <c r="F6" s="139">
        <v>0</v>
      </c>
      <c r="H6" s="162"/>
      <c r="I6" s="162"/>
      <c r="J6" s="162"/>
      <c r="K6" s="162"/>
    </row>
    <row r="7" spans="1:11" x14ac:dyDescent="0.3">
      <c r="A7" s="12">
        <v>52</v>
      </c>
      <c r="B7" s="122" t="s">
        <v>9</v>
      </c>
      <c r="C7" s="139">
        <v>27</v>
      </c>
      <c r="D7" s="139">
        <v>6</v>
      </c>
      <c r="E7" s="139">
        <v>0</v>
      </c>
      <c r="F7" s="139">
        <v>0</v>
      </c>
      <c r="H7" s="162"/>
      <c r="I7" s="162"/>
      <c r="J7" s="162"/>
      <c r="K7" s="162"/>
    </row>
    <row r="8" spans="1:11" x14ac:dyDescent="0.3">
      <c r="A8" s="12">
        <v>86</v>
      </c>
      <c r="B8" s="122" t="s">
        <v>10</v>
      </c>
      <c r="C8" s="139">
        <v>25</v>
      </c>
      <c r="D8" s="148">
        <v>6</v>
      </c>
      <c r="E8" s="148">
        <v>1</v>
      </c>
      <c r="F8" s="139">
        <v>0</v>
      </c>
      <c r="H8" s="162"/>
      <c r="I8" s="162"/>
      <c r="J8" s="162"/>
      <c r="K8" s="162"/>
    </row>
    <row r="9" spans="1:11" x14ac:dyDescent="0.3">
      <c r="A9" s="12">
        <v>53</v>
      </c>
      <c r="B9" s="122" t="s">
        <v>11</v>
      </c>
      <c r="C9" s="139">
        <v>10</v>
      </c>
      <c r="D9" s="139">
        <v>3</v>
      </c>
      <c r="E9" s="139">
        <v>0</v>
      </c>
      <c r="F9" s="139">
        <v>0</v>
      </c>
      <c r="H9" s="162"/>
      <c r="I9" s="162"/>
      <c r="J9" s="162"/>
      <c r="K9" s="162"/>
    </row>
    <row r="10" spans="1:11" x14ac:dyDescent="0.3">
      <c r="A10" s="12">
        <v>54</v>
      </c>
      <c r="B10" s="122" t="s">
        <v>12</v>
      </c>
      <c r="C10" s="139">
        <v>36</v>
      </c>
      <c r="D10" s="139">
        <v>0</v>
      </c>
      <c r="E10" s="139">
        <v>4</v>
      </c>
      <c r="F10" s="139">
        <v>0</v>
      </c>
      <c r="H10" s="162"/>
      <c r="I10" s="162"/>
      <c r="J10" s="162"/>
      <c r="K10" s="162"/>
    </row>
    <row r="11" spans="1:11" x14ac:dyDescent="0.3">
      <c r="A11" s="12">
        <v>55</v>
      </c>
      <c r="B11" s="122" t="s">
        <v>13</v>
      </c>
      <c r="C11" s="139">
        <v>12</v>
      </c>
      <c r="D11" s="139">
        <v>2</v>
      </c>
      <c r="E11" s="139">
        <v>0</v>
      </c>
      <c r="F11" s="139">
        <v>0</v>
      </c>
      <c r="H11" s="162"/>
      <c r="I11" s="162"/>
      <c r="J11" s="162"/>
      <c r="K11" s="162"/>
    </row>
    <row r="12" spans="1:11" x14ac:dyDescent="0.3">
      <c r="A12" s="12">
        <v>56</v>
      </c>
      <c r="B12" s="122" t="s">
        <v>14</v>
      </c>
      <c r="C12" s="139">
        <v>6</v>
      </c>
      <c r="D12" s="139">
        <v>0</v>
      </c>
      <c r="E12" s="139">
        <v>0</v>
      </c>
      <c r="F12" s="139">
        <v>0</v>
      </c>
      <c r="H12" s="162"/>
      <c r="I12" s="162"/>
      <c r="J12" s="162"/>
      <c r="K12" s="162"/>
    </row>
    <row r="13" spans="1:11" x14ac:dyDescent="0.3">
      <c r="A13" s="12">
        <v>57</v>
      </c>
      <c r="B13" s="122" t="s">
        <v>15</v>
      </c>
      <c r="C13" s="139">
        <v>19</v>
      </c>
      <c r="D13" s="139">
        <v>3</v>
      </c>
      <c r="E13" s="139">
        <v>3</v>
      </c>
      <c r="F13" s="139">
        <v>0</v>
      </c>
      <c r="H13" s="162"/>
      <c r="I13" s="162"/>
      <c r="J13" s="162"/>
      <c r="K13" s="162"/>
    </row>
    <row r="14" spans="1:11" x14ac:dyDescent="0.3">
      <c r="A14" s="12">
        <v>59</v>
      </c>
      <c r="B14" s="122" t="s">
        <v>16</v>
      </c>
      <c r="C14" s="139">
        <v>15</v>
      </c>
      <c r="D14" s="139">
        <v>6</v>
      </c>
      <c r="E14" s="139">
        <v>0</v>
      </c>
      <c r="F14" s="139">
        <v>0</v>
      </c>
      <c r="H14" s="162"/>
      <c r="I14" s="162"/>
      <c r="J14" s="162"/>
      <c r="K14" s="162"/>
    </row>
    <row r="15" spans="1:11" x14ac:dyDescent="0.3">
      <c r="A15" s="12">
        <v>60</v>
      </c>
      <c r="B15" s="122" t="s">
        <v>17</v>
      </c>
      <c r="C15" s="139">
        <v>16</v>
      </c>
      <c r="D15" s="139">
        <v>2</v>
      </c>
      <c r="E15" s="139">
        <v>0</v>
      </c>
      <c r="F15" s="139">
        <v>0</v>
      </c>
      <c r="H15" s="162"/>
      <c r="I15" s="162"/>
      <c r="J15" s="162"/>
      <c r="K15" s="162"/>
    </row>
    <row r="16" spans="1:11" x14ac:dyDescent="0.3">
      <c r="A16" s="12">
        <v>61</v>
      </c>
      <c r="B16" s="149" t="s">
        <v>18</v>
      </c>
      <c r="C16" s="139">
        <v>33</v>
      </c>
      <c r="D16" s="139">
        <v>6</v>
      </c>
      <c r="E16" s="139">
        <v>1</v>
      </c>
      <c r="F16" s="139">
        <v>0</v>
      </c>
      <c r="H16" s="162"/>
      <c r="I16" s="162"/>
      <c r="J16" s="162"/>
      <c r="K16" s="162"/>
    </row>
    <row r="17" spans="1:11" s="181" customFormat="1" x14ac:dyDescent="0.3">
      <c r="A17" s="12"/>
      <c r="B17" s="130" t="s">
        <v>122</v>
      </c>
      <c r="C17" s="163">
        <v>64</v>
      </c>
      <c r="D17" s="163">
        <v>7</v>
      </c>
      <c r="E17" s="163">
        <v>2</v>
      </c>
      <c r="F17" s="163">
        <v>0</v>
      </c>
      <c r="H17" s="162"/>
      <c r="I17" s="162"/>
      <c r="J17" s="162"/>
      <c r="K17" s="162"/>
    </row>
    <row r="18" spans="1:11" x14ac:dyDescent="0.3">
      <c r="A18" s="12">
        <v>58</v>
      </c>
      <c r="B18" s="122" t="s">
        <v>20</v>
      </c>
      <c r="C18" s="139">
        <v>8</v>
      </c>
      <c r="D18" s="139">
        <v>1</v>
      </c>
      <c r="E18" s="139">
        <v>0</v>
      </c>
      <c r="F18" s="139">
        <v>0</v>
      </c>
      <c r="H18" s="162"/>
      <c r="I18" s="162"/>
      <c r="J18" s="162"/>
      <c r="K18" s="162"/>
    </row>
    <row r="19" spans="1:11" x14ac:dyDescent="0.3">
      <c r="A19" s="12">
        <v>63</v>
      </c>
      <c r="B19" s="122" t="s">
        <v>21</v>
      </c>
      <c r="C19" s="139">
        <v>40</v>
      </c>
      <c r="D19" s="139">
        <v>8</v>
      </c>
      <c r="E19" s="139">
        <v>1</v>
      </c>
      <c r="F19" s="139">
        <v>0</v>
      </c>
      <c r="H19" s="162"/>
      <c r="I19" s="162"/>
      <c r="J19" s="162"/>
      <c r="K19" s="162"/>
    </row>
    <row r="20" spans="1:11" x14ac:dyDescent="0.3">
      <c r="A20" s="12">
        <v>64</v>
      </c>
      <c r="B20" s="122" t="s">
        <v>22</v>
      </c>
      <c r="C20" s="139">
        <v>53</v>
      </c>
      <c r="D20" s="139">
        <v>15</v>
      </c>
      <c r="E20" s="139">
        <v>3</v>
      </c>
      <c r="F20" s="139">
        <v>0</v>
      </c>
      <c r="H20" s="162"/>
      <c r="I20" s="162"/>
      <c r="J20" s="162"/>
      <c r="K20" s="162"/>
    </row>
    <row r="21" spans="1:11" x14ac:dyDescent="0.3">
      <c r="A21" s="12">
        <v>65</v>
      </c>
      <c r="B21" s="122" t="s">
        <v>23</v>
      </c>
      <c r="C21" s="139">
        <v>32</v>
      </c>
      <c r="D21" s="139">
        <v>4</v>
      </c>
      <c r="E21" s="139">
        <v>0</v>
      </c>
      <c r="F21" s="139">
        <v>0</v>
      </c>
      <c r="H21" s="162"/>
      <c r="I21" s="162"/>
      <c r="J21" s="162"/>
      <c r="K21" s="162"/>
    </row>
    <row r="22" spans="1:11" x14ac:dyDescent="0.3">
      <c r="A22" s="12">
        <v>67</v>
      </c>
      <c r="B22" s="122" t="s">
        <v>24</v>
      </c>
      <c r="C22" s="139">
        <v>26</v>
      </c>
      <c r="D22" s="139">
        <v>7</v>
      </c>
      <c r="E22" s="165">
        <v>2</v>
      </c>
      <c r="F22" s="139">
        <v>0</v>
      </c>
      <c r="H22" s="162"/>
      <c r="I22" s="162"/>
      <c r="J22" s="162"/>
      <c r="K22" s="162"/>
    </row>
    <row r="23" spans="1:11" x14ac:dyDescent="0.3">
      <c r="A23" s="12">
        <v>68</v>
      </c>
      <c r="B23" s="122" t="s">
        <v>25</v>
      </c>
      <c r="C23" s="139">
        <v>25</v>
      </c>
      <c r="D23" s="139">
        <v>1</v>
      </c>
      <c r="E23" s="139">
        <v>0</v>
      </c>
      <c r="F23" s="139">
        <v>0</v>
      </c>
      <c r="H23" s="162"/>
      <c r="I23" s="162"/>
      <c r="J23" s="162"/>
      <c r="K23" s="162"/>
    </row>
    <row r="24" spans="1:11" x14ac:dyDescent="0.3">
      <c r="A24" s="12">
        <v>69</v>
      </c>
      <c r="B24" s="122" t="s">
        <v>26</v>
      </c>
      <c r="C24" s="139">
        <v>21</v>
      </c>
      <c r="D24" s="139">
        <v>7</v>
      </c>
      <c r="E24" s="139">
        <v>0</v>
      </c>
      <c r="F24" s="139">
        <v>0</v>
      </c>
      <c r="H24" s="162"/>
      <c r="I24" s="162"/>
      <c r="J24" s="162"/>
      <c r="K24" s="162"/>
    </row>
    <row r="25" spans="1:11" x14ac:dyDescent="0.3">
      <c r="A25" s="12">
        <v>70</v>
      </c>
      <c r="B25" s="122" t="s">
        <v>27</v>
      </c>
      <c r="C25" s="139">
        <v>49</v>
      </c>
      <c r="D25" s="139">
        <v>7</v>
      </c>
      <c r="E25" s="139">
        <v>3</v>
      </c>
      <c r="F25" s="139">
        <v>0</v>
      </c>
      <c r="H25" s="162"/>
      <c r="I25" s="162"/>
      <c r="J25" s="162"/>
      <c r="K25" s="162"/>
    </row>
    <row r="26" spans="1:11" x14ac:dyDescent="0.3">
      <c r="A26" s="12">
        <v>71</v>
      </c>
      <c r="B26" s="150" t="s">
        <v>28</v>
      </c>
      <c r="C26" s="139">
        <v>10</v>
      </c>
      <c r="D26" s="139">
        <v>2</v>
      </c>
      <c r="E26" s="139">
        <v>0</v>
      </c>
      <c r="F26" s="139">
        <v>0</v>
      </c>
      <c r="H26" s="162"/>
      <c r="I26" s="162"/>
      <c r="J26" s="162"/>
      <c r="K26" s="162"/>
    </row>
    <row r="27" spans="1:11" x14ac:dyDescent="0.3">
      <c r="A27" s="12">
        <v>73</v>
      </c>
      <c r="B27" s="122" t="s">
        <v>29</v>
      </c>
      <c r="C27" s="139">
        <v>16</v>
      </c>
      <c r="D27" s="148">
        <v>4</v>
      </c>
      <c r="E27" s="148">
        <v>0</v>
      </c>
      <c r="F27" s="139">
        <v>0</v>
      </c>
      <c r="H27" s="162"/>
      <c r="I27" s="162"/>
      <c r="J27" s="162"/>
      <c r="K27" s="162"/>
    </row>
    <row r="28" spans="1:11" x14ac:dyDescent="0.3">
      <c r="A28" s="12">
        <v>74</v>
      </c>
      <c r="B28" s="122" t="s">
        <v>30</v>
      </c>
      <c r="C28" s="139">
        <v>20</v>
      </c>
      <c r="D28" s="148">
        <v>1</v>
      </c>
      <c r="E28" s="148">
        <v>1</v>
      </c>
      <c r="F28" s="139">
        <v>0</v>
      </c>
      <c r="H28" s="162"/>
      <c r="I28" s="162"/>
      <c r="J28" s="162"/>
      <c r="K28" s="162"/>
    </row>
    <row r="29" spans="1:11" x14ac:dyDescent="0.3">
      <c r="A29" s="12">
        <v>75</v>
      </c>
      <c r="B29" s="122" t="s">
        <v>31</v>
      </c>
      <c r="C29" s="139">
        <v>18</v>
      </c>
      <c r="D29" s="148">
        <v>3</v>
      </c>
      <c r="E29" s="148">
        <v>0</v>
      </c>
      <c r="F29" s="139">
        <v>0</v>
      </c>
      <c r="H29" s="162"/>
      <c r="I29" s="162"/>
      <c r="J29" s="162"/>
      <c r="K29" s="162"/>
    </row>
    <row r="30" spans="1:11" x14ac:dyDescent="0.3">
      <c r="A30" s="12">
        <v>76</v>
      </c>
      <c r="B30" s="122" t="s">
        <v>32</v>
      </c>
      <c r="C30" s="139">
        <v>9</v>
      </c>
      <c r="D30" s="148">
        <v>3</v>
      </c>
      <c r="E30" s="148">
        <v>0</v>
      </c>
      <c r="F30" s="139">
        <v>0</v>
      </c>
      <c r="H30" s="162"/>
      <c r="I30" s="162"/>
      <c r="J30" s="162"/>
      <c r="K30" s="162"/>
    </row>
    <row r="31" spans="1:11" x14ac:dyDescent="0.3">
      <c r="A31" s="12">
        <v>79</v>
      </c>
      <c r="B31" s="122" t="s">
        <v>33</v>
      </c>
      <c r="C31" s="139">
        <v>33</v>
      </c>
      <c r="D31" s="148">
        <v>6</v>
      </c>
      <c r="E31" s="148">
        <v>1</v>
      </c>
      <c r="F31" s="139">
        <v>0</v>
      </c>
      <c r="H31" s="162"/>
      <c r="I31" s="162"/>
      <c r="J31" s="162"/>
      <c r="K31" s="162"/>
    </row>
    <row r="32" spans="1:11" x14ac:dyDescent="0.3">
      <c r="A32" s="12">
        <v>80</v>
      </c>
      <c r="B32" s="122" t="s">
        <v>34</v>
      </c>
      <c r="C32" s="139">
        <v>38</v>
      </c>
      <c r="D32" s="148">
        <v>3</v>
      </c>
      <c r="E32" s="148">
        <v>0</v>
      </c>
      <c r="F32" s="139">
        <v>0</v>
      </c>
      <c r="H32" s="162"/>
      <c r="I32" s="162"/>
      <c r="J32" s="162"/>
      <c r="K32" s="162"/>
    </row>
    <row r="33" spans="1:11" x14ac:dyDescent="0.3">
      <c r="A33" s="12">
        <v>81</v>
      </c>
      <c r="B33" s="122" t="s">
        <v>35</v>
      </c>
      <c r="C33" s="139">
        <v>13</v>
      </c>
      <c r="D33" s="148">
        <v>4</v>
      </c>
      <c r="E33" s="148">
        <v>0</v>
      </c>
      <c r="F33" s="139">
        <v>0</v>
      </c>
      <c r="H33" s="162"/>
      <c r="I33" s="162"/>
      <c r="J33" s="162"/>
      <c r="K33" s="162"/>
    </row>
    <row r="34" spans="1:11" x14ac:dyDescent="0.3">
      <c r="A34" s="12">
        <v>83</v>
      </c>
      <c r="B34" s="122" t="s">
        <v>36</v>
      </c>
      <c r="C34" s="139">
        <v>10</v>
      </c>
      <c r="D34" s="148">
        <v>7</v>
      </c>
      <c r="E34" s="148">
        <v>0</v>
      </c>
      <c r="F34" s="139">
        <v>0</v>
      </c>
      <c r="H34" s="162"/>
      <c r="I34" s="162"/>
      <c r="J34" s="162"/>
      <c r="K34" s="162"/>
    </row>
    <row r="35" spans="1:11" x14ac:dyDescent="0.3">
      <c r="A35" s="12">
        <v>84</v>
      </c>
      <c r="B35" s="122" t="s">
        <v>37</v>
      </c>
      <c r="C35" s="139">
        <v>12</v>
      </c>
      <c r="D35" s="148">
        <v>5</v>
      </c>
      <c r="E35" s="148">
        <v>0</v>
      </c>
      <c r="F35" s="139">
        <v>0</v>
      </c>
      <c r="H35" s="162"/>
      <c r="I35" s="162"/>
      <c r="J35" s="162"/>
      <c r="K35" s="162"/>
    </row>
    <row r="36" spans="1:11" ht="14" x14ac:dyDescent="0.3">
      <c r="A36" s="12">
        <v>85</v>
      </c>
      <c r="B36" s="122" t="s">
        <v>38</v>
      </c>
      <c r="C36" s="139">
        <v>28</v>
      </c>
      <c r="D36" s="148">
        <v>1</v>
      </c>
      <c r="E36" s="148">
        <v>0</v>
      </c>
      <c r="F36" s="139">
        <v>0</v>
      </c>
      <c r="G36" s="127"/>
      <c r="H36" s="162"/>
      <c r="I36" s="162"/>
      <c r="J36" s="162"/>
      <c r="K36" s="162"/>
    </row>
    <row r="37" spans="1:11" x14ac:dyDescent="0.3">
      <c r="A37" s="12">
        <v>87</v>
      </c>
      <c r="B37" s="122" t="s">
        <v>39</v>
      </c>
      <c r="C37" s="139">
        <v>12</v>
      </c>
      <c r="D37" s="148">
        <v>2</v>
      </c>
      <c r="E37" s="148">
        <v>0</v>
      </c>
      <c r="F37" s="139">
        <v>0</v>
      </c>
      <c r="H37" s="162"/>
      <c r="I37" s="162"/>
      <c r="J37" s="162"/>
      <c r="K37" s="162"/>
    </row>
    <row r="38" spans="1:11" x14ac:dyDescent="0.3">
      <c r="A38" s="12">
        <v>90</v>
      </c>
      <c r="B38" s="122" t="s">
        <v>40</v>
      </c>
      <c r="C38" s="139">
        <v>33</v>
      </c>
      <c r="D38" s="148">
        <v>10</v>
      </c>
      <c r="E38" s="148">
        <v>0</v>
      </c>
      <c r="F38" s="139">
        <v>0</v>
      </c>
      <c r="H38" s="162"/>
      <c r="I38" s="162"/>
      <c r="J38" s="162"/>
      <c r="K38" s="162"/>
    </row>
    <row r="39" spans="1:11" x14ac:dyDescent="0.3">
      <c r="A39" s="12">
        <v>91</v>
      </c>
      <c r="B39" s="122" t="s">
        <v>41</v>
      </c>
      <c r="C39" s="139">
        <v>24</v>
      </c>
      <c r="D39" s="148">
        <v>3</v>
      </c>
      <c r="E39" s="148">
        <v>0</v>
      </c>
      <c r="F39" s="139">
        <v>1</v>
      </c>
      <c r="H39" s="162"/>
      <c r="I39" s="162"/>
      <c r="J39" s="162"/>
      <c r="K39" s="162"/>
    </row>
    <row r="40" spans="1:11" x14ac:dyDescent="0.3">
      <c r="A40" s="12">
        <v>92</v>
      </c>
      <c r="B40" s="122" t="s">
        <v>42</v>
      </c>
      <c r="C40" s="139">
        <v>26</v>
      </c>
      <c r="D40" s="148">
        <v>8</v>
      </c>
      <c r="E40" s="148">
        <v>0</v>
      </c>
      <c r="F40" s="139">
        <v>0</v>
      </c>
      <c r="H40" s="162"/>
      <c r="I40" s="162"/>
      <c r="J40" s="162"/>
      <c r="K40" s="162"/>
    </row>
    <row r="41" spans="1:11" x14ac:dyDescent="0.3">
      <c r="A41" s="12">
        <v>94</v>
      </c>
      <c r="B41" s="122" t="s">
        <v>43</v>
      </c>
      <c r="C41" s="139">
        <v>18</v>
      </c>
      <c r="D41" s="148">
        <v>7</v>
      </c>
      <c r="E41" s="148">
        <v>0</v>
      </c>
      <c r="F41" s="139">
        <v>0</v>
      </c>
      <c r="H41" s="162"/>
      <c r="I41" s="162"/>
      <c r="J41" s="162"/>
      <c r="K41" s="162"/>
    </row>
    <row r="42" spans="1:11" x14ac:dyDescent="0.3">
      <c r="A42" s="12">
        <v>96</v>
      </c>
      <c r="B42" s="122" t="s">
        <v>44</v>
      </c>
      <c r="C42" s="139">
        <v>14</v>
      </c>
      <c r="D42" s="148">
        <v>1</v>
      </c>
      <c r="E42" s="148">
        <v>0</v>
      </c>
      <c r="F42" s="139">
        <v>0</v>
      </c>
      <c r="H42" s="162"/>
      <c r="I42" s="162"/>
      <c r="J42" s="162"/>
      <c r="K42" s="162"/>
    </row>
    <row r="43" spans="1:11" x14ac:dyDescent="0.3">
      <c r="A43" s="12">
        <v>72</v>
      </c>
      <c r="B43" s="150" t="s">
        <v>46</v>
      </c>
      <c r="C43" s="148">
        <v>0</v>
      </c>
      <c r="D43" s="148">
        <v>0</v>
      </c>
      <c r="E43" s="148">
        <v>0</v>
      </c>
      <c r="F43" s="139">
        <v>0</v>
      </c>
      <c r="H43" s="162"/>
      <c r="I43" s="162"/>
      <c r="J43" s="162"/>
      <c r="K43" s="162"/>
    </row>
    <row r="44" spans="1:11" s="127" customFormat="1" ht="25.5" customHeight="1" x14ac:dyDescent="0.3">
      <c r="A44" s="50"/>
      <c r="B44" s="127" t="s">
        <v>47</v>
      </c>
      <c r="C44" s="153">
        <v>295</v>
      </c>
      <c r="D44" s="153">
        <v>42</v>
      </c>
      <c r="E44" s="153">
        <v>6</v>
      </c>
      <c r="F44" s="153">
        <v>0</v>
      </c>
      <c r="H44" s="162"/>
      <c r="I44" s="162"/>
      <c r="J44" s="162"/>
      <c r="K44" s="162"/>
    </row>
    <row r="45" spans="1:11" x14ac:dyDescent="0.3">
      <c r="A45" s="12">
        <v>66</v>
      </c>
      <c r="B45" s="122" t="s">
        <v>48</v>
      </c>
      <c r="C45" s="139">
        <v>20</v>
      </c>
      <c r="D45" s="139">
        <v>4</v>
      </c>
      <c r="E45" s="139">
        <v>0</v>
      </c>
      <c r="F45" s="139">
        <v>0</v>
      </c>
      <c r="H45" s="162"/>
      <c r="I45" s="162"/>
      <c r="J45" s="162"/>
      <c r="K45" s="162"/>
    </row>
    <row r="46" spans="1:11" x14ac:dyDescent="0.3">
      <c r="A46" s="12">
        <v>78</v>
      </c>
      <c r="B46" s="122" t="s">
        <v>49</v>
      </c>
      <c r="C46" s="139">
        <v>7</v>
      </c>
      <c r="D46" s="139">
        <v>3</v>
      </c>
      <c r="E46" s="139">
        <v>1</v>
      </c>
      <c r="F46" s="139">
        <v>0</v>
      </c>
      <c r="H46" s="162"/>
      <c r="I46" s="162"/>
      <c r="J46" s="162"/>
      <c r="K46" s="162"/>
    </row>
    <row r="47" spans="1:11" x14ac:dyDescent="0.3">
      <c r="A47" s="12">
        <v>89</v>
      </c>
      <c r="B47" s="122" t="s">
        <v>50</v>
      </c>
      <c r="C47" s="139">
        <v>41</v>
      </c>
      <c r="D47" s="139">
        <v>2</v>
      </c>
      <c r="E47" s="139">
        <v>0</v>
      </c>
      <c r="F47" s="139">
        <v>0</v>
      </c>
      <c r="H47" s="162"/>
      <c r="I47" s="162"/>
      <c r="J47" s="162"/>
      <c r="K47" s="162"/>
    </row>
    <row r="48" spans="1:11" x14ac:dyDescent="0.3">
      <c r="A48" s="12">
        <v>93</v>
      </c>
      <c r="B48" s="122" t="s">
        <v>51</v>
      </c>
      <c r="C48" s="139">
        <v>10</v>
      </c>
      <c r="D48" s="139">
        <v>0</v>
      </c>
      <c r="E48" s="139">
        <v>1</v>
      </c>
      <c r="F48" s="139">
        <v>0</v>
      </c>
      <c r="H48" s="162"/>
      <c r="I48" s="162"/>
      <c r="J48" s="162"/>
      <c r="K48" s="162"/>
    </row>
    <row r="49" spans="1:11" x14ac:dyDescent="0.3">
      <c r="A49" s="12">
        <v>95</v>
      </c>
      <c r="B49" s="122" t="s">
        <v>52</v>
      </c>
      <c r="C49" s="139">
        <v>30</v>
      </c>
      <c r="D49" s="139">
        <v>5</v>
      </c>
      <c r="E49" s="139">
        <v>1</v>
      </c>
      <c r="F49" s="139">
        <v>0</v>
      </c>
      <c r="H49" s="162"/>
      <c r="I49" s="162"/>
      <c r="J49" s="162"/>
      <c r="K49" s="162"/>
    </row>
    <row r="50" spans="1:11" x14ac:dyDescent="0.3">
      <c r="A50" s="12">
        <v>97</v>
      </c>
      <c r="B50" s="122" t="s">
        <v>53</v>
      </c>
      <c r="C50" s="165">
        <v>36</v>
      </c>
      <c r="D50" s="139">
        <v>6</v>
      </c>
      <c r="E50" s="139">
        <v>0</v>
      </c>
      <c r="F50" s="139">
        <v>0</v>
      </c>
      <c r="H50" s="162"/>
      <c r="I50" s="162"/>
      <c r="J50" s="162"/>
      <c r="K50" s="162"/>
    </row>
    <row r="51" spans="1:11" x14ac:dyDescent="0.3">
      <c r="A51" s="12">
        <v>77</v>
      </c>
      <c r="B51" s="154" t="s">
        <v>54</v>
      </c>
      <c r="C51" s="169">
        <v>151</v>
      </c>
      <c r="D51" s="169">
        <v>22</v>
      </c>
      <c r="E51" s="169">
        <v>3</v>
      </c>
      <c r="F51" s="169">
        <v>0</v>
      </c>
      <c r="H51" s="162"/>
      <c r="I51" s="162"/>
      <c r="J51" s="162"/>
      <c r="K51" s="162"/>
    </row>
    <row r="52" spans="1:11" x14ac:dyDescent="0.3">
      <c r="C52" s="139"/>
      <c r="D52" s="170"/>
      <c r="E52" s="139"/>
      <c r="F52" s="139"/>
    </row>
    <row r="53" spans="1:11" ht="13.5" customHeight="1" x14ac:dyDescent="0.3">
      <c r="B53" s="12" t="s">
        <v>55</v>
      </c>
    </row>
    <row r="54" spans="1:11" ht="13.5" customHeight="1" x14ac:dyDescent="0.3">
      <c r="B54" s="309" t="s">
        <v>56</v>
      </c>
      <c r="C54" s="310"/>
      <c r="D54" s="310"/>
      <c r="E54" s="310"/>
      <c r="F54" s="310"/>
    </row>
    <row r="55" spans="1:11" ht="15" customHeight="1" x14ac:dyDescent="0.3">
      <c r="B55" s="310"/>
      <c r="C55" s="310"/>
      <c r="D55" s="310"/>
      <c r="E55" s="310"/>
      <c r="F55" s="310"/>
    </row>
    <row r="56" spans="1:11" ht="13.5" customHeight="1" x14ac:dyDescent="0.3">
      <c r="B56" s="310"/>
      <c r="C56" s="310"/>
      <c r="D56" s="310"/>
      <c r="E56" s="310"/>
      <c r="F56" s="310"/>
    </row>
    <row r="57" spans="1:11" ht="12.75" customHeight="1" x14ac:dyDescent="0.3">
      <c r="B57" s="310"/>
      <c r="C57" s="310"/>
      <c r="D57" s="310"/>
      <c r="E57" s="310"/>
      <c r="F57" s="310"/>
    </row>
    <row r="58" spans="1:11" ht="15.75" customHeight="1" x14ac:dyDescent="0.3">
      <c r="B58" s="310"/>
      <c r="C58" s="310"/>
      <c r="D58" s="310"/>
      <c r="E58" s="310"/>
      <c r="F58" s="310"/>
    </row>
    <row r="59" spans="1:11" ht="67.5" customHeight="1" x14ac:dyDescent="0.3">
      <c r="B59" s="310"/>
      <c r="C59" s="310"/>
      <c r="D59" s="310"/>
      <c r="E59" s="310"/>
      <c r="F59" s="310"/>
    </row>
    <row r="60" spans="1:11" ht="9.75" customHeight="1" x14ac:dyDescent="0.3">
      <c r="B60" s="57"/>
      <c r="C60" s="57"/>
      <c r="D60" s="57"/>
      <c r="E60" s="57"/>
      <c r="F60" s="57"/>
    </row>
    <row r="61" spans="1:11" x14ac:dyDescent="0.3">
      <c r="B61" s="138" t="s">
        <v>57</v>
      </c>
    </row>
    <row r="63" spans="1:11" ht="15.5" x14ac:dyDescent="0.3">
      <c r="B63" s="141"/>
      <c r="C63" s="166"/>
      <c r="D63" s="167"/>
      <c r="E63" s="167"/>
    </row>
    <row r="64" spans="1:11" ht="15.5" x14ac:dyDescent="0.3">
      <c r="C64" s="166"/>
      <c r="D64" s="167"/>
      <c r="E64" s="167"/>
    </row>
  </sheetData>
  <mergeCells count="8">
    <mergeCell ref="K2:K3"/>
    <mergeCell ref="B54:F59"/>
    <mergeCell ref="B1:F1"/>
    <mergeCell ref="C2:C3"/>
    <mergeCell ref="D2:E2"/>
    <mergeCell ref="F2:F3"/>
    <mergeCell ref="H2:H3"/>
    <mergeCell ref="I2:J2"/>
  </mergeCells>
  <conditionalFormatting sqref="H4:K51">
    <cfRule type="cellIs" dxfId="3" priority="1" stopIfTrue="1" operator="lessThan">
      <formula>-0.5</formula>
    </cfRule>
    <cfRule type="cellIs" dxfId="2" priority="2" stopIfTrue="1" operator="greaterThan">
      <formula>0.5</formula>
    </cfRule>
  </conditionalFormatting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indexed="22"/>
  </sheetPr>
  <dimension ref="A1:Q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ColWidth="0" defaultRowHeight="12.5" x14ac:dyDescent="0.3"/>
  <cols>
    <col min="1" max="1" width="3.26953125" style="1" hidden="1" customWidth="1"/>
    <col min="2" max="2" width="31.7265625" style="122" customWidth="1"/>
    <col min="3" max="4" width="15.26953125" style="122" customWidth="1"/>
    <col min="5" max="5" width="16.54296875" style="122" customWidth="1"/>
    <col min="6" max="6" width="15" style="122" customWidth="1"/>
    <col min="7" max="7" width="9.26953125" style="122" customWidth="1"/>
    <col min="8" max="256" width="0" style="122" hidden="1"/>
    <col min="257" max="257" width="0" style="122" hidden="1" customWidth="1"/>
    <col min="258" max="258" width="31.7265625" style="122" customWidth="1"/>
    <col min="259" max="260" width="15.26953125" style="122" customWidth="1"/>
    <col min="261" max="261" width="16.54296875" style="122" customWidth="1"/>
    <col min="262" max="262" width="15" style="122" customWidth="1"/>
    <col min="263" max="263" width="9.26953125" style="122" customWidth="1"/>
    <col min="264" max="512" width="0" style="122" hidden="1"/>
    <col min="513" max="513" width="0" style="122" hidden="1" customWidth="1"/>
    <col min="514" max="514" width="31.7265625" style="122" customWidth="1"/>
    <col min="515" max="516" width="15.26953125" style="122" customWidth="1"/>
    <col min="517" max="517" width="16.54296875" style="122" customWidth="1"/>
    <col min="518" max="518" width="15" style="122" customWidth="1"/>
    <col min="519" max="519" width="9.26953125" style="122" customWidth="1"/>
    <col min="520" max="768" width="0" style="122" hidden="1"/>
    <col min="769" max="769" width="0" style="122" hidden="1" customWidth="1"/>
    <col min="770" max="770" width="31.7265625" style="122" customWidth="1"/>
    <col min="771" max="772" width="15.26953125" style="122" customWidth="1"/>
    <col min="773" max="773" width="16.54296875" style="122" customWidth="1"/>
    <col min="774" max="774" width="15" style="122" customWidth="1"/>
    <col min="775" max="775" width="9.26953125" style="122" customWidth="1"/>
    <col min="776" max="1024" width="0" style="122" hidden="1"/>
    <col min="1025" max="1025" width="0" style="122" hidden="1" customWidth="1"/>
    <col min="1026" max="1026" width="31.7265625" style="122" customWidth="1"/>
    <col min="1027" max="1028" width="15.26953125" style="122" customWidth="1"/>
    <col min="1029" max="1029" width="16.54296875" style="122" customWidth="1"/>
    <col min="1030" max="1030" width="15" style="122" customWidth="1"/>
    <col min="1031" max="1031" width="9.26953125" style="122" customWidth="1"/>
    <col min="1032" max="1280" width="0" style="122" hidden="1"/>
    <col min="1281" max="1281" width="0" style="122" hidden="1" customWidth="1"/>
    <col min="1282" max="1282" width="31.7265625" style="122" customWidth="1"/>
    <col min="1283" max="1284" width="15.26953125" style="122" customWidth="1"/>
    <col min="1285" max="1285" width="16.54296875" style="122" customWidth="1"/>
    <col min="1286" max="1286" width="15" style="122" customWidth="1"/>
    <col min="1287" max="1287" width="9.26953125" style="122" customWidth="1"/>
    <col min="1288" max="1536" width="0" style="122" hidden="1"/>
    <col min="1537" max="1537" width="0" style="122" hidden="1" customWidth="1"/>
    <col min="1538" max="1538" width="31.7265625" style="122" customWidth="1"/>
    <col min="1539" max="1540" width="15.26953125" style="122" customWidth="1"/>
    <col min="1541" max="1541" width="16.54296875" style="122" customWidth="1"/>
    <col min="1542" max="1542" width="15" style="122" customWidth="1"/>
    <col min="1543" max="1543" width="9.26953125" style="122" customWidth="1"/>
    <col min="1544" max="1792" width="0" style="122" hidden="1"/>
    <col min="1793" max="1793" width="0" style="122" hidden="1" customWidth="1"/>
    <col min="1794" max="1794" width="31.7265625" style="122" customWidth="1"/>
    <col min="1795" max="1796" width="15.26953125" style="122" customWidth="1"/>
    <col min="1797" max="1797" width="16.54296875" style="122" customWidth="1"/>
    <col min="1798" max="1798" width="15" style="122" customWidth="1"/>
    <col min="1799" max="1799" width="9.26953125" style="122" customWidth="1"/>
    <col min="1800" max="2048" width="0" style="122" hidden="1"/>
    <col min="2049" max="2049" width="0" style="122" hidden="1" customWidth="1"/>
    <col min="2050" max="2050" width="31.7265625" style="122" customWidth="1"/>
    <col min="2051" max="2052" width="15.26953125" style="122" customWidth="1"/>
    <col min="2053" max="2053" width="16.54296875" style="122" customWidth="1"/>
    <col min="2054" max="2054" width="15" style="122" customWidth="1"/>
    <col min="2055" max="2055" width="9.26953125" style="122" customWidth="1"/>
    <col min="2056" max="2304" width="0" style="122" hidden="1"/>
    <col min="2305" max="2305" width="0" style="122" hidden="1" customWidth="1"/>
    <col min="2306" max="2306" width="31.7265625" style="122" customWidth="1"/>
    <col min="2307" max="2308" width="15.26953125" style="122" customWidth="1"/>
    <col min="2309" max="2309" width="16.54296875" style="122" customWidth="1"/>
    <col min="2310" max="2310" width="15" style="122" customWidth="1"/>
    <col min="2311" max="2311" width="9.26953125" style="122" customWidth="1"/>
    <col min="2312" max="2560" width="0" style="122" hidden="1"/>
    <col min="2561" max="2561" width="0" style="122" hidden="1" customWidth="1"/>
    <col min="2562" max="2562" width="31.7265625" style="122" customWidth="1"/>
    <col min="2563" max="2564" width="15.26953125" style="122" customWidth="1"/>
    <col min="2565" max="2565" width="16.54296875" style="122" customWidth="1"/>
    <col min="2566" max="2566" width="15" style="122" customWidth="1"/>
    <col min="2567" max="2567" width="9.26953125" style="122" customWidth="1"/>
    <col min="2568" max="2816" width="0" style="122" hidden="1"/>
    <col min="2817" max="2817" width="0" style="122" hidden="1" customWidth="1"/>
    <col min="2818" max="2818" width="31.7265625" style="122" customWidth="1"/>
    <col min="2819" max="2820" width="15.26953125" style="122" customWidth="1"/>
    <col min="2821" max="2821" width="16.54296875" style="122" customWidth="1"/>
    <col min="2822" max="2822" width="15" style="122" customWidth="1"/>
    <col min="2823" max="2823" width="9.26953125" style="122" customWidth="1"/>
    <col min="2824" max="3072" width="0" style="122" hidden="1"/>
    <col min="3073" max="3073" width="0" style="122" hidden="1" customWidth="1"/>
    <col min="3074" max="3074" width="31.7265625" style="122" customWidth="1"/>
    <col min="3075" max="3076" width="15.26953125" style="122" customWidth="1"/>
    <col min="3077" max="3077" width="16.54296875" style="122" customWidth="1"/>
    <col min="3078" max="3078" width="15" style="122" customWidth="1"/>
    <col min="3079" max="3079" width="9.26953125" style="122" customWidth="1"/>
    <col min="3080" max="3328" width="0" style="122" hidden="1"/>
    <col min="3329" max="3329" width="0" style="122" hidden="1" customWidth="1"/>
    <col min="3330" max="3330" width="31.7265625" style="122" customWidth="1"/>
    <col min="3331" max="3332" width="15.26953125" style="122" customWidth="1"/>
    <col min="3333" max="3333" width="16.54296875" style="122" customWidth="1"/>
    <col min="3334" max="3334" width="15" style="122" customWidth="1"/>
    <col min="3335" max="3335" width="9.26953125" style="122" customWidth="1"/>
    <col min="3336" max="3584" width="0" style="122" hidden="1"/>
    <col min="3585" max="3585" width="0" style="122" hidden="1" customWidth="1"/>
    <col min="3586" max="3586" width="31.7265625" style="122" customWidth="1"/>
    <col min="3587" max="3588" width="15.26953125" style="122" customWidth="1"/>
    <col min="3589" max="3589" width="16.54296875" style="122" customWidth="1"/>
    <col min="3590" max="3590" width="15" style="122" customWidth="1"/>
    <col min="3591" max="3591" width="9.26953125" style="122" customWidth="1"/>
    <col min="3592" max="3840" width="0" style="122" hidden="1"/>
    <col min="3841" max="3841" width="0" style="122" hidden="1" customWidth="1"/>
    <col min="3842" max="3842" width="31.7265625" style="122" customWidth="1"/>
    <col min="3843" max="3844" width="15.26953125" style="122" customWidth="1"/>
    <col min="3845" max="3845" width="16.54296875" style="122" customWidth="1"/>
    <col min="3846" max="3846" width="15" style="122" customWidth="1"/>
    <col min="3847" max="3847" width="9.26953125" style="122" customWidth="1"/>
    <col min="3848" max="4096" width="0" style="122" hidden="1"/>
    <col min="4097" max="4097" width="0" style="122" hidden="1" customWidth="1"/>
    <col min="4098" max="4098" width="31.7265625" style="122" customWidth="1"/>
    <col min="4099" max="4100" width="15.26953125" style="122" customWidth="1"/>
    <col min="4101" max="4101" width="16.54296875" style="122" customWidth="1"/>
    <col min="4102" max="4102" width="15" style="122" customWidth="1"/>
    <col min="4103" max="4103" width="9.26953125" style="122" customWidth="1"/>
    <col min="4104" max="4352" width="0" style="122" hidden="1"/>
    <col min="4353" max="4353" width="0" style="122" hidden="1" customWidth="1"/>
    <col min="4354" max="4354" width="31.7265625" style="122" customWidth="1"/>
    <col min="4355" max="4356" width="15.26953125" style="122" customWidth="1"/>
    <col min="4357" max="4357" width="16.54296875" style="122" customWidth="1"/>
    <col min="4358" max="4358" width="15" style="122" customWidth="1"/>
    <col min="4359" max="4359" width="9.26953125" style="122" customWidth="1"/>
    <col min="4360" max="4608" width="0" style="122" hidden="1"/>
    <col min="4609" max="4609" width="0" style="122" hidden="1" customWidth="1"/>
    <col min="4610" max="4610" width="31.7265625" style="122" customWidth="1"/>
    <col min="4611" max="4612" width="15.26953125" style="122" customWidth="1"/>
    <col min="4613" max="4613" width="16.54296875" style="122" customWidth="1"/>
    <col min="4614" max="4614" width="15" style="122" customWidth="1"/>
    <col min="4615" max="4615" width="9.26953125" style="122" customWidth="1"/>
    <col min="4616" max="4864" width="0" style="122" hidden="1"/>
    <col min="4865" max="4865" width="0" style="122" hidden="1" customWidth="1"/>
    <col min="4866" max="4866" width="31.7265625" style="122" customWidth="1"/>
    <col min="4867" max="4868" width="15.26953125" style="122" customWidth="1"/>
    <col min="4869" max="4869" width="16.54296875" style="122" customWidth="1"/>
    <col min="4870" max="4870" width="15" style="122" customWidth="1"/>
    <col min="4871" max="4871" width="9.26953125" style="122" customWidth="1"/>
    <col min="4872" max="5120" width="0" style="122" hidden="1"/>
    <col min="5121" max="5121" width="0" style="122" hidden="1" customWidth="1"/>
    <col min="5122" max="5122" width="31.7265625" style="122" customWidth="1"/>
    <col min="5123" max="5124" width="15.26953125" style="122" customWidth="1"/>
    <col min="5125" max="5125" width="16.54296875" style="122" customWidth="1"/>
    <col min="5126" max="5126" width="15" style="122" customWidth="1"/>
    <col min="5127" max="5127" width="9.26953125" style="122" customWidth="1"/>
    <col min="5128" max="5376" width="0" style="122" hidden="1"/>
    <col min="5377" max="5377" width="0" style="122" hidden="1" customWidth="1"/>
    <col min="5378" max="5378" width="31.7265625" style="122" customWidth="1"/>
    <col min="5379" max="5380" width="15.26953125" style="122" customWidth="1"/>
    <col min="5381" max="5381" width="16.54296875" style="122" customWidth="1"/>
    <col min="5382" max="5382" width="15" style="122" customWidth="1"/>
    <col min="5383" max="5383" width="9.26953125" style="122" customWidth="1"/>
    <col min="5384" max="5632" width="0" style="122" hidden="1"/>
    <col min="5633" max="5633" width="0" style="122" hidden="1" customWidth="1"/>
    <col min="5634" max="5634" width="31.7265625" style="122" customWidth="1"/>
    <col min="5635" max="5636" width="15.26953125" style="122" customWidth="1"/>
    <col min="5637" max="5637" width="16.54296875" style="122" customWidth="1"/>
    <col min="5638" max="5638" width="15" style="122" customWidth="1"/>
    <col min="5639" max="5639" width="9.26953125" style="122" customWidth="1"/>
    <col min="5640" max="5888" width="0" style="122" hidden="1"/>
    <col min="5889" max="5889" width="0" style="122" hidden="1" customWidth="1"/>
    <col min="5890" max="5890" width="31.7265625" style="122" customWidth="1"/>
    <col min="5891" max="5892" width="15.26953125" style="122" customWidth="1"/>
    <col min="5893" max="5893" width="16.54296875" style="122" customWidth="1"/>
    <col min="5894" max="5894" width="15" style="122" customWidth="1"/>
    <col min="5895" max="5895" width="9.26953125" style="122" customWidth="1"/>
    <col min="5896" max="6144" width="0" style="122" hidden="1"/>
    <col min="6145" max="6145" width="0" style="122" hidden="1" customWidth="1"/>
    <col min="6146" max="6146" width="31.7265625" style="122" customWidth="1"/>
    <col min="6147" max="6148" width="15.26953125" style="122" customWidth="1"/>
    <col min="6149" max="6149" width="16.54296875" style="122" customWidth="1"/>
    <col min="6150" max="6150" width="15" style="122" customWidth="1"/>
    <col min="6151" max="6151" width="9.26953125" style="122" customWidth="1"/>
    <col min="6152" max="6400" width="0" style="122" hidden="1"/>
    <col min="6401" max="6401" width="0" style="122" hidden="1" customWidth="1"/>
    <col min="6402" max="6402" width="31.7265625" style="122" customWidth="1"/>
    <col min="6403" max="6404" width="15.26953125" style="122" customWidth="1"/>
    <col min="6405" max="6405" width="16.54296875" style="122" customWidth="1"/>
    <col min="6406" max="6406" width="15" style="122" customWidth="1"/>
    <col min="6407" max="6407" width="9.26953125" style="122" customWidth="1"/>
    <col min="6408" max="6656" width="0" style="122" hidden="1"/>
    <col min="6657" max="6657" width="0" style="122" hidden="1" customWidth="1"/>
    <col min="6658" max="6658" width="31.7265625" style="122" customWidth="1"/>
    <col min="6659" max="6660" width="15.26953125" style="122" customWidth="1"/>
    <col min="6661" max="6661" width="16.54296875" style="122" customWidth="1"/>
    <col min="6662" max="6662" width="15" style="122" customWidth="1"/>
    <col min="6663" max="6663" width="9.26953125" style="122" customWidth="1"/>
    <col min="6664" max="6912" width="0" style="122" hidden="1"/>
    <col min="6913" max="6913" width="0" style="122" hidden="1" customWidth="1"/>
    <col min="6914" max="6914" width="31.7265625" style="122" customWidth="1"/>
    <col min="6915" max="6916" width="15.26953125" style="122" customWidth="1"/>
    <col min="6917" max="6917" width="16.54296875" style="122" customWidth="1"/>
    <col min="6918" max="6918" width="15" style="122" customWidth="1"/>
    <col min="6919" max="6919" width="9.26953125" style="122" customWidth="1"/>
    <col min="6920" max="7168" width="0" style="122" hidden="1"/>
    <col min="7169" max="7169" width="0" style="122" hidden="1" customWidth="1"/>
    <col min="7170" max="7170" width="31.7265625" style="122" customWidth="1"/>
    <col min="7171" max="7172" width="15.26953125" style="122" customWidth="1"/>
    <col min="7173" max="7173" width="16.54296875" style="122" customWidth="1"/>
    <col min="7174" max="7174" width="15" style="122" customWidth="1"/>
    <col min="7175" max="7175" width="9.26953125" style="122" customWidth="1"/>
    <col min="7176" max="7424" width="0" style="122" hidden="1"/>
    <col min="7425" max="7425" width="0" style="122" hidden="1" customWidth="1"/>
    <col min="7426" max="7426" width="31.7265625" style="122" customWidth="1"/>
    <col min="7427" max="7428" width="15.26953125" style="122" customWidth="1"/>
    <col min="7429" max="7429" width="16.54296875" style="122" customWidth="1"/>
    <col min="7430" max="7430" width="15" style="122" customWidth="1"/>
    <col min="7431" max="7431" width="9.26953125" style="122" customWidth="1"/>
    <col min="7432" max="7680" width="0" style="122" hidden="1"/>
    <col min="7681" max="7681" width="0" style="122" hidden="1" customWidth="1"/>
    <col min="7682" max="7682" width="31.7265625" style="122" customWidth="1"/>
    <col min="7683" max="7684" width="15.26953125" style="122" customWidth="1"/>
    <col min="7685" max="7685" width="16.54296875" style="122" customWidth="1"/>
    <col min="7686" max="7686" width="15" style="122" customWidth="1"/>
    <col min="7687" max="7687" width="9.26953125" style="122" customWidth="1"/>
    <col min="7688" max="7936" width="0" style="122" hidden="1"/>
    <col min="7937" max="7937" width="0" style="122" hidden="1" customWidth="1"/>
    <col min="7938" max="7938" width="31.7265625" style="122" customWidth="1"/>
    <col min="7939" max="7940" width="15.26953125" style="122" customWidth="1"/>
    <col min="7941" max="7941" width="16.54296875" style="122" customWidth="1"/>
    <col min="7942" max="7942" width="15" style="122" customWidth="1"/>
    <col min="7943" max="7943" width="9.26953125" style="122" customWidth="1"/>
    <col min="7944" max="8192" width="0" style="122" hidden="1"/>
    <col min="8193" max="8193" width="0" style="122" hidden="1" customWidth="1"/>
    <col min="8194" max="8194" width="31.7265625" style="122" customWidth="1"/>
    <col min="8195" max="8196" width="15.26953125" style="122" customWidth="1"/>
    <col min="8197" max="8197" width="16.54296875" style="122" customWidth="1"/>
    <col min="8198" max="8198" width="15" style="122" customWidth="1"/>
    <col min="8199" max="8199" width="9.26953125" style="122" customWidth="1"/>
    <col min="8200" max="8448" width="0" style="122" hidden="1"/>
    <col min="8449" max="8449" width="0" style="122" hidden="1" customWidth="1"/>
    <col min="8450" max="8450" width="31.7265625" style="122" customWidth="1"/>
    <col min="8451" max="8452" width="15.26953125" style="122" customWidth="1"/>
    <col min="8453" max="8453" width="16.54296875" style="122" customWidth="1"/>
    <col min="8454" max="8454" width="15" style="122" customWidth="1"/>
    <col min="8455" max="8455" width="9.26953125" style="122" customWidth="1"/>
    <col min="8456" max="8704" width="0" style="122" hidden="1"/>
    <col min="8705" max="8705" width="0" style="122" hidden="1" customWidth="1"/>
    <col min="8706" max="8706" width="31.7265625" style="122" customWidth="1"/>
    <col min="8707" max="8708" width="15.26953125" style="122" customWidth="1"/>
    <col min="8709" max="8709" width="16.54296875" style="122" customWidth="1"/>
    <col min="8710" max="8710" width="15" style="122" customWidth="1"/>
    <col min="8711" max="8711" width="9.26953125" style="122" customWidth="1"/>
    <col min="8712" max="8960" width="0" style="122" hidden="1"/>
    <col min="8961" max="8961" width="0" style="122" hidden="1" customWidth="1"/>
    <col min="8962" max="8962" width="31.7265625" style="122" customWidth="1"/>
    <col min="8963" max="8964" width="15.26953125" style="122" customWidth="1"/>
    <col min="8965" max="8965" width="16.54296875" style="122" customWidth="1"/>
    <col min="8966" max="8966" width="15" style="122" customWidth="1"/>
    <col min="8967" max="8967" width="9.26953125" style="122" customWidth="1"/>
    <col min="8968" max="9216" width="0" style="122" hidden="1"/>
    <col min="9217" max="9217" width="0" style="122" hidden="1" customWidth="1"/>
    <col min="9218" max="9218" width="31.7265625" style="122" customWidth="1"/>
    <col min="9219" max="9220" width="15.26953125" style="122" customWidth="1"/>
    <col min="9221" max="9221" width="16.54296875" style="122" customWidth="1"/>
    <col min="9222" max="9222" width="15" style="122" customWidth="1"/>
    <col min="9223" max="9223" width="9.26953125" style="122" customWidth="1"/>
    <col min="9224" max="9472" width="0" style="122" hidden="1"/>
    <col min="9473" max="9473" width="0" style="122" hidden="1" customWidth="1"/>
    <col min="9474" max="9474" width="31.7265625" style="122" customWidth="1"/>
    <col min="9475" max="9476" width="15.26953125" style="122" customWidth="1"/>
    <col min="9477" max="9477" width="16.54296875" style="122" customWidth="1"/>
    <col min="9478" max="9478" width="15" style="122" customWidth="1"/>
    <col min="9479" max="9479" width="9.26953125" style="122" customWidth="1"/>
    <col min="9480" max="9728" width="0" style="122" hidden="1"/>
    <col min="9729" max="9729" width="0" style="122" hidden="1" customWidth="1"/>
    <col min="9730" max="9730" width="31.7265625" style="122" customWidth="1"/>
    <col min="9731" max="9732" width="15.26953125" style="122" customWidth="1"/>
    <col min="9733" max="9733" width="16.54296875" style="122" customWidth="1"/>
    <col min="9734" max="9734" width="15" style="122" customWidth="1"/>
    <col min="9735" max="9735" width="9.26953125" style="122" customWidth="1"/>
    <col min="9736" max="9984" width="0" style="122" hidden="1"/>
    <col min="9985" max="9985" width="0" style="122" hidden="1" customWidth="1"/>
    <col min="9986" max="9986" width="31.7265625" style="122" customWidth="1"/>
    <col min="9987" max="9988" width="15.26953125" style="122" customWidth="1"/>
    <col min="9989" max="9989" width="16.54296875" style="122" customWidth="1"/>
    <col min="9990" max="9990" width="15" style="122" customWidth="1"/>
    <col min="9991" max="9991" width="9.26953125" style="122" customWidth="1"/>
    <col min="9992" max="10240" width="0" style="122" hidden="1"/>
    <col min="10241" max="10241" width="0" style="122" hidden="1" customWidth="1"/>
    <col min="10242" max="10242" width="31.7265625" style="122" customWidth="1"/>
    <col min="10243" max="10244" width="15.26953125" style="122" customWidth="1"/>
    <col min="10245" max="10245" width="16.54296875" style="122" customWidth="1"/>
    <col min="10246" max="10246" width="15" style="122" customWidth="1"/>
    <col min="10247" max="10247" width="9.26953125" style="122" customWidth="1"/>
    <col min="10248" max="10496" width="0" style="122" hidden="1"/>
    <col min="10497" max="10497" width="0" style="122" hidden="1" customWidth="1"/>
    <col min="10498" max="10498" width="31.7265625" style="122" customWidth="1"/>
    <col min="10499" max="10500" width="15.26953125" style="122" customWidth="1"/>
    <col min="10501" max="10501" width="16.54296875" style="122" customWidth="1"/>
    <col min="10502" max="10502" width="15" style="122" customWidth="1"/>
    <col min="10503" max="10503" width="9.26953125" style="122" customWidth="1"/>
    <col min="10504" max="10752" width="0" style="122" hidden="1"/>
    <col min="10753" max="10753" width="0" style="122" hidden="1" customWidth="1"/>
    <col min="10754" max="10754" width="31.7265625" style="122" customWidth="1"/>
    <col min="10755" max="10756" width="15.26953125" style="122" customWidth="1"/>
    <col min="10757" max="10757" width="16.54296875" style="122" customWidth="1"/>
    <col min="10758" max="10758" width="15" style="122" customWidth="1"/>
    <col min="10759" max="10759" width="9.26953125" style="122" customWidth="1"/>
    <col min="10760" max="11008" width="0" style="122" hidden="1"/>
    <col min="11009" max="11009" width="0" style="122" hidden="1" customWidth="1"/>
    <col min="11010" max="11010" width="31.7265625" style="122" customWidth="1"/>
    <col min="11011" max="11012" width="15.26953125" style="122" customWidth="1"/>
    <col min="11013" max="11013" width="16.54296875" style="122" customWidth="1"/>
    <col min="11014" max="11014" width="15" style="122" customWidth="1"/>
    <col min="11015" max="11015" width="9.26953125" style="122" customWidth="1"/>
    <col min="11016" max="11264" width="0" style="122" hidden="1"/>
    <col min="11265" max="11265" width="0" style="122" hidden="1" customWidth="1"/>
    <col min="11266" max="11266" width="31.7265625" style="122" customWidth="1"/>
    <col min="11267" max="11268" width="15.26953125" style="122" customWidth="1"/>
    <col min="11269" max="11269" width="16.54296875" style="122" customWidth="1"/>
    <col min="11270" max="11270" width="15" style="122" customWidth="1"/>
    <col min="11271" max="11271" width="9.26953125" style="122" customWidth="1"/>
    <col min="11272" max="11520" width="0" style="122" hidden="1"/>
    <col min="11521" max="11521" width="0" style="122" hidden="1" customWidth="1"/>
    <col min="11522" max="11522" width="31.7265625" style="122" customWidth="1"/>
    <col min="11523" max="11524" width="15.26953125" style="122" customWidth="1"/>
    <col min="11525" max="11525" width="16.54296875" style="122" customWidth="1"/>
    <col min="11526" max="11526" width="15" style="122" customWidth="1"/>
    <col min="11527" max="11527" width="9.26953125" style="122" customWidth="1"/>
    <col min="11528" max="11776" width="0" style="122" hidden="1"/>
    <col min="11777" max="11777" width="0" style="122" hidden="1" customWidth="1"/>
    <col min="11778" max="11778" width="31.7265625" style="122" customWidth="1"/>
    <col min="11779" max="11780" width="15.26953125" style="122" customWidth="1"/>
    <col min="11781" max="11781" width="16.54296875" style="122" customWidth="1"/>
    <col min="11782" max="11782" width="15" style="122" customWidth="1"/>
    <col min="11783" max="11783" width="9.26953125" style="122" customWidth="1"/>
    <col min="11784" max="12032" width="0" style="122" hidden="1"/>
    <col min="12033" max="12033" width="0" style="122" hidden="1" customWidth="1"/>
    <col min="12034" max="12034" width="31.7265625" style="122" customWidth="1"/>
    <col min="12035" max="12036" width="15.26953125" style="122" customWidth="1"/>
    <col min="12037" max="12037" width="16.54296875" style="122" customWidth="1"/>
    <col min="12038" max="12038" width="15" style="122" customWidth="1"/>
    <col min="12039" max="12039" width="9.26953125" style="122" customWidth="1"/>
    <col min="12040" max="12288" width="0" style="122" hidden="1"/>
    <col min="12289" max="12289" width="0" style="122" hidden="1" customWidth="1"/>
    <col min="12290" max="12290" width="31.7265625" style="122" customWidth="1"/>
    <col min="12291" max="12292" width="15.26953125" style="122" customWidth="1"/>
    <col min="12293" max="12293" width="16.54296875" style="122" customWidth="1"/>
    <col min="12294" max="12294" width="15" style="122" customWidth="1"/>
    <col min="12295" max="12295" width="9.26953125" style="122" customWidth="1"/>
    <col min="12296" max="12544" width="0" style="122" hidden="1"/>
    <col min="12545" max="12545" width="0" style="122" hidden="1" customWidth="1"/>
    <col min="12546" max="12546" width="31.7265625" style="122" customWidth="1"/>
    <col min="12547" max="12548" width="15.26953125" style="122" customWidth="1"/>
    <col min="12549" max="12549" width="16.54296875" style="122" customWidth="1"/>
    <col min="12550" max="12550" width="15" style="122" customWidth="1"/>
    <col min="12551" max="12551" width="9.26953125" style="122" customWidth="1"/>
    <col min="12552" max="12800" width="0" style="122" hidden="1"/>
    <col min="12801" max="12801" width="0" style="122" hidden="1" customWidth="1"/>
    <col min="12802" max="12802" width="31.7265625" style="122" customWidth="1"/>
    <col min="12803" max="12804" width="15.26953125" style="122" customWidth="1"/>
    <col min="12805" max="12805" width="16.54296875" style="122" customWidth="1"/>
    <col min="12806" max="12806" width="15" style="122" customWidth="1"/>
    <col min="12807" max="12807" width="9.26953125" style="122" customWidth="1"/>
    <col min="12808" max="13056" width="0" style="122" hidden="1"/>
    <col min="13057" max="13057" width="0" style="122" hidden="1" customWidth="1"/>
    <col min="13058" max="13058" width="31.7265625" style="122" customWidth="1"/>
    <col min="13059" max="13060" width="15.26953125" style="122" customWidth="1"/>
    <col min="13061" max="13061" width="16.54296875" style="122" customWidth="1"/>
    <col min="13062" max="13062" width="15" style="122" customWidth="1"/>
    <col min="13063" max="13063" width="9.26953125" style="122" customWidth="1"/>
    <col min="13064" max="13312" width="0" style="122" hidden="1"/>
    <col min="13313" max="13313" width="0" style="122" hidden="1" customWidth="1"/>
    <col min="13314" max="13314" width="31.7265625" style="122" customWidth="1"/>
    <col min="13315" max="13316" width="15.26953125" style="122" customWidth="1"/>
    <col min="13317" max="13317" width="16.54296875" style="122" customWidth="1"/>
    <col min="13318" max="13318" width="15" style="122" customWidth="1"/>
    <col min="13319" max="13319" width="9.26953125" style="122" customWidth="1"/>
    <col min="13320" max="13568" width="0" style="122" hidden="1"/>
    <col min="13569" max="13569" width="0" style="122" hidden="1" customWidth="1"/>
    <col min="13570" max="13570" width="31.7265625" style="122" customWidth="1"/>
    <col min="13571" max="13572" width="15.26953125" style="122" customWidth="1"/>
    <col min="13573" max="13573" width="16.54296875" style="122" customWidth="1"/>
    <col min="13574" max="13574" width="15" style="122" customWidth="1"/>
    <col min="13575" max="13575" width="9.26953125" style="122" customWidth="1"/>
    <col min="13576" max="13824" width="0" style="122" hidden="1"/>
    <col min="13825" max="13825" width="0" style="122" hidden="1" customWidth="1"/>
    <col min="13826" max="13826" width="31.7265625" style="122" customWidth="1"/>
    <col min="13827" max="13828" width="15.26953125" style="122" customWidth="1"/>
    <col min="13829" max="13829" width="16.54296875" style="122" customWidth="1"/>
    <col min="13830" max="13830" width="15" style="122" customWidth="1"/>
    <col min="13831" max="13831" width="9.26953125" style="122" customWidth="1"/>
    <col min="13832" max="14080" width="0" style="122" hidden="1"/>
    <col min="14081" max="14081" width="0" style="122" hidden="1" customWidth="1"/>
    <col min="14082" max="14082" width="31.7265625" style="122" customWidth="1"/>
    <col min="14083" max="14084" width="15.26953125" style="122" customWidth="1"/>
    <col min="14085" max="14085" width="16.54296875" style="122" customWidth="1"/>
    <col min="14086" max="14086" width="15" style="122" customWidth="1"/>
    <col min="14087" max="14087" width="9.26953125" style="122" customWidth="1"/>
    <col min="14088" max="14336" width="0" style="122" hidden="1"/>
    <col min="14337" max="14337" width="0" style="122" hidden="1" customWidth="1"/>
    <col min="14338" max="14338" width="31.7265625" style="122" customWidth="1"/>
    <col min="14339" max="14340" width="15.26953125" style="122" customWidth="1"/>
    <col min="14341" max="14341" width="16.54296875" style="122" customWidth="1"/>
    <col min="14342" max="14342" width="15" style="122" customWidth="1"/>
    <col min="14343" max="14343" width="9.26953125" style="122" customWidth="1"/>
    <col min="14344" max="14592" width="0" style="122" hidden="1"/>
    <col min="14593" max="14593" width="0" style="122" hidden="1" customWidth="1"/>
    <col min="14594" max="14594" width="31.7265625" style="122" customWidth="1"/>
    <col min="14595" max="14596" width="15.26953125" style="122" customWidth="1"/>
    <col min="14597" max="14597" width="16.54296875" style="122" customWidth="1"/>
    <col min="14598" max="14598" width="15" style="122" customWidth="1"/>
    <col min="14599" max="14599" width="9.26953125" style="122" customWidth="1"/>
    <col min="14600" max="14848" width="0" style="122" hidden="1"/>
    <col min="14849" max="14849" width="0" style="122" hidden="1" customWidth="1"/>
    <col min="14850" max="14850" width="31.7265625" style="122" customWidth="1"/>
    <col min="14851" max="14852" width="15.26953125" style="122" customWidth="1"/>
    <col min="14853" max="14853" width="16.54296875" style="122" customWidth="1"/>
    <col min="14854" max="14854" width="15" style="122" customWidth="1"/>
    <col min="14855" max="14855" width="9.26953125" style="122" customWidth="1"/>
    <col min="14856" max="15104" width="0" style="122" hidden="1"/>
    <col min="15105" max="15105" width="0" style="122" hidden="1" customWidth="1"/>
    <col min="15106" max="15106" width="31.7265625" style="122" customWidth="1"/>
    <col min="15107" max="15108" width="15.26953125" style="122" customWidth="1"/>
    <col min="15109" max="15109" width="16.54296875" style="122" customWidth="1"/>
    <col min="15110" max="15110" width="15" style="122" customWidth="1"/>
    <col min="15111" max="15111" width="9.26953125" style="122" customWidth="1"/>
    <col min="15112" max="15360" width="0" style="122" hidden="1"/>
    <col min="15361" max="15361" width="0" style="122" hidden="1" customWidth="1"/>
    <col min="15362" max="15362" width="31.7265625" style="122" customWidth="1"/>
    <col min="15363" max="15364" width="15.26953125" style="122" customWidth="1"/>
    <col min="15365" max="15365" width="16.54296875" style="122" customWidth="1"/>
    <col min="15366" max="15366" width="15" style="122" customWidth="1"/>
    <col min="15367" max="15367" width="9.26953125" style="122" customWidth="1"/>
    <col min="15368" max="15616" width="0" style="122" hidden="1"/>
    <col min="15617" max="15617" width="0" style="122" hidden="1" customWidth="1"/>
    <col min="15618" max="15618" width="31.7265625" style="122" customWidth="1"/>
    <col min="15619" max="15620" width="15.26953125" style="122" customWidth="1"/>
    <col min="15621" max="15621" width="16.54296875" style="122" customWidth="1"/>
    <col min="15622" max="15622" width="15" style="122" customWidth="1"/>
    <col min="15623" max="15623" width="9.26953125" style="122" customWidth="1"/>
    <col min="15624" max="15872" width="0" style="122" hidden="1"/>
    <col min="15873" max="15873" width="0" style="122" hidden="1" customWidth="1"/>
    <col min="15874" max="15874" width="31.7265625" style="122" customWidth="1"/>
    <col min="15875" max="15876" width="15.26953125" style="122" customWidth="1"/>
    <col min="15877" max="15877" width="16.54296875" style="122" customWidth="1"/>
    <col min="15878" max="15878" width="15" style="122" customWidth="1"/>
    <col min="15879" max="15879" width="9.26953125" style="122" customWidth="1"/>
    <col min="15880" max="16128" width="0" style="122" hidden="1"/>
    <col min="16129" max="16129" width="0" style="122" hidden="1" customWidth="1"/>
    <col min="16130" max="16130" width="31.7265625" style="122" customWidth="1"/>
    <col min="16131" max="16132" width="15.26953125" style="122" customWidth="1"/>
    <col min="16133" max="16133" width="16.54296875" style="122" customWidth="1"/>
    <col min="16134" max="16134" width="15" style="122" customWidth="1"/>
    <col min="16135" max="16135" width="9.26953125" style="122" customWidth="1"/>
    <col min="16136" max="16384" width="0" style="122" hidden="1"/>
  </cols>
  <sheetData>
    <row r="1" spans="1:17" ht="50.25" customHeight="1" x14ac:dyDescent="0.3">
      <c r="B1" s="286" t="s">
        <v>95</v>
      </c>
      <c r="C1" s="286"/>
      <c r="D1" s="286"/>
      <c r="E1" s="286"/>
      <c r="F1" s="286"/>
    </row>
    <row r="2" spans="1:17" ht="15.75" customHeight="1" x14ac:dyDescent="0.3">
      <c r="C2" s="297" t="s">
        <v>1</v>
      </c>
      <c r="D2" s="294" t="s">
        <v>2</v>
      </c>
      <c r="E2" s="294"/>
      <c r="F2" s="297" t="s">
        <v>5</v>
      </c>
      <c r="H2" s="297"/>
      <c r="I2" s="294"/>
      <c r="J2" s="294"/>
      <c r="K2" s="297"/>
    </row>
    <row r="3" spans="1:17" ht="39" customHeight="1" x14ac:dyDescent="0.3">
      <c r="A3" s="4"/>
      <c r="C3" s="289"/>
      <c r="D3" s="143" t="s">
        <v>3</v>
      </c>
      <c r="E3" s="143" t="s">
        <v>4</v>
      </c>
      <c r="F3" s="289"/>
      <c r="H3" s="289"/>
      <c r="I3" s="143"/>
      <c r="J3" s="143"/>
      <c r="K3" s="289"/>
    </row>
    <row r="4" spans="1:17" ht="28.5" customHeight="1" x14ac:dyDescent="0.3">
      <c r="A4" s="4"/>
      <c r="B4" s="127" t="s">
        <v>6</v>
      </c>
      <c r="C4" s="159">
        <v>1097</v>
      </c>
      <c r="D4" s="159">
        <v>149</v>
      </c>
      <c r="E4" s="159">
        <v>14</v>
      </c>
      <c r="F4" s="159">
        <v>0</v>
      </c>
      <c r="H4" s="162"/>
      <c r="I4" s="162"/>
      <c r="J4" s="162"/>
      <c r="K4" s="162"/>
      <c r="L4" s="162"/>
      <c r="M4" s="162"/>
      <c r="N4" s="162"/>
      <c r="O4" s="162"/>
      <c r="P4" s="162"/>
      <c r="Q4" s="162"/>
    </row>
    <row r="5" spans="1:17" s="152" customFormat="1" ht="26.25" customHeight="1" x14ac:dyDescent="0.3">
      <c r="A5" s="12"/>
      <c r="B5" s="127" t="s">
        <v>7</v>
      </c>
      <c r="C5" s="146">
        <v>544</v>
      </c>
      <c r="D5" s="146">
        <v>95</v>
      </c>
      <c r="E5" s="146">
        <v>8</v>
      </c>
      <c r="F5" s="146">
        <v>0</v>
      </c>
      <c r="H5" s="162"/>
      <c r="I5" s="162"/>
      <c r="J5" s="162"/>
      <c r="K5" s="162"/>
      <c r="L5" s="162"/>
      <c r="M5" s="162"/>
      <c r="N5" s="162"/>
      <c r="O5" s="162"/>
      <c r="P5" s="162"/>
      <c r="Q5" s="162"/>
    </row>
    <row r="6" spans="1:17" x14ac:dyDescent="0.3">
      <c r="A6" s="12">
        <v>51</v>
      </c>
      <c r="B6" s="122" t="s">
        <v>8</v>
      </c>
      <c r="C6" s="147">
        <v>35</v>
      </c>
      <c r="D6" s="147">
        <v>5</v>
      </c>
      <c r="E6" s="147">
        <v>1</v>
      </c>
      <c r="F6" s="147">
        <v>0</v>
      </c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1:17" x14ac:dyDescent="0.3">
      <c r="A7" s="12">
        <v>52</v>
      </c>
      <c r="B7" s="122" t="s">
        <v>9</v>
      </c>
      <c r="C7" s="147">
        <v>14</v>
      </c>
      <c r="D7" s="147">
        <v>2</v>
      </c>
      <c r="E7" s="147">
        <v>0</v>
      </c>
      <c r="F7" s="147">
        <v>0</v>
      </c>
      <c r="H7" s="162"/>
      <c r="I7" s="162"/>
      <c r="J7" s="162"/>
      <c r="K7" s="162"/>
      <c r="L7" s="162"/>
      <c r="M7" s="162"/>
      <c r="N7" s="162"/>
      <c r="O7" s="162"/>
      <c r="P7" s="162"/>
      <c r="Q7" s="162"/>
    </row>
    <row r="8" spans="1:17" x14ac:dyDescent="0.3">
      <c r="A8" s="12">
        <v>86</v>
      </c>
      <c r="B8" s="122" t="s">
        <v>10</v>
      </c>
      <c r="C8" s="147">
        <v>27</v>
      </c>
      <c r="D8" s="147">
        <v>4</v>
      </c>
      <c r="E8" s="147">
        <v>0</v>
      </c>
      <c r="F8" s="147"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</row>
    <row r="9" spans="1:17" x14ac:dyDescent="0.3">
      <c r="A9" s="12">
        <v>53</v>
      </c>
      <c r="B9" s="122" t="s">
        <v>11</v>
      </c>
      <c r="C9" s="147">
        <v>8</v>
      </c>
      <c r="D9" s="147">
        <v>2</v>
      </c>
      <c r="E9" s="147">
        <v>0</v>
      </c>
      <c r="F9" s="147">
        <v>0</v>
      </c>
      <c r="H9" s="162"/>
      <c r="I9" s="162"/>
      <c r="J9" s="162"/>
      <c r="K9" s="162"/>
      <c r="L9" s="162"/>
      <c r="M9" s="162"/>
      <c r="N9" s="162"/>
      <c r="O9" s="162"/>
      <c r="P9" s="162"/>
      <c r="Q9" s="162"/>
    </row>
    <row r="10" spans="1:17" x14ac:dyDescent="0.3">
      <c r="A10" s="12">
        <v>54</v>
      </c>
      <c r="B10" s="122" t="s">
        <v>12</v>
      </c>
      <c r="C10" s="147">
        <v>23</v>
      </c>
      <c r="D10" s="147">
        <v>0</v>
      </c>
      <c r="E10" s="147">
        <v>3</v>
      </c>
      <c r="F10" s="147">
        <v>0</v>
      </c>
      <c r="H10" s="162"/>
      <c r="I10" s="162"/>
      <c r="J10" s="162"/>
      <c r="K10" s="162"/>
      <c r="L10" s="162"/>
      <c r="M10" s="162"/>
      <c r="N10" s="162"/>
      <c r="O10" s="162"/>
      <c r="P10" s="162"/>
      <c r="Q10" s="162"/>
    </row>
    <row r="11" spans="1:17" x14ac:dyDescent="0.3">
      <c r="A11" s="12">
        <v>55</v>
      </c>
      <c r="B11" s="122" t="s">
        <v>13</v>
      </c>
      <c r="C11" s="147">
        <v>1</v>
      </c>
      <c r="D11" s="147">
        <v>0</v>
      </c>
      <c r="E11" s="147">
        <v>0</v>
      </c>
      <c r="F11" s="147">
        <v>0</v>
      </c>
      <c r="H11" s="162"/>
      <c r="I11" s="162"/>
      <c r="J11" s="162"/>
      <c r="K11" s="162"/>
      <c r="L11" s="162"/>
      <c r="M11" s="162"/>
      <c r="N11" s="162"/>
      <c r="O11" s="162"/>
      <c r="P11" s="162"/>
      <c r="Q11" s="162"/>
    </row>
    <row r="12" spans="1:17" x14ac:dyDescent="0.3">
      <c r="A12" s="12">
        <v>56</v>
      </c>
      <c r="B12" s="122" t="s">
        <v>14</v>
      </c>
      <c r="C12" s="147">
        <v>2</v>
      </c>
      <c r="D12" s="147">
        <v>0</v>
      </c>
      <c r="E12" s="147">
        <v>0</v>
      </c>
      <c r="F12" s="147">
        <v>0</v>
      </c>
      <c r="H12" s="162"/>
      <c r="I12" s="162"/>
      <c r="J12" s="162"/>
      <c r="K12" s="162"/>
      <c r="L12" s="162"/>
      <c r="M12" s="162"/>
      <c r="N12" s="162"/>
      <c r="O12" s="162"/>
      <c r="P12" s="162"/>
      <c r="Q12" s="162"/>
    </row>
    <row r="13" spans="1:17" x14ac:dyDescent="0.3">
      <c r="A13" s="12">
        <v>57</v>
      </c>
      <c r="B13" s="122" t="s">
        <v>15</v>
      </c>
      <c r="C13" s="147">
        <v>4</v>
      </c>
      <c r="D13" s="147">
        <v>0</v>
      </c>
      <c r="E13" s="147">
        <v>0</v>
      </c>
      <c r="F13" s="147">
        <v>0</v>
      </c>
      <c r="H13" s="162"/>
      <c r="I13" s="162"/>
      <c r="J13" s="162"/>
      <c r="K13" s="162"/>
      <c r="L13" s="162"/>
      <c r="M13" s="162"/>
      <c r="N13" s="162"/>
      <c r="O13" s="162"/>
      <c r="P13" s="162"/>
      <c r="Q13" s="162"/>
    </row>
    <row r="14" spans="1:17" x14ac:dyDescent="0.3">
      <c r="A14" s="12">
        <v>59</v>
      </c>
      <c r="B14" s="122" t="s">
        <v>16</v>
      </c>
      <c r="C14" s="147">
        <v>5</v>
      </c>
      <c r="D14" s="147">
        <v>3</v>
      </c>
      <c r="E14" s="147">
        <v>0</v>
      </c>
      <c r="F14" s="147">
        <v>0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2"/>
    </row>
    <row r="15" spans="1:17" x14ac:dyDescent="0.3">
      <c r="A15" s="12">
        <v>60</v>
      </c>
      <c r="B15" s="122" t="s">
        <v>17</v>
      </c>
      <c r="C15" s="147">
        <v>9</v>
      </c>
      <c r="D15" s="147">
        <v>0</v>
      </c>
      <c r="E15" s="147">
        <v>0</v>
      </c>
      <c r="F15" s="147">
        <v>0</v>
      </c>
      <c r="H15" s="162"/>
      <c r="I15" s="162"/>
      <c r="J15" s="162"/>
      <c r="K15" s="162"/>
      <c r="L15" s="162"/>
      <c r="M15" s="162"/>
      <c r="N15" s="162"/>
      <c r="O15" s="162"/>
      <c r="P15" s="162"/>
      <c r="Q15" s="162"/>
    </row>
    <row r="16" spans="1:17" x14ac:dyDescent="0.3">
      <c r="A16" s="12">
        <v>61</v>
      </c>
      <c r="B16" s="149" t="s">
        <v>18</v>
      </c>
      <c r="C16" s="147">
        <v>25</v>
      </c>
      <c r="D16" s="147">
        <v>11</v>
      </c>
      <c r="E16" s="147">
        <v>0</v>
      </c>
      <c r="F16" s="147">
        <v>0</v>
      </c>
      <c r="H16" s="162"/>
      <c r="I16" s="162"/>
      <c r="J16" s="162"/>
      <c r="K16" s="162"/>
      <c r="L16" s="162"/>
      <c r="M16" s="162"/>
      <c r="N16" s="162"/>
      <c r="O16" s="162"/>
      <c r="P16" s="162"/>
      <c r="Q16" s="162"/>
    </row>
    <row r="17" spans="1:17" s="181" customFormat="1" x14ac:dyDescent="0.3">
      <c r="A17" s="12"/>
      <c r="B17" s="130" t="s">
        <v>122</v>
      </c>
      <c r="C17" s="163">
        <v>22</v>
      </c>
      <c r="D17" s="163">
        <v>7</v>
      </c>
      <c r="E17" s="163">
        <v>0</v>
      </c>
      <c r="F17" s="163">
        <v>0</v>
      </c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7" x14ac:dyDescent="0.3">
      <c r="A18" s="12">
        <v>58</v>
      </c>
      <c r="B18" s="122" t="s">
        <v>20</v>
      </c>
      <c r="C18" s="147">
        <v>6</v>
      </c>
      <c r="D18" s="147">
        <v>1</v>
      </c>
      <c r="E18" s="147">
        <v>0</v>
      </c>
      <c r="F18" s="147">
        <v>0</v>
      </c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x14ac:dyDescent="0.3">
      <c r="A19" s="12">
        <v>63</v>
      </c>
      <c r="B19" s="122" t="s">
        <v>21</v>
      </c>
      <c r="C19" s="147">
        <v>21</v>
      </c>
      <c r="D19" s="147">
        <v>1</v>
      </c>
      <c r="E19" s="147">
        <v>0</v>
      </c>
      <c r="F19" s="147">
        <v>0</v>
      </c>
      <c r="H19" s="162"/>
      <c r="I19" s="162"/>
      <c r="J19" s="162"/>
      <c r="K19" s="162"/>
      <c r="L19" s="162"/>
      <c r="M19" s="162"/>
      <c r="N19" s="162"/>
      <c r="O19" s="162"/>
      <c r="P19" s="162"/>
      <c r="Q19" s="162"/>
    </row>
    <row r="20" spans="1:17" x14ac:dyDescent="0.3">
      <c r="A20" s="12">
        <v>64</v>
      </c>
      <c r="B20" s="122" t="s">
        <v>22</v>
      </c>
      <c r="C20" s="147">
        <v>30</v>
      </c>
      <c r="D20" s="147">
        <v>7</v>
      </c>
      <c r="E20" s="147">
        <v>1</v>
      </c>
      <c r="F20" s="147">
        <v>0</v>
      </c>
      <c r="H20" s="162"/>
      <c r="I20" s="162"/>
      <c r="J20" s="162"/>
      <c r="K20" s="162"/>
      <c r="L20" s="162"/>
      <c r="M20" s="162"/>
      <c r="N20" s="162"/>
      <c r="O20" s="162"/>
      <c r="P20" s="162"/>
      <c r="Q20" s="162"/>
    </row>
    <row r="21" spans="1:17" x14ac:dyDescent="0.3">
      <c r="A21" s="12">
        <v>65</v>
      </c>
      <c r="B21" s="122" t="s">
        <v>23</v>
      </c>
      <c r="C21" s="147">
        <v>14</v>
      </c>
      <c r="D21" s="147">
        <v>3</v>
      </c>
      <c r="E21" s="147">
        <v>0</v>
      </c>
      <c r="F21" s="147">
        <v>0</v>
      </c>
      <c r="H21" s="162"/>
      <c r="I21" s="162"/>
      <c r="J21" s="162"/>
      <c r="K21" s="162"/>
      <c r="L21" s="162"/>
      <c r="M21" s="162"/>
      <c r="N21" s="162"/>
      <c r="O21" s="162"/>
      <c r="P21" s="162"/>
      <c r="Q21" s="162"/>
    </row>
    <row r="22" spans="1:17" x14ac:dyDescent="0.3">
      <c r="A22" s="12">
        <v>67</v>
      </c>
      <c r="B22" s="122" t="s">
        <v>24</v>
      </c>
      <c r="C22" s="147">
        <v>8</v>
      </c>
      <c r="D22" s="147">
        <v>1</v>
      </c>
      <c r="E22" s="147">
        <v>0</v>
      </c>
      <c r="F22" s="147">
        <v>0</v>
      </c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1:17" x14ac:dyDescent="0.3">
      <c r="A23" s="12">
        <v>68</v>
      </c>
      <c r="B23" s="122" t="s">
        <v>25</v>
      </c>
      <c r="C23" s="147">
        <v>21</v>
      </c>
      <c r="D23" s="147">
        <v>1</v>
      </c>
      <c r="E23" s="147">
        <v>0</v>
      </c>
      <c r="F23" s="147">
        <v>0</v>
      </c>
      <c r="H23" s="162"/>
      <c r="I23" s="162"/>
      <c r="J23" s="162"/>
      <c r="K23" s="162"/>
      <c r="L23" s="162"/>
      <c r="M23" s="162"/>
      <c r="N23" s="162"/>
      <c r="O23" s="162"/>
      <c r="P23" s="162"/>
      <c r="Q23" s="162"/>
    </row>
    <row r="24" spans="1:17" x14ac:dyDescent="0.3">
      <c r="A24" s="12">
        <v>69</v>
      </c>
      <c r="B24" s="122" t="s">
        <v>26</v>
      </c>
      <c r="C24" s="147">
        <v>14</v>
      </c>
      <c r="D24" s="147">
        <v>3</v>
      </c>
      <c r="E24" s="147">
        <v>0</v>
      </c>
      <c r="F24" s="147">
        <v>0</v>
      </c>
      <c r="H24" s="162"/>
      <c r="I24" s="162"/>
      <c r="J24" s="162"/>
      <c r="K24" s="162"/>
      <c r="L24" s="162"/>
      <c r="M24" s="162"/>
      <c r="N24" s="162"/>
      <c r="O24" s="162"/>
      <c r="P24" s="162"/>
      <c r="Q24" s="162"/>
    </row>
    <row r="25" spans="1:17" x14ac:dyDescent="0.3">
      <c r="A25" s="12">
        <v>70</v>
      </c>
      <c r="B25" s="122" t="s">
        <v>27</v>
      </c>
      <c r="C25" s="147">
        <v>12</v>
      </c>
      <c r="D25" s="147">
        <v>1</v>
      </c>
      <c r="E25" s="147">
        <v>0</v>
      </c>
      <c r="F25" s="147">
        <v>0</v>
      </c>
      <c r="H25" s="162"/>
      <c r="I25" s="162"/>
      <c r="J25" s="162"/>
      <c r="K25" s="162"/>
      <c r="L25" s="162"/>
      <c r="M25" s="162"/>
      <c r="N25" s="162"/>
      <c r="O25" s="162"/>
      <c r="P25" s="162"/>
      <c r="Q25" s="162"/>
    </row>
    <row r="26" spans="1:17" x14ac:dyDescent="0.3">
      <c r="A26" s="12">
        <v>71</v>
      </c>
      <c r="B26" s="150" t="s">
        <v>28</v>
      </c>
      <c r="C26" s="147">
        <v>3</v>
      </c>
      <c r="D26" s="147">
        <v>1</v>
      </c>
      <c r="E26" s="147">
        <v>0</v>
      </c>
      <c r="F26" s="147">
        <v>0</v>
      </c>
      <c r="H26" s="162"/>
      <c r="I26" s="162"/>
      <c r="J26" s="162"/>
      <c r="K26" s="162"/>
      <c r="L26" s="162"/>
      <c r="M26" s="162"/>
      <c r="N26" s="162"/>
      <c r="O26" s="162"/>
      <c r="P26" s="162"/>
      <c r="Q26" s="162"/>
    </row>
    <row r="27" spans="1:17" x14ac:dyDescent="0.3">
      <c r="A27" s="12">
        <v>73</v>
      </c>
      <c r="B27" s="122" t="s">
        <v>29</v>
      </c>
      <c r="C27" s="151">
        <v>15</v>
      </c>
      <c r="D27" s="151">
        <v>2</v>
      </c>
      <c r="E27" s="151">
        <v>0</v>
      </c>
      <c r="F27" s="151">
        <v>0</v>
      </c>
      <c r="H27" s="162"/>
      <c r="I27" s="162"/>
      <c r="J27" s="162"/>
      <c r="K27" s="162"/>
      <c r="L27" s="162"/>
      <c r="M27" s="162"/>
      <c r="N27" s="162"/>
      <c r="O27" s="162"/>
      <c r="P27" s="162"/>
      <c r="Q27" s="162"/>
    </row>
    <row r="28" spans="1:17" x14ac:dyDescent="0.3">
      <c r="A28" s="12">
        <v>74</v>
      </c>
      <c r="B28" s="122" t="s">
        <v>30</v>
      </c>
      <c r="C28" s="147">
        <v>21</v>
      </c>
      <c r="D28" s="147">
        <v>6</v>
      </c>
      <c r="E28" s="147">
        <v>1</v>
      </c>
      <c r="F28" s="147"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</row>
    <row r="29" spans="1:17" x14ac:dyDescent="0.3">
      <c r="A29" s="12">
        <v>75</v>
      </c>
      <c r="B29" s="122" t="s">
        <v>31</v>
      </c>
      <c r="C29" s="147">
        <v>17</v>
      </c>
      <c r="D29" s="147">
        <v>5</v>
      </c>
      <c r="E29" s="147">
        <v>0</v>
      </c>
      <c r="F29" s="147"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</row>
    <row r="30" spans="1:17" x14ac:dyDescent="0.3">
      <c r="A30" s="12">
        <v>76</v>
      </c>
      <c r="B30" s="122" t="s">
        <v>32</v>
      </c>
      <c r="C30" s="147">
        <v>2</v>
      </c>
      <c r="D30" s="147">
        <v>1</v>
      </c>
      <c r="E30" s="147">
        <v>1</v>
      </c>
      <c r="F30" s="147">
        <v>0</v>
      </c>
      <c r="H30" s="162"/>
      <c r="I30" s="162"/>
      <c r="J30" s="162"/>
      <c r="K30" s="162"/>
      <c r="L30" s="162"/>
      <c r="M30" s="162"/>
      <c r="N30" s="162"/>
      <c r="O30" s="162"/>
      <c r="P30" s="162"/>
      <c r="Q30" s="162"/>
    </row>
    <row r="31" spans="1:17" x14ac:dyDescent="0.3">
      <c r="A31" s="12">
        <v>79</v>
      </c>
      <c r="B31" s="122" t="s">
        <v>33</v>
      </c>
      <c r="C31" s="147">
        <v>19</v>
      </c>
      <c r="D31" s="147">
        <v>5</v>
      </c>
      <c r="E31" s="147">
        <v>0</v>
      </c>
      <c r="F31" s="147"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</row>
    <row r="32" spans="1:17" x14ac:dyDescent="0.3">
      <c r="A32" s="12">
        <v>80</v>
      </c>
      <c r="B32" s="122" t="s">
        <v>34</v>
      </c>
      <c r="C32" s="147">
        <v>12</v>
      </c>
      <c r="D32" s="147">
        <v>0</v>
      </c>
      <c r="E32" s="147">
        <v>0</v>
      </c>
      <c r="F32" s="147">
        <v>0</v>
      </c>
      <c r="H32" s="162"/>
      <c r="I32" s="162"/>
      <c r="J32" s="162"/>
      <c r="K32" s="162"/>
      <c r="L32" s="162"/>
      <c r="M32" s="162"/>
      <c r="N32" s="162"/>
      <c r="O32" s="162"/>
      <c r="P32" s="162"/>
      <c r="Q32" s="162"/>
    </row>
    <row r="33" spans="1:17" x14ac:dyDescent="0.3">
      <c r="A33" s="12">
        <v>81</v>
      </c>
      <c r="B33" s="122" t="s">
        <v>35</v>
      </c>
      <c r="C33" s="147">
        <v>14</v>
      </c>
      <c r="D33" s="147">
        <v>6</v>
      </c>
      <c r="E33" s="147">
        <v>0</v>
      </c>
      <c r="F33" s="147"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</row>
    <row r="34" spans="1:17" x14ac:dyDescent="0.3">
      <c r="A34" s="12">
        <v>83</v>
      </c>
      <c r="B34" s="122" t="s">
        <v>36</v>
      </c>
      <c r="C34" s="147">
        <v>16</v>
      </c>
      <c r="D34" s="147">
        <v>1</v>
      </c>
      <c r="E34" s="147">
        <v>0</v>
      </c>
      <c r="F34" s="147"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</row>
    <row r="35" spans="1:17" x14ac:dyDescent="0.3">
      <c r="A35" s="12">
        <v>84</v>
      </c>
      <c r="B35" s="122" t="s">
        <v>37</v>
      </c>
      <c r="C35" s="147">
        <v>12</v>
      </c>
      <c r="D35" s="147">
        <v>4</v>
      </c>
      <c r="E35" s="147">
        <v>0</v>
      </c>
      <c r="F35" s="147"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</row>
    <row r="36" spans="1:17" x14ac:dyDescent="0.3">
      <c r="A36" s="12">
        <v>85</v>
      </c>
      <c r="B36" s="122" t="s">
        <v>38</v>
      </c>
      <c r="C36" s="147">
        <v>7</v>
      </c>
      <c r="D36" s="147">
        <v>2</v>
      </c>
      <c r="E36" s="147">
        <v>1</v>
      </c>
      <c r="F36" s="147"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</row>
    <row r="37" spans="1:17" x14ac:dyDescent="0.3">
      <c r="A37" s="12">
        <v>87</v>
      </c>
      <c r="B37" s="122" t="s">
        <v>39</v>
      </c>
      <c r="C37" s="147">
        <v>8</v>
      </c>
      <c r="D37" s="147">
        <v>0</v>
      </c>
      <c r="E37" s="147">
        <v>0</v>
      </c>
      <c r="F37" s="147">
        <v>0</v>
      </c>
      <c r="H37" s="162"/>
      <c r="I37" s="162"/>
      <c r="J37" s="162"/>
      <c r="K37" s="162"/>
      <c r="L37" s="162"/>
      <c r="M37" s="162"/>
      <c r="N37" s="162"/>
      <c r="O37" s="162"/>
      <c r="P37" s="162"/>
      <c r="Q37" s="162"/>
    </row>
    <row r="38" spans="1:17" x14ac:dyDescent="0.3">
      <c r="A38" s="12">
        <v>90</v>
      </c>
      <c r="B38" s="122" t="s">
        <v>40</v>
      </c>
      <c r="C38" s="147">
        <v>37</v>
      </c>
      <c r="D38" s="147">
        <v>2</v>
      </c>
      <c r="E38" s="147">
        <v>0</v>
      </c>
      <c r="F38" s="147"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</row>
    <row r="39" spans="1:17" x14ac:dyDescent="0.3">
      <c r="A39" s="12">
        <v>91</v>
      </c>
      <c r="B39" s="122" t="s">
        <v>41</v>
      </c>
      <c r="C39" s="147">
        <v>13</v>
      </c>
      <c r="D39" s="147">
        <v>0</v>
      </c>
      <c r="E39" s="147">
        <v>0</v>
      </c>
      <c r="F39" s="147"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</row>
    <row r="40" spans="1:17" x14ac:dyDescent="0.3">
      <c r="A40" s="12">
        <v>92</v>
      </c>
      <c r="B40" s="122" t="s">
        <v>42</v>
      </c>
      <c r="C40" s="147">
        <v>25</v>
      </c>
      <c r="D40" s="147">
        <v>5</v>
      </c>
      <c r="E40" s="147">
        <v>0</v>
      </c>
      <c r="F40" s="147">
        <v>0</v>
      </c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1:17" x14ac:dyDescent="0.3">
      <c r="A41" s="12">
        <v>94</v>
      </c>
      <c r="B41" s="122" t="s">
        <v>43</v>
      </c>
      <c r="C41" s="147">
        <v>7</v>
      </c>
      <c r="D41" s="147">
        <v>2</v>
      </c>
      <c r="E41" s="147">
        <v>0</v>
      </c>
      <c r="F41" s="147">
        <v>0</v>
      </c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1:17" x14ac:dyDescent="0.3">
      <c r="A42" s="12">
        <v>96</v>
      </c>
      <c r="B42" s="122" t="s">
        <v>44</v>
      </c>
      <c r="C42" s="147">
        <v>15</v>
      </c>
      <c r="D42" s="147">
        <v>1</v>
      </c>
      <c r="E42" s="147">
        <v>0</v>
      </c>
      <c r="F42" s="147"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</row>
    <row r="43" spans="1:17" x14ac:dyDescent="0.3">
      <c r="A43" s="12">
        <v>72</v>
      </c>
      <c r="B43" s="150" t="s">
        <v>46</v>
      </c>
      <c r="C43" s="147">
        <v>0</v>
      </c>
      <c r="D43" s="147">
        <v>0</v>
      </c>
      <c r="E43" s="147">
        <v>0</v>
      </c>
      <c r="F43" s="147"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</row>
    <row r="44" spans="1:17" s="152" customFormat="1" ht="26.25" customHeight="1" x14ac:dyDescent="0.3">
      <c r="A44" s="1"/>
      <c r="B44" s="127" t="s">
        <v>47</v>
      </c>
      <c r="C44" s="146">
        <v>553</v>
      </c>
      <c r="D44" s="146">
        <v>54</v>
      </c>
      <c r="E44" s="146">
        <v>6</v>
      </c>
      <c r="F44" s="146">
        <v>0</v>
      </c>
      <c r="H44" s="162"/>
      <c r="I44" s="162"/>
      <c r="J44" s="162"/>
      <c r="K44" s="162"/>
      <c r="L44" s="162"/>
      <c r="M44" s="162"/>
      <c r="N44" s="162"/>
      <c r="O44" s="162"/>
      <c r="P44" s="162"/>
      <c r="Q44" s="162"/>
    </row>
    <row r="45" spans="1:17" x14ac:dyDescent="0.3">
      <c r="A45" s="12">
        <v>66</v>
      </c>
      <c r="B45" s="122" t="s">
        <v>48</v>
      </c>
      <c r="C45" s="147">
        <v>18</v>
      </c>
      <c r="D45" s="147">
        <v>6</v>
      </c>
      <c r="E45" s="147">
        <v>1</v>
      </c>
      <c r="F45" s="147"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</row>
    <row r="46" spans="1:17" x14ac:dyDescent="0.3">
      <c r="A46" s="12">
        <v>78</v>
      </c>
      <c r="B46" s="122" t="s">
        <v>49</v>
      </c>
      <c r="C46" s="148">
        <v>2</v>
      </c>
      <c r="D46" s="148">
        <v>2</v>
      </c>
      <c r="E46" s="148">
        <v>0</v>
      </c>
      <c r="F46" s="148">
        <v>0</v>
      </c>
      <c r="H46" s="162"/>
      <c r="I46" s="162"/>
      <c r="J46" s="162"/>
      <c r="K46" s="162"/>
      <c r="L46" s="162"/>
      <c r="M46" s="162"/>
      <c r="N46" s="162"/>
      <c r="O46" s="162"/>
      <c r="P46" s="162"/>
      <c r="Q46" s="162"/>
    </row>
    <row r="47" spans="1:17" x14ac:dyDescent="0.3">
      <c r="A47" s="12">
        <v>89</v>
      </c>
      <c r="B47" s="122" t="s">
        <v>50</v>
      </c>
      <c r="C47" s="148">
        <v>19</v>
      </c>
      <c r="D47" s="148">
        <v>1</v>
      </c>
      <c r="E47" s="148">
        <v>0</v>
      </c>
      <c r="F47" s="148">
        <v>0</v>
      </c>
      <c r="H47" s="162"/>
      <c r="I47" s="162"/>
      <c r="J47" s="162"/>
      <c r="K47" s="162"/>
      <c r="L47" s="162"/>
      <c r="M47" s="162"/>
      <c r="N47" s="162"/>
      <c r="O47" s="162"/>
      <c r="P47" s="162"/>
      <c r="Q47" s="162"/>
    </row>
    <row r="48" spans="1:17" x14ac:dyDescent="0.3">
      <c r="A48" s="12">
        <v>93</v>
      </c>
      <c r="B48" s="122" t="s">
        <v>51</v>
      </c>
      <c r="C48" s="148">
        <v>18</v>
      </c>
      <c r="D48" s="148">
        <v>1</v>
      </c>
      <c r="E48" s="148">
        <v>0</v>
      </c>
      <c r="F48" s="148">
        <v>0</v>
      </c>
      <c r="H48" s="162"/>
      <c r="I48" s="162"/>
      <c r="J48" s="162"/>
      <c r="K48" s="162"/>
      <c r="L48" s="162"/>
      <c r="M48" s="162"/>
      <c r="N48" s="162"/>
      <c r="O48" s="162"/>
      <c r="P48" s="162"/>
      <c r="Q48" s="162"/>
    </row>
    <row r="49" spans="1:17" x14ac:dyDescent="0.3">
      <c r="A49" s="12">
        <v>95</v>
      </c>
      <c r="B49" s="122" t="s">
        <v>52</v>
      </c>
      <c r="C49" s="148">
        <v>26</v>
      </c>
      <c r="D49" s="148">
        <v>3</v>
      </c>
      <c r="E49" s="148">
        <v>1</v>
      </c>
      <c r="F49" s="148">
        <v>0</v>
      </c>
      <c r="H49" s="162"/>
      <c r="I49" s="162"/>
      <c r="J49" s="162"/>
      <c r="K49" s="162"/>
      <c r="L49" s="162"/>
      <c r="M49" s="162"/>
      <c r="N49" s="162"/>
      <c r="O49" s="162"/>
      <c r="P49" s="162"/>
      <c r="Q49" s="162"/>
    </row>
    <row r="50" spans="1:17" x14ac:dyDescent="0.3">
      <c r="A50" s="12">
        <v>97</v>
      </c>
      <c r="B50" s="122" t="s">
        <v>53</v>
      </c>
      <c r="C50" s="148">
        <v>40</v>
      </c>
      <c r="D50" s="148">
        <v>4</v>
      </c>
      <c r="E50" s="148">
        <v>0</v>
      </c>
      <c r="F50" s="148"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</row>
    <row r="51" spans="1:17" x14ac:dyDescent="0.3">
      <c r="A51" s="12">
        <v>77</v>
      </c>
      <c r="B51" s="154" t="s">
        <v>54</v>
      </c>
      <c r="C51" s="156">
        <v>430</v>
      </c>
      <c r="D51" s="156">
        <v>37</v>
      </c>
      <c r="E51" s="156">
        <v>4</v>
      </c>
      <c r="F51" s="156"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</row>
    <row r="52" spans="1:17" x14ac:dyDescent="0.3">
      <c r="C52" s="139"/>
      <c r="D52" s="139"/>
      <c r="E52" s="139"/>
      <c r="F52" s="139"/>
    </row>
    <row r="53" spans="1:17" x14ac:dyDescent="0.3">
      <c r="B53" s="12" t="s">
        <v>55</v>
      </c>
    </row>
    <row r="54" spans="1:17" ht="23.25" customHeight="1" x14ac:dyDescent="0.3">
      <c r="B54" s="291" t="s">
        <v>65</v>
      </c>
      <c r="C54" s="292"/>
      <c r="D54" s="292"/>
      <c r="E54" s="292"/>
      <c r="F54" s="292"/>
    </row>
    <row r="55" spans="1:17" ht="15" customHeight="1" x14ac:dyDescent="0.3">
      <c r="B55" s="292"/>
      <c r="C55" s="292"/>
      <c r="D55" s="292"/>
      <c r="E55" s="292"/>
      <c r="F55" s="292"/>
    </row>
    <row r="56" spans="1:17" ht="13.5" customHeight="1" x14ac:dyDescent="0.3">
      <c r="B56" s="292"/>
      <c r="C56" s="292"/>
      <c r="D56" s="292"/>
      <c r="E56" s="292"/>
      <c r="F56" s="292"/>
    </row>
    <row r="57" spans="1:17" ht="12.75" customHeight="1" x14ac:dyDescent="0.3">
      <c r="B57" s="292"/>
      <c r="C57" s="292"/>
      <c r="D57" s="292"/>
      <c r="E57" s="292"/>
      <c r="F57" s="292"/>
    </row>
    <row r="58" spans="1:17" ht="15.75" customHeight="1" x14ac:dyDescent="0.3">
      <c r="B58" s="292"/>
      <c r="C58" s="292"/>
      <c r="D58" s="292"/>
      <c r="E58" s="292"/>
      <c r="F58" s="292"/>
    </row>
    <row r="59" spans="1:17" ht="39" customHeight="1" x14ac:dyDescent="0.3">
      <c r="B59" s="292"/>
      <c r="C59" s="292"/>
      <c r="D59" s="292"/>
      <c r="E59" s="292"/>
      <c r="F59" s="292"/>
    </row>
    <row r="60" spans="1:17" ht="15" customHeight="1" x14ac:dyDescent="0.3">
      <c r="B60" s="57"/>
      <c r="C60" s="57"/>
      <c r="D60" s="57"/>
      <c r="E60" s="57"/>
      <c r="F60" s="57"/>
    </row>
    <row r="61" spans="1:17" x14ac:dyDescent="0.3">
      <c r="B61" s="138" t="s">
        <v>57</v>
      </c>
    </row>
    <row r="62" spans="1:17" s="141" customFormat="1" ht="15.5" x14ac:dyDescent="0.3">
      <c r="A62" s="171"/>
      <c r="C62" s="166"/>
      <c r="D62" s="167"/>
      <c r="E62" s="167"/>
    </row>
    <row r="63" spans="1:17" s="141" customFormat="1" ht="15.5" x14ac:dyDescent="0.3">
      <c r="A63" s="171"/>
      <c r="C63" s="166"/>
      <c r="D63" s="167"/>
      <c r="E63" s="167"/>
    </row>
  </sheetData>
  <mergeCells count="8">
    <mergeCell ref="K2:K3"/>
    <mergeCell ref="B54:F59"/>
    <mergeCell ref="B1:F1"/>
    <mergeCell ref="C2:C3"/>
    <mergeCell ref="D2:E2"/>
    <mergeCell ref="F2:F3"/>
    <mergeCell ref="H2:H3"/>
    <mergeCell ref="I2:J2"/>
  </mergeCells>
  <conditionalFormatting sqref="H4:Q51">
    <cfRule type="cellIs" dxfId="1" priority="1" stopIfTrue="1" operator="lessThan">
      <formula>-0.5</formula>
    </cfRule>
    <cfRule type="cellIs" dxfId="0" priority="2" stopIfTrue="1" operator="greaterThan">
      <formula>0.5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indexed="22"/>
  </sheetPr>
  <dimension ref="A1:F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122" customWidth="1"/>
    <col min="3" max="4" width="20" style="122" customWidth="1"/>
    <col min="5" max="5" width="15.26953125" style="122" customWidth="1"/>
    <col min="6" max="6" width="17.7265625" style="122" customWidth="1"/>
    <col min="7" max="256" width="9.26953125" style="122"/>
    <col min="257" max="257" width="0" style="122" hidden="1" customWidth="1"/>
    <col min="258" max="258" width="28.7265625" style="122" customWidth="1"/>
    <col min="259" max="260" width="20" style="122" customWidth="1"/>
    <col min="261" max="261" width="15.26953125" style="122" customWidth="1"/>
    <col min="262" max="262" width="17.7265625" style="122" customWidth="1"/>
    <col min="263" max="512" width="9.26953125" style="122"/>
    <col min="513" max="513" width="0" style="122" hidden="1" customWidth="1"/>
    <col min="514" max="514" width="28.7265625" style="122" customWidth="1"/>
    <col min="515" max="516" width="20" style="122" customWidth="1"/>
    <col min="517" max="517" width="15.26953125" style="122" customWidth="1"/>
    <col min="518" max="518" width="17.7265625" style="122" customWidth="1"/>
    <col min="519" max="768" width="9.26953125" style="122"/>
    <col min="769" max="769" width="0" style="122" hidden="1" customWidth="1"/>
    <col min="770" max="770" width="28.7265625" style="122" customWidth="1"/>
    <col min="771" max="772" width="20" style="122" customWidth="1"/>
    <col min="773" max="773" width="15.26953125" style="122" customWidth="1"/>
    <col min="774" max="774" width="17.7265625" style="122" customWidth="1"/>
    <col min="775" max="1024" width="9.26953125" style="122"/>
    <col min="1025" max="1025" width="0" style="122" hidden="1" customWidth="1"/>
    <col min="1026" max="1026" width="28.7265625" style="122" customWidth="1"/>
    <col min="1027" max="1028" width="20" style="122" customWidth="1"/>
    <col min="1029" max="1029" width="15.26953125" style="122" customWidth="1"/>
    <col min="1030" max="1030" width="17.7265625" style="122" customWidth="1"/>
    <col min="1031" max="1280" width="9.26953125" style="122"/>
    <col min="1281" max="1281" width="0" style="122" hidden="1" customWidth="1"/>
    <col min="1282" max="1282" width="28.7265625" style="122" customWidth="1"/>
    <col min="1283" max="1284" width="20" style="122" customWidth="1"/>
    <col min="1285" max="1285" width="15.26953125" style="122" customWidth="1"/>
    <col min="1286" max="1286" width="17.7265625" style="122" customWidth="1"/>
    <col min="1287" max="1536" width="9.26953125" style="122"/>
    <col min="1537" max="1537" width="0" style="122" hidden="1" customWidth="1"/>
    <col min="1538" max="1538" width="28.7265625" style="122" customWidth="1"/>
    <col min="1539" max="1540" width="20" style="122" customWidth="1"/>
    <col min="1541" max="1541" width="15.26953125" style="122" customWidth="1"/>
    <col min="1542" max="1542" width="17.7265625" style="122" customWidth="1"/>
    <col min="1543" max="1792" width="9.26953125" style="122"/>
    <col min="1793" max="1793" width="0" style="122" hidden="1" customWidth="1"/>
    <col min="1794" max="1794" width="28.7265625" style="122" customWidth="1"/>
    <col min="1795" max="1796" width="20" style="122" customWidth="1"/>
    <col min="1797" max="1797" width="15.26953125" style="122" customWidth="1"/>
    <col min="1798" max="1798" width="17.7265625" style="122" customWidth="1"/>
    <col min="1799" max="2048" width="9.26953125" style="122"/>
    <col min="2049" max="2049" width="0" style="122" hidden="1" customWidth="1"/>
    <col min="2050" max="2050" width="28.7265625" style="122" customWidth="1"/>
    <col min="2051" max="2052" width="20" style="122" customWidth="1"/>
    <col min="2053" max="2053" width="15.26953125" style="122" customWidth="1"/>
    <col min="2054" max="2054" width="17.7265625" style="122" customWidth="1"/>
    <col min="2055" max="2304" width="9.26953125" style="122"/>
    <col min="2305" max="2305" width="0" style="122" hidden="1" customWidth="1"/>
    <col min="2306" max="2306" width="28.7265625" style="122" customWidth="1"/>
    <col min="2307" max="2308" width="20" style="122" customWidth="1"/>
    <col min="2309" max="2309" width="15.26953125" style="122" customWidth="1"/>
    <col min="2310" max="2310" width="17.7265625" style="122" customWidth="1"/>
    <col min="2311" max="2560" width="9.26953125" style="122"/>
    <col min="2561" max="2561" width="0" style="122" hidden="1" customWidth="1"/>
    <col min="2562" max="2562" width="28.7265625" style="122" customWidth="1"/>
    <col min="2563" max="2564" width="20" style="122" customWidth="1"/>
    <col min="2565" max="2565" width="15.26953125" style="122" customWidth="1"/>
    <col min="2566" max="2566" width="17.7265625" style="122" customWidth="1"/>
    <col min="2567" max="2816" width="9.26953125" style="122"/>
    <col min="2817" max="2817" width="0" style="122" hidden="1" customWidth="1"/>
    <col min="2818" max="2818" width="28.7265625" style="122" customWidth="1"/>
    <col min="2819" max="2820" width="20" style="122" customWidth="1"/>
    <col min="2821" max="2821" width="15.26953125" style="122" customWidth="1"/>
    <col min="2822" max="2822" width="17.7265625" style="122" customWidth="1"/>
    <col min="2823" max="3072" width="9.26953125" style="122"/>
    <col min="3073" max="3073" width="0" style="122" hidden="1" customWidth="1"/>
    <col min="3074" max="3074" width="28.7265625" style="122" customWidth="1"/>
    <col min="3075" max="3076" width="20" style="122" customWidth="1"/>
    <col min="3077" max="3077" width="15.26953125" style="122" customWidth="1"/>
    <col min="3078" max="3078" width="17.7265625" style="122" customWidth="1"/>
    <col min="3079" max="3328" width="9.26953125" style="122"/>
    <col min="3329" max="3329" width="0" style="122" hidden="1" customWidth="1"/>
    <col min="3330" max="3330" width="28.7265625" style="122" customWidth="1"/>
    <col min="3331" max="3332" width="20" style="122" customWidth="1"/>
    <col min="3333" max="3333" width="15.26953125" style="122" customWidth="1"/>
    <col min="3334" max="3334" width="17.7265625" style="122" customWidth="1"/>
    <col min="3335" max="3584" width="9.26953125" style="122"/>
    <col min="3585" max="3585" width="0" style="122" hidden="1" customWidth="1"/>
    <col min="3586" max="3586" width="28.7265625" style="122" customWidth="1"/>
    <col min="3587" max="3588" width="20" style="122" customWidth="1"/>
    <col min="3589" max="3589" width="15.26953125" style="122" customWidth="1"/>
    <col min="3590" max="3590" width="17.7265625" style="122" customWidth="1"/>
    <col min="3591" max="3840" width="9.26953125" style="122"/>
    <col min="3841" max="3841" width="0" style="122" hidden="1" customWidth="1"/>
    <col min="3842" max="3842" width="28.7265625" style="122" customWidth="1"/>
    <col min="3843" max="3844" width="20" style="122" customWidth="1"/>
    <col min="3845" max="3845" width="15.26953125" style="122" customWidth="1"/>
    <col min="3846" max="3846" width="17.7265625" style="122" customWidth="1"/>
    <col min="3847" max="4096" width="9.26953125" style="122"/>
    <col min="4097" max="4097" width="0" style="122" hidden="1" customWidth="1"/>
    <col min="4098" max="4098" width="28.7265625" style="122" customWidth="1"/>
    <col min="4099" max="4100" width="20" style="122" customWidth="1"/>
    <col min="4101" max="4101" width="15.26953125" style="122" customWidth="1"/>
    <col min="4102" max="4102" width="17.7265625" style="122" customWidth="1"/>
    <col min="4103" max="4352" width="9.26953125" style="122"/>
    <col min="4353" max="4353" width="0" style="122" hidden="1" customWidth="1"/>
    <col min="4354" max="4354" width="28.7265625" style="122" customWidth="1"/>
    <col min="4355" max="4356" width="20" style="122" customWidth="1"/>
    <col min="4357" max="4357" width="15.26953125" style="122" customWidth="1"/>
    <col min="4358" max="4358" width="17.7265625" style="122" customWidth="1"/>
    <col min="4359" max="4608" width="9.26953125" style="122"/>
    <col min="4609" max="4609" width="0" style="122" hidden="1" customWidth="1"/>
    <col min="4610" max="4610" width="28.7265625" style="122" customWidth="1"/>
    <col min="4611" max="4612" width="20" style="122" customWidth="1"/>
    <col min="4613" max="4613" width="15.26953125" style="122" customWidth="1"/>
    <col min="4614" max="4614" width="17.7265625" style="122" customWidth="1"/>
    <col min="4615" max="4864" width="9.26953125" style="122"/>
    <col min="4865" max="4865" width="0" style="122" hidden="1" customWidth="1"/>
    <col min="4866" max="4866" width="28.7265625" style="122" customWidth="1"/>
    <col min="4867" max="4868" width="20" style="122" customWidth="1"/>
    <col min="4869" max="4869" width="15.26953125" style="122" customWidth="1"/>
    <col min="4870" max="4870" width="17.7265625" style="122" customWidth="1"/>
    <col min="4871" max="5120" width="9.26953125" style="122"/>
    <col min="5121" max="5121" width="0" style="122" hidden="1" customWidth="1"/>
    <col min="5122" max="5122" width="28.7265625" style="122" customWidth="1"/>
    <col min="5123" max="5124" width="20" style="122" customWidth="1"/>
    <col min="5125" max="5125" width="15.26953125" style="122" customWidth="1"/>
    <col min="5126" max="5126" width="17.7265625" style="122" customWidth="1"/>
    <col min="5127" max="5376" width="9.26953125" style="122"/>
    <col min="5377" max="5377" width="0" style="122" hidden="1" customWidth="1"/>
    <col min="5378" max="5378" width="28.7265625" style="122" customWidth="1"/>
    <col min="5379" max="5380" width="20" style="122" customWidth="1"/>
    <col min="5381" max="5381" width="15.26953125" style="122" customWidth="1"/>
    <col min="5382" max="5382" width="17.7265625" style="122" customWidth="1"/>
    <col min="5383" max="5632" width="9.26953125" style="122"/>
    <col min="5633" max="5633" width="0" style="122" hidden="1" customWidth="1"/>
    <col min="5634" max="5634" width="28.7265625" style="122" customWidth="1"/>
    <col min="5635" max="5636" width="20" style="122" customWidth="1"/>
    <col min="5637" max="5637" width="15.26953125" style="122" customWidth="1"/>
    <col min="5638" max="5638" width="17.7265625" style="122" customWidth="1"/>
    <col min="5639" max="5888" width="9.26953125" style="122"/>
    <col min="5889" max="5889" width="0" style="122" hidden="1" customWidth="1"/>
    <col min="5890" max="5890" width="28.7265625" style="122" customWidth="1"/>
    <col min="5891" max="5892" width="20" style="122" customWidth="1"/>
    <col min="5893" max="5893" width="15.26953125" style="122" customWidth="1"/>
    <col min="5894" max="5894" width="17.7265625" style="122" customWidth="1"/>
    <col min="5895" max="6144" width="9.26953125" style="122"/>
    <col min="6145" max="6145" width="0" style="122" hidden="1" customWidth="1"/>
    <col min="6146" max="6146" width="28.7265625" style="122" customWidth="1"/>
    <col min="6147" max="6148" width="20" style="122" customWidth="1"/>
    <col min="6149" max="6149" width="15.26953125" style="122" customWidth="1"/>
    <col min="6150" max="6150" width="17.7265625" style="122" customWidth="1"/>
    <col min="6151" max="6400" width="9.26953125" style="122"/>
    <col min="6401" max="6401" width="0" style="122" hidden="1" customWidth="1"/>
    <col min="6402" max="6402" width="28.7265625" style="122" customWidth="1"/>
    <col min="6403" max="6404" width="20" style="122" customWidth="1"/>
    <col min="6405" max="6405" width="15.26953125" style="122" customWidth="1"/>
    <col min="6406" max="6406" width="17.7265625" style="122" customWidth="1"/>
    <col min="6407" max="6656" width="9.26953125" style="122"/>
    <col min="6657" max="6657" width="0" style="122" hidden="1" customWidth="1"/>
    <col min="6658" max="6658" width="28.7265625" style="122" customWidth="1"/>
    <col min="6659" max="6660" width="20" style="122" customWidth="1"/>
    <col min="6661" max="6661" width="15.26953125" style="122" customWidth="1"/>
    <col min="6662" max="6662" width="17.7265625" style="122" customWidth="1"/>
    <col min="6663" max="6912" width="9.26953125" style="122"/>
    <col min="6913" max="6913" width="0" style="122" hidden="1" customWidth="1"/>
    <col min="6914" max="6914" width="28.7265625" style="122" customWidth="1"/>
    <col min="6915" max="6916" width="20" style="122" customWidth="1"/>
    <col min="6917" max="6917" width="15.26953125" style="122" customWidth="1"/>
    <col min="6918" max="6918" width="17.7265625" style="122" customWidth="1"/>
    <col min="6919" max="7168" width="9.26953125" style="122"/>
    <col min="7169" max="7169" width="0" style="122" hidden="1" customWidth="1"/>
    <col min="7170" max="7170" width="28.7265625" style="122" customWidth="1"/>
    <col min="7171" max="7172" width="20" style="122" customWidth="1"/>
    <col min="7173" max="7173" width="15.26953125" style="122" customWidth="1"/>
    <col min="7174" max="7174" width="17.7265625" style="122" customWidth="1"/>
    <col min="7175" max="7424" width="9.26953125" style="122"/>
    <col min="7425" max="7425" width="0" style="122" hidden="1" customWidth="1"/>
    <col min="7426" max="7426" width="28.7265625" style="122" customWidth="1"/>
    <col min="7427" max="7428" width="20" style="122" customWidth="1"/>
    <col min="7429" max="7429" width="15.26953125" style="122" customWidth="1"/>
    <col min="7430" max="7430" width="17.7265625" style="122" customWidth="1"/>
    <col min="7431" max="7680" width="9.26953125" style="122"/>
    <col min="7681" max="7681" width="0" style="122" hidden="1" customWidth="1"/>
    <col min="7682" max="7682" width="28.7265625" style="122" customWidth="1"/>
    <col min="7683" max="7684" width="20" style="122" customWidth="1"/>
    <col min="7685" max="7685" width="15.26953125" style="122" customWidth="1"/>
    <col min="7686" max="7686" width="17.7265625" style="122" customWidth="1"/>
    <col min="7687" max="7936" width="9.26953125" style="122"/>
    <col min="7937" max="7937" width="0" style="122" hidden="1" customWidth="1"/>
    <col min="7938" max="7938" width="28.7265625" style="122" customWidth="1"/>
    <col min="7939" max="7940" width="20" style="122" customWidth="1"/>
    <col min="7941" max="7941" width="15.26953125" style="122" customWidth="1"/>
    <col min="7942" max="7942" width="17.7265625" style="122" customWidth="1"/>
    <col min="7943" max="8192" width="9.26953125" style="122"/>
    <col min="8193" max="8193" width="0" style="122" hidden="1" customWidth="1"/>
    <col min="8194" max="8194" width="28.7265625" style="122" customWidth="1"/>
    <col min="8195" max="8196" width="20" style="122" customWidth="1"/>
    <col min="8197" max="8197" width="15.26953125" style="122" customWidth="1"/>
    <col min="8198" max="8198" width="17.7265625" style="122" customWidth="1"/>
    <col min="8199" max="8448" width="9.26953125" style="122"/>
    <col min="8449" max="8449" width="0" style="122" hidden="1" customWidth="1"/>
    <col min="8450" max="8450" width="28.7265625" style="122" customWidth="1"/>
    <col min="8451" max="8452" width="20" style="122" customWidth="1"/>
    <col min="8453" max="8453" width="15.26953125" style="122" customWidth="1"/>
    <col min="8454" max="8454" width="17.7265625" style="122" customWidth="1"/>
    <col min="8455" max="8704" width="9.26953125" style="122"/>
    <col min="8705" max="8705" width="0" style="122" hidden="1" customWidth="1"/>
    <col min="8706" max="8706" width="28.7265625" style="122" customWidth="1"/>
    <col min="8707" max="8708" width="20" style="122" customWidth="1"/>
    <col min="8709" max="8709" width="15.26953125" style="122" customWidth="1"/>
    <col min="8710" max="8710" width="17.7265625" style="122" customWidth="1"/>
    <col min="8711" max="8960" width="9.26953125" style="122"/>
    <col min="8961" max="8961" width="0" style="122" hidden="1" customWidth="1"/>
    <col min="8962" max="8962" width="28.7265625" style="122" customWidth="1"/>
    <col min="8963" max="8964" width="20" style="122" customWidth="1"/>
    <col min="8965" max="8965" width="15.26953125" style="122" customWidth="1"/>
    <col min="8966" max="8966" width="17.7265625" style="122" customWidth="1"/>
    <col min="8967" max="9216" width="9.26953125" style="122"/>
    <col min="9217" max="9217" width="0" style="122" hidden="1" customWidth="1"/>
    <col min="9218" max="9218" width="28.7265625" style="122" customWidth="1"/>
    <col min="9219" max="9220" width="20" style="122" customWidth="1"/>
    <col min="9221" max="9221" width="15.26953125" style="122" customWidth="1"/>
    <col min="9222" max="9222" width="17.7265625" style="122" customWidth="1"/>
    <col min="9223" max="9472" width="9.26953125" style="122"/>
    <col min="9473" max="9473" width="0" style="122" hidden="1" customWidth="1"/>
    <col min="9474" max="9474" width="28.7265625" style="122" customWidth="1"/>
    <col min="9475" max="9476" width="20" style="122" customWidth="1"/>
    <col min="9477" max="9477" width="15.26953125" style="122" customWidth="1"/>
    <col min="9478" max="9478" width="17.7265625" style="122" customWidth="1"/>
    <col min="9479" max="9728" width="9.26953125" style="122"/>
    <col min="9729" max="9729" width="0" style="122" hidden="1" customWidth="1"/>
    <col min="9730" max="9730" width="28.7265625" style="122" customWidth="1"/>
    <col min="9731" max="9732" width="20" style="122" customWidth="1"/>
    <col min="9733" max="9733" width="15.26953125" style="122" customWidth="1"/>
    <col min="9734" max="9734" width="17.7265625" style="122" customWidth="1"/>
    <col min="9735" max="9984" width="9.26953125" style="122"/>
    <col min="9985" max="9985" width="0" style="122" hidden="1" customWidth="1"/>
    <col min="9986" max="9986" width="28.7265625" style="122" customWidth="1"/>
    <col min="9987" max="9988" width="20" style="122" customWidth="1"/>
    <col min="9989" max="9989" width="15.26953125" style="122" customWidth="1"/>
    <col min="9990" max="9990" width="17.7265625" style="122" customWidth="1"/>
    <col min="9991" max="10240" width="9.26953125" style="122"/>
    <col min="10241" max="10241" width="0" style="122" hidden="1" customWidth="1"/>
    <col min="10242" max="10242" width="28.7265625" style="122" customWidth="1"/>
    <col min="10243" max="10244" width="20" style="122" customWidth="1"/>
    <col min="10245" max="10245" width="15.26953125" style="122" customWidth="1"/>
    <col min="10246" max="10246" width="17.7265625" style="122" customWidth="1"/>
    <col min="10247" max="10496" width="9.26953125" style="122"/>
    <col min="10497" max="10497" width="0" style="122" hidden="1" customWidth="1"/>
    <col min="10498" max="10498" width="28.7265625" style="122" customWidth="1"/>
    <col min="10499" max="10500" width="20" style="122" customWidth="1"/>
    <col min="10501" max="10501" width="15.26953125" style="122" customWidth="1"/>
    <col min="10502" max="10502" width="17.7265625" style="122" customWidth="1"/>
    <col min="10503" max="10752" width="9.26953125" style="122"/>
    <col min="10753" max="10753" width="0" style="122" hidden="1" customWidth="1"/>
    <col min="10754" max="10754" width="28.7265625" style="122" customWidth="1"/>
    <col min="10755" max="10756" width="20" style="122" customWidth="1"/>
    <col min="10757" max="10757" width="15.26953125" style="122" customWidth="1"/>
    <col min="10758" max="10758" width="17.7265625" style="122" customWidth="1"/>
    <col min="10759" max="11008" width="9.26953125" style="122"/>
    <col min="11009" max="11009" width="0" style="122" hidden="1" customWidth="1"/>
    <col min="11010" max="11010" width="28.7265625" style="122" customWidth="1"/>
    <col min="11011" max="11012" width="20" style="122" customWidth="1"/>
    <col min="11013" max="11013" width="15.26953125" style="122" customWidth="1"/>
    <col min="11014" max="11014" width="17.7265625" style="122" customWidth="1"/>
    <col min="11015" max="11264" width="9.26953125" style="122"/>
    <col min="11265" max="11265" width="0" style="122" hidden="1" customWidth="1"/>
    <col min="11266" max="11266" width="28.7265625" style="122" customWidth="1"/>
    <col min="11267" max="11268" width="20" style="122" customWidth="1"/>
    <col min="11269" max="11269" width="15.26953125" style="122" customWidth="1"/>
    <col min="11270" max="11270" width="17.7265625" style="122" customWidth="1"/>
    <col min="11271" max="11520" width="9.26953125" style="122"/>
    <col min="11521" max="11521" width="0" style="122" hidden="1" customWidth="1"/>
    <col min="11522" max="11522" width="28.7265625" style="122" customWidth="1"/>
    <col min="11523" max="11524" width="20" style="122" customWidth="1"/>
    <col min="11525" max="11525" width="15.26953125" style="122" customWidth="1"/>
    <col min="11526" max="11526" width="17.7265625" style="122" customWidth="1"/>
    <col min="11527" max="11776" width="9.26953125" style="122"/>
    <col min="11777" max="11777" width="0" style="122" hidden="1" customWidth="1"/>
    <col min="11778" max="11778" width="28.7265625" style="122" customWidth="1"/>
    <col min="11779" max="11780" width="20" style="122" customWidth="1"/>
    <col min="11781" max="11781" width="15.26953125" style="122" customWidth="1"/>
    <col min="11782" max="11782" width="17.7265625" style="122" customWidth="1"/>
    <col min="11783" max="12032" width="9.26953125" style="122"/>
    <col min="12033" max="12033" width="0" style="122" hidden="1" customWidth="1"/>
    <col min="12034" max="12034" width="28.7265625" style="122" customWidth="1"/>
    <col min="12035" max="12036" width="20" style="122" customWidth="1"/>
    <col min="12037" max="12037" width="15.26953125" style="122" customWidth="1"/>
    <col min="12038" max="12038" width="17.7265625" style="122" customWidth="1"/>
    <col min="12039" max="12288" width="9.26953125" style="122"/>
    <col min="12289" max="12289" width="0" style="122" hidden="1" customWidth="1"/>
    <col min="12290" max="12290" width="28.7265625" style="122" customWidth="1"/>
    <col min="12291" max="12292" width="20" style="122" customWidth="1"/>
    <col min="12293" max="12293" width="15.26953125" style="122" customWidth="1"/>
    <col min="12294" max="12294" width="17.7265625" style="122" customWidth="1"/>
    <col min="12295" max="12544" width="9.26953125" style="122"/>
    <col min="12545" max="12545" width="0" style="122" hidden="1" customWidth="1"/>
    <col min="12546" max="12546" width="28.7265625" style="122" customWidth="1"/>
    <col min="12547" max="12548" width="20" style="122" customWidth="1"/>
    <col min="12549" max="12549" width="15.26953125" style="122" customWidth="1"/>
    <col min="12550" max="12550" width="17.7265625" style="122" customWidth="1"/>
    <col min="12551" max="12800" width="9.26953125" style="122"/>
    <col min="12801" max="12801" width="0" style="122" hidden="1" customWidth="1"/>
    <col min="12802" max="12802" width="28.7265625" style="122" customWidth="1"/>
    <col min="12803" max="12804" width="20" style="122" customWidth="1"/>
    <col min="12805" max="12805" width="15.26953125" style="122" customWidth="1"/>
    <col min="12806" max="12806" width="17.7265625" style="122" customWidth="1"/>
    <col min="12807" max="13056" width="9.26953125" style="122"/>
    <col min="13057" max="13057" width="0" style="122" hidden="1" customWidth="1"/>
    <col min="13058" max="13058" width="28.7265625" style="122" customWidth="1"/>
    <col min="13059" max="13060" width="20" style="122" customWidth="1"/>
    <col min="13061" max="13061" width="15.26953125" style="122" customWidth="1"/>
    <col min="13062" max="13062" width="17.7265625" style="122" customWidth="1"/>
    <col min="13063" max="13312" width="9.26953125" style="122"/>
    <col min="13313" max="13313" width="0" style="122" hidden="1" customWidth="1"/>
    <col min="13314" max="13314" width="28.7265625" style="122" customWidth="1"/>
    <col min="13315" max="13316" width="20" style="122" customWidth="1"/>
    <col min="13317" max="13317" width="15.26953125" style="122" customWidth="1"/>
    <col min="13318" max="13318" width="17.7265625" style="122" customWidth="1"/>
    <col min="13319" max="13568" width="9.26953125" style="122"/>
    <col min="13569" max="13569" width="0" style="122" hidden="1" customWidth="1"/>
    <col min="13570" max="13570" width="28.7265625" style="122" customWidth="1"/>
    <col min="13571" max="13572" width="20" style="122" customWidth="1"/>
    <col min="13573" max="13573" width="15.26953125" style="122" customWidth="1"/>
    <col min="13574" max="13574" width="17.7265625" style="122" customWidth="1"/>
    <col min="13575" max="13824" width="9.26953125" style="122"/>
    <col min="13825" max="13825" width="0" style="122" hidden="1" customWidth="1"/>
    <col min="13826" max="13826" width="28.7265625" style="122" customWidth="1"/>
    <col min="13827" max="13828" width="20" style="122" customWidth="1"/>
    <col min="13829" max="13829" width="15.26953125" style="122" customWidth="1"/>
    <col min="13830" max="13830" width="17.7265625" style="122" customWidth="1"/>
    <col min="13831" max="14080" width="9.26953125" style="122"/>
    <col min="14081" max="14081" width="0" style="122" hidden="1" customWidth="1"/>
    <col min="14082" max="14082" width="28.7265625" style="122" customWidth="1"/>
    <col min="14083" max="14084" width="20" style="122" customWidth="1"/>
    <col min="14085" max="14085" width="15.26953125" style="122" customWidth="1"/>
    <col min="14086" max="14086" width="17.7265625" style="122" customWidth="1"/>
    <col min="14087" max="14336" width="9.26953125" style="122"/>
    <col min="14337" max="14337" width="0" style="122" hidden="1" customWidth="1"/>
    <col min="14338" max="14338" width="28.7265625" style="122" customWidth="1"/>
    <col min="14339" max="14340" width="20" style="122" customWidth="1"/>
    <col min="14341" max="14341" width="15.26953125" style="122" customWidth="1"/>
    <col min="14342" max="14342" width="17.7265625" style="122" customWidth="1"/>
    <col min="14343" max="14592" width="9.26953125" style="122"/>
    <col min="14593" max="14593" width="0" style="122" hidden="1" customWidth="1"/>
    <col min="14594" max="14594" width="28.7265625" style="122" customWidth="1"/>
    <col min="14595" max="14596" width="20" style="122" customWidth="1"/>
    <col min="14597" max="14597" width="15.26953125" style="122" customWidth="1"/>
    <col min="14598" max="14598" width="17.7265625" style="122" customWidth="1"/>
    <col min="14599" max="14848" width="9.26953125" style="122"/>
    <col min="14849" max="14849" width="0" style="122" hidden="1" customWidth="1"/>
    <col min="14850" max="14850" width="28.7265625" style="122" customWidth="1"/>
    <col min="14851" max="14852" width="20" style="122" customWidth="1"/>
    <col min="14853" max="14853" width="15.26953125" style="122" customWidth="1"/>
    <col min="14854" max="14854" width="17.7265625" style="122" customWidth="1"/>
    <col min="14855" max="15104" width="9.26953125" style="122"/>
    <col min="15105" max="15105" width="0" style="122" hidden="1" customWidth="1"/>
    <col min="15106" max="15106" width="28.7265625" style="122" customWidth="1"/>
    <col min="15107" max="15108" width="20" style="122" customWidth="1"/>
    <col min="15109" max="15109" width="15.26953125" style="122" customWidth="1"/>
    <col min="15110" max="15110" width="17.7265625" style="122" customWidth="1"/>
    <col min="15111" max="15360" width="9.26953125" style="122"/>
    <col min="15361" max="15361" width="0" style="122" hidden="1" customWidth="1"/>
    <col min="15362" max="15362" width="28.7265625" style="122" customWidth="1"/>
    <col min="15363" max="15364" width="20" style="122" customWidth="1"/>
    <col min="15365" max="15365" width="15.26953125" style="122" customWidth="1"/>
    <col min="15366" max="15366" width="17.7265625" style="122" customWidth="1"/>
    <col min="15367" max="15616" width="9.26953125" style="122"/>
    <col min="15617" max="15617" width="0" style="122" hidden="1" customWidth="1"/>
    <col min="15618" max="15618" width="28.7265625" style="122" customWidth="1"/>
    <col min="15619" max="15620" width="20" style="122" customWidth="1"/>
    <col min="15621" max="15621" width="15.26953125" style="122" customWidth="1"/>
    <col min="15622" max="15622" width="17.7265625" style="122" customWidth="1"/>
    <col min="15623" max="15872" width="9.26953125" style="122"/>
    <col min="15873" max="15873" width="0" style="122" hidden="1" customWidth="1"/>
    <col min="15874" max="15874" width="28.7265625" style="122" customWidth="1"/>
    <col min="15875" max="15876" width="20" style="122" customWidth="1"/>
    <col min="15877" max="15877" width="15.26953125" style="122" customWidth="1"/>
    <col min="15878" max="15878" width="17.7265625" style="122" customWidth="1"/>
    <col min="15879" max="16128" width="9.26953125" style="122"/>
    <col min="16129" max="16129" width="0" style="122" hidden="1" customWidth="1"/>
    <col min="16130" max="16130" width="28.7265625" style="122" customWidth="1"/>
    <col min="16131" max="16132" width="20" style="122" customWidth="1"/>
    <col min="16133" max="16133" width="15.26953125" style="122" customWidth="1"/>
    <col min="16134" max="16134" width="17.7265625" style="122" customWidth="1"/>
    <col min="16135" max="16384" width="9.26953125" style="122"/>
  </cols>
  <sheetData>
    <row r="1" spans="1:6" ht="60" customHeight="1" x14ac:dyDescent="0.3">
      <c r="B1" s="312" t="s">
        <v>88</v>
      </c>
      <c r="C1" s="313"/>
      <c r="D1" s="313"/>
      <c r="E1" s="313"/>
      <c r="F1" s="314"/>
    </row>
    <row r="2" spans="1:6" ht="14.5" x14ac:dyDescent="0.3">
      <c r="B2" s="287"/>
      <c r="C2" s="288" t="s">
        <v>1</v>
      </c>
      <c r="D2" s="290" t="s">
        <v>2</v>
      </c>
      <c r="E2" s="290"/>
    </row>
    <row r="3" spans="1:6" ht="27" x14ac:dyDescent="0.3">
      <c r="A3" s="4"/>
      <c r="B3" s="287"/>
      <c r="C3" s="289"/>
      <c r="D3" s="123" t="s">
        <v>3</v>
      </c>
      <c r="E3" s="123" t="s">
        <v>4</v>
      </c>
      <c r="F3" s="123" t="s">
        <v>5</v>
      </c>
    </row>
    <row r="4" spans="1:6" ht="24" customHeight="1" x14ac:dyDescent="0.3">
      <c r="A4" s="4"/>
      <c r="B4" s="124" t="s">
        <v>6</v>
      </c>
      <c r="C4" s="125">
        <v>3146</v>
      </c>
      <c r="D4" s="125">
        <v>566</v>
      </c>
      <c r="E4" s="125">
        <v>70</v>
      </c>
      <c r="F4" s="125">
        <v>1</v>
      </c>
    </row>
    <row r="5" spans="1:6" s="127" customFormat="1" ht="25.5" customHeight="1" x14ac:dyDescent="0.3">
      <c r="A5" s="9"/>
      <c r="B5" s="126" t="s">
        <v>7</v>
      </c>
      <c r="C5" s="125">
        <v>2266</v>
      </c>
      <c r="D5" s="125">
        <v>348</v>
      </c>
      <c r="E5" s="125">
        <v>43</v>
      </c>
      <c r="F5" s="125">
        <v>0</v>
      </c>
    </row>
    <row r="6" spans="1:6" ht="12.75" customHeight="1" x14ac:dyDescent="0.3">
      <c r="A6" s="12">
        <v>51</v>
      </c>
      <c r="B6" s="128" t="s">
        <v>8</v>
      </c>
      <c r="C6" s="129">
        <v>67</v>
      </c>
      <c r="D6" s="129">
        <v>13</v>
      </c>
      <c r="E6" s="129">
        <v>2</v>
      </c>
      <c r="F6" s="129">
        <v>0</v>
      </c>
    </row>
    <row r="7" spans="1:6" ht="12.75" customHeight="1" x14ac:dyDescent="0.3">
      <c r="A7" s="12">
        <v>52</v>
      </c>
      <c r="B7" s="128" t="s">
        <v>9</v>
      </c>
      <c r="C7" s="129">
        <v>55</v>
      </c>
      <c r="D7" s="129">
        <v>8</v>
      </c>
      <c r="E7" s="129">
        <v>0</v>
      </c>
      <c r="F7" s="129">
        <v>0</v>
      </c>
    </row>
    <row r="8" spans="1:6" x14ac:dyDescent="0.3">
      <c r="A8" s="12">
        <v>86</v>
      </c>
      <c r="B8" s="128" t="s">
        <v>10</v>
      </c>
      <c r="C8" s="129">
        <v>73</v>
      </c>
      <c r="D8" s="129">
        <v>9</v>
      </c>
      <c r="E8" s="129">
        <v>1</v>
      </c>
      <c r="F8" s="129">
        <v>0</v>
      </c>
    </row>
    <row r="9" spans="1:6" ht="12.75" customHeight="1" x14ac:dyDescent="0.3">
      <c r="A9" s="12">
        <v>53</v>
      </c>
      <c r="B9" s="128" t="s">
        <v>11</v>
      </c>
      <c r="C9" s="129">
        <v>26</v>
      </c>
      <c r="D9" s="129">
        <v>2</v>
      </c>
      <c r="E9" s="129">
        <v>0</v>
      </c>
      <c r="F9" s="129">
        <v>0</v>
      </c>
    </row>
    <row r="10" spans="1:6" ht="12.75" customHeight="1" x14ac:dyDescent="0.3">
      <c r="A10" s="12">
        <v>54</v>
      </c>
      <c r="B10" s="128" t="s">
        <v>12</v>
      </c>
      <c r="C10" s="129">
        <v>134</v>
      </c>
      <c r="D10" s="129">
        <v>10</v>
      </c>
      <c r="E10" s="129">
        <v>0</v>
      </c>
      <c r="F10" s="129">
        <v>0</v>
      </c>
    </row>
    <row r="11" spans="1:6" ht="12.75" customHeight="1" x14ac:dyDescent="0.3">
      <c r="A11" s="12">
        <v>55</v>
      </c>
      <c r="B11" s="128" t="s">
        <v>13</v>
      </c>
      <c r="C11" s="129">
        <v>32</v>
      </c>
      <c r="D11" s="129">
        <v>9</v>
      </c>
      <c r="E11" s="129">
        <v>0</v>
      </c>
      <c r="F11" s="129">
        <v>0</v>
      </c>
    </row>
    <row r="12" spans="1:6" ht="12.75" customHeight="1" x14ac:dyDescent="0.3">
      <c r="A12" s="12">
        <v>56</v>
      </c>
      <c r="B12" s="128" t="s">
        <v>14</v>
      </c>
      <c r="C12" s="129">
        <v>19</v>
      </c>
      <c r="D12" s="129">
        <v>0</v>
      </c>
      <c r="E12" s="129">
        <v>0</v>
      </c>
      <c r="F12" s="129">
        <v>0</v>
      </c>
    </row>
    <row r="13" spans="1:6" ht="12.75" customHeight="1" x14ac:dyDescent="0.3">
      <c r="A13" s="12">
        <v>57</v>
      </c>
      <c r="B13" s="128" t="s">
        <v>15</v>
      </c>
      <c r="C13" s="129">
        <v>33</v>
      </c>
      <c r="D13" s="129">
        <v>7</v>
      </c>
      <c r="E13" s="129">
        <v>0</v>
      </c>
      <c r="F13" s="129">
        <v>0</v>
      </c>
    </row>
    <row r="14" spans="1:6" ht="12.75" customHeight="1" x14ac:dyDescent="0.3">
      <c r="A14" s="12">
        <v>59</v>
      </c>
      <c r="B14" s="128" t="s">
        <v>16</v>
      </c>
      <c r="C14" s="129">
        <v>32</v>
      </c>
      <c r="D14" s="129">
        <v>8</v>
      </c>
      <c r="E14" s="129">
        <v>1</v>
      </c>
      <c r="F14" s="129">
        <v>0</v>
      </c>
    </row>
    <row r="15" spans="1:6" ht="12.75" customHeight="1" x14ac:dyDescent="0.3">
      <c r="A15" s="12">
        <v>60</v>
      </c>
      <c r="B15" s="128" t="s">
        <v>17</v>
      </c>
      <c r="C15" s="129">
        <v>22</v>
      </c>
      <c r="D15" s="129">
        <v>4</v>
      </c>
      <c r="E15" s="129">
        <v>0</v>
      </c>
      <c r="F15" s="129">
        <v>0</v>
      </c>
    </row>
    <row r="16" spans="1:6" ht="12.75" customHeight="1" x14ac:dyDescent="0.3">
      <c r="A16" s="12">
        <v>61</v>
      </c>
      <c r="B16" s="130" t="s">
        <v>18</v>
      </c>
      <c r="C16" s="129">
        <v>88</v>
      </c>
      <c r="D16" s="129">
        <v>11</v>
      </c>
      <c r="E16" s="129">
        <v>2</v>
      </c>
      <c r="F16" s="129">
        <v>0</v>
      </c>
    </row>
    <row r="17" spans="1:6" s="181" customFormat="1" ht="12.75" customHeight="1" x14ac:dyDescent="0.3">
      <c r="A17" s="12"/>
      <c r="B17" s="130" t="s">
        <v>122</v>
      </c>
      <c r="C17" s="163">
        <v>109</v>
      </c>
      <c r="D17" s="163">
        <v>15</v>
      </c>
      <c r="E17" s="163">
        <v>2</v>
      </c>
      <c r="F17" s="163">
        <v>0</v>
      </c>
    </row>
    <row r="18" spans="1:6" ht="12.75" customHeight="1" x14ac:dyDescent="0.3">
      <c r="A18" s="12">
        <v>58</v>
      </c>
      <c r="B18" s="128" t="s">
        <v>20</v>
      </c>
      <c r="C18" s="129">
        <v>19</v>
      </c>
      <c r="D18" s="129">
        <v>8</v>
      </c>
      <c r="E18" s="129">
        <v>0</v>
      </c>
      <c r="F18" s="129">
        <v>0</v>
      </c>
    </row>
    <row r="19" spans="1:6" ht="12.75" customHeight="1" x14ac:dyDescent="0.3">
      <c r="A19" s="12">
        <v>63</v>
      </c>
      <c r="B19" s="128" t="s">
        <v>21</v>
      </c>
      <c r="C19" s="129">
        <v>106</v>
      </c>
      <c r="D19" s="129">
        <v>7</v>
      </c>
      <c r="E19" s="129">
        <v>1</v>
      </c>
      <c r="F19" s="129">
        <v>0</v>
      </c>
    </row>
    <row r="20" spans="1:6" ht="12.75" customHeight="1" x14ac:dyDescent="0.3">
      <c r="A20" s="12">
        <v>64</v>
      </c>
      <c r="B20" s="128" t="s">
        <v>22</v>
      </c>
      <c r="C20" s="129">
        <v>141</v>
      </c>
      <c r="D20" s="129">
        <v>35</v>
      </c>
      <c r="E20" s="129">
        <v>4</v>
      </c>
      <c r="F20" s="129">
        <v>0</v>
      </c>
    </row>
    <row r="21" spans="1:6" x14ac:dyDescent="0.3">
      <c r="A21" s="12">
        <v>65</v>
      </c>
      <c r="B21" s="128" t="s">
        <v>23</v>
      </c>
      <c r="C21" s="129">
        <v>66</v>
      </c>
      <c r="D21" s="129">
        <v>4</v>
      </c>
      <c r="E21" s="129">
        <v>4</v>
      </c>
      <c r="F21" s="129">
        <v>0</v>
      </c>
    </row>
    <row r="22" spans="1:6" ht="12.75" customHeight="1" x14ac:dyDescent="0.3">
      <c r="A22" s="12">
        <v>67</v>
      </c>
      <c r="B22" s="128" t="s">
        <v>24</v>
      </c>
      <c r="C22" s="129">
        <v>83</v>
      </c>
      <c r="D22" s="129">
        <v>22</v>
      </c>
      <c r="E22" s="129">
        <v>11</v>
      </c>
      <c r="F22" s="129">
        <v>0</v>
      </c>
    </row>
    <row r="23" spans="1:6" x14ac:dyDescent="0.3">
      <c r="A23" s="12">
        <v>68</v>
      </c>
      <c r="B23" s="128" t="s">
        <v>25</v>
      </c>
      <c r="C23" s="129">
        <v>82</v>
      </c>
      <c r="D23" s="129">
        <v>10</v>
      </c>
      <c r="E23" s="129">
        <v>1</v>
      </c>
      <c r="F23" s="129">
        <v>0</v>
      </c>
    </row>
    <row r="24" spans="1:6" x14ac:dyDescent="0.3">
      <c r="A24" s="12">
        <v>69</v>
      </c>
      <c r="B24" s="128" t="s">
        <v>26</v>
      </c>
      <c r="C24" s="129">
        <v>54</v>
      </c>
      <c r="D24" s="129">
        <v>6</v>
      </c>
      <c r="E24" s="129">
        <v>2</v>
      </c>
      <c r="F24" s="129">
        <v>0</v>
      </c>
    </row>
    <row r="25" spans="1:6" x14ac:dyDescent="0.3">
      <c r="A25" s="12">
        <v>70</v>
      </c>
      <c r="B25" s="128" t="s">
        <v>27</v>
      </c>
      <c r="C25" s="129">
        <v>97</v>
      </c>
      <c r="D25" s="129">
        <v>4</v>
      </c>
      <c r="E25" s="129">
        <v>0</v>
      </c>
      <c r="F25" s="129">
        <v>0</v>
      </c>
    </row>
    <row r="26" spans="1:6" x14ac:dyDescent="0.3">
      <c r="A26" s="12">
        <v>71</v>
      </c>
      <c r="B26" s="131" t="s">
        <v>28</v>
      </c>
      <c r="C26" s="129">
        <v>18</v>
      </c>
      <c r="D26" s="129">
        <v>1</v>
      </c>
      <c r="E26" s="129">
        <v>0</v>
      </c>
      <c r="F26" s="129">
        <v>0</v>
      </c>
    </row>
    <row r="27" spans="1:6" x14ac:dyDescent="0.3">
      <c r="A27" s="12">
        <v>73</v>
      </c>
      <c r="B27" s="128" t="s">
        <v>29</v>
      </c>
      <c r="C27" s="132">
        <v>89</v>
      </c>
      <c r="D27" s="132">
        <v>17</v>
      </c>
      <c r="E27" s="132">
        <v>1</v>
      </c>
      <c r="F27" s="132">
        <v>0</v>
      </c>
    </row>
    <row r="28" spans="1:6" x14ac:dyDescent="0.3">
      <c r="A28" s="12">
        <v>74</v>
      </c>
      <c r="B28" s="128" t="s">
        <v>30</v>
      </c>
      <c r="C28" s="129">
        <v>40</v>
      </c>
      <c r="D28" s="129">
        <v>11</v>
      </c>
      <c r="E28" s="129">
        <v>0</v>
      </c>
      <c r="F28" s="129">
        <v>0</v>
      </c>
    </row>
    <row r="29" spans="1:6" x14ac:dyDescent="0.3">
      <c r="A29" s="12">
        <v>75</v>
      </c>
      <c r="B29" s="128" t="s">
        <v>31</v>
      </c>
      <c r="C29" s="129">
        <v>51</v>
      </c>
      <c r="D29" s="129">
        <v>14</v>
      </c>
      <c r="E29" s="129">
        <v>2</v>
      </c>
      <c r="F29" s="129">
        <v>0</v>
      </c>
    </row>
    <row r="30" spans="1:6" x14ac:dyDescent="0.3">
      <c r="A30" s="12">
        <v>76</v>
      </c>
      <c r="B30" s="128" t="s">
        <v>32</v>
      </c>
      <c r="C30" s="129">
        <v>42</v>
      </c>
      <c r="D30" s="129">
        <v>9</v>
      </c>
      <c r="E30" s="129">
        <v>0</v>
      </c>
      <c r="F30" s="129">
        <v>0</v>
      </c>
    </row>
    <row r="31" spans="1:6" x14ac:dyDescent="0.3">
      <c r="A31" s="12">
        <v>79</v>
      </c>
      <c r="B31" s="128" t="s">
        <v>33</v>
      </c>
      <c r="C31" s="129">
        <v>102</v>
      </c>
      <c r="D31" s="129">
        <v>19</v>
      </c>
      <c r="E31" s="129">
        <v>3</v>
      </c>
      <c r="F31" s="129">
        <v>0</v>
      </c>
    </row>
    <row r="32" spans="1:6" x14ac:dyDescent="0.3">
      <c r="A32" s="12">
        <v>80</v>
      </c>
      <c r="B32" s="128" t="s">
        <v>34</v>
      </c>
      <c r="C32" s="129">
        <v>83</v>
      </c>
      <c r="D32" s="129">
        <v>15</v>
      </c>
      <c r="E32" s="129">
        <v>0</v>
      </c>
      <c r="F32" s="129">
        <v>0</v>
      </c>
    </row>
    <row r="33" spans="1:6" x14ac:dyDescent="0.3">
      <c r="A33" s="12">
        <v>81</v>
      </c>
      <c r="B33" s="128" t="s">
        <v>35</v>
      </c>
      <c r="C33" s="129">
        <v>53</v>
      </c>
      <c r="D33" s="129">
        <v>7</v>
      </c>
      <c r="E33" s="129">
        <v>0</v>
      </c>
      <c r="F33" s="129">
        <v>0</v>
      </c>
    </row>
    <row r="34" spans="1:6" x14ac:dyDescent="0.3">
      <c r="A34" s="12">
        <v>83</v>
      </c>
      <c r="B34" s="128" t="s">
        <v>36</v>
      </c>
      <c r="C34" s="129">
        <v>38</v>
      </c>
      <c r="D34" s="129">
        <v>5</v>
      </c>
      <c r="E34" s="129">
        <v>1</v>
      </c>
      <c r="F34" s="129">
        <v>0</v>
      </c>
    </row>
    <row r="35" spans="1:6" x14ac:dyDescent="0.3">
      <c r="A35" s="12">
        <v>84</v>
      </c>
      <c r="B35" s="128" t="s">
        <v>37</v>
      </c>
      <c r="C35" s="129">
        <v>43</v>
      </c>
      <c r="D35" s="129">
        <v>6</v>
      </c>
      <c r="E35" s="129">
        <v>0</v>
      </c>
      <c r="F35" s="129">
        <v>0</v>
      </c>
    </row>
    <row r="36" spans="1:6" x14ac:dyDescent="0.3">
      <c r="A36" s="12">
        <v>85</v>
      </c>
      <c r="B36" s="128" t="s">
        <v>38</v>
      </c>
      <c r="C36" s="129">
        <v>61</v>
      </c>
      <c r="D36" s="129">
        <v>12</v>
      </c>
      <c r="E36" s="129">
        <v>2</v>
      </c>
      <c r="F36" s="129">
        <v>0</v>
      </c>
    </row>
    <row r="37" spans="1:6" x14ac:dyDescent="0.3">
      <c r="A37" s="12">
        <v>87</v>
      </c>
      <c r="B37" s="128" t="s">
        <v>39</v>
      </c>
      <c r="C37" s="129">
        <v>47</v>
      </c>
      <c r="D37" s="129">
        <v>4</v>
      </c>
      <c r="E37" s="129">
        <v>0</v>
      </c>
      <c r="F37" s="129">
        <v>0</v>
      </c>
    </row>
    <row r="38" spans="1:6" x14ac:dyDescent="0.3">
      <c r="A38" s="12">
        <v>90</v>
      </c>
      <c r="B38" s="128" t="s">
        <v>40</v>
      </c>
      <c r="C38" s="129">
        <v>51</v>
      </c>
      <c r="D38" s="129">
        <v>8</v>
      </c>
      <c r="E38" s="129">
        <v>0</v>
      </c>
      <c r="F38" s="129">
        <v>0</v>
      </c>
    </row>
    <row r="39" spans="1:6" x14ac:dyDescent="0.3">
      <c r="A39" s="12">
        <v>91</v>
      </c>
      <c r="B39" s="128" t="s">
        <v>41</v>
      </c>
      <c r="C39" s="129">
        <v>62</v>
      </c>
      <c r="D39" s="129">
        <v>10</v>
      </c>
      <c r="E39" s="129">
        <v>0</v>
      </c>
      <c r="F39" s="129">
        <v>0</v>
      </c>
    </row>
    <row r="40" spans="1:6" x14ac:dyDescent="0.3">
      <c r="A40" s="12">
        <v>92</v>
      </c>
      <c r="B40" s="128" t="s">
        <v>42</v>
      </c>
      <c r="C40" s="129">
        <v>63</v>
      </c>
      <c r="D40" s="129">
        <v>7</v>
      </c>
      <c r="E40" s="129">
        <v>0</v>
      </c>
      <c r="F40" s="129">
        <v>0</v>
      </c>
    </row>
    <row r="41" spans="1:6" x14ac:dyDescent="0.3">
      <c r="A41" s="12">
        <v>94</v>
      </c>
      <c r="B41" s="128" t="s">
        <v>43</v>
      </c>
      <c r="C41" s="129">
        <v>36</v>
      </c>
      <c r="D41" s="129">
        <v>2</v>
      </c>
      <c r="E41" s="129">
        <v>0</v>
      </c>
      <c r="F41" s="129">
        <v>0</v>
      </c>
    </row>
    <row r="42" spans="1:6" x14ac:dyDescent="0.3">
      <c r="A42" s="12">
        <v>96</v>
      </c>
      <c r="B42" s="128" t="s">
        <v>44</v>
      </c>
      <c r="C42" s="129">
        <v>49</v>
      </c>
      <c r="D42" s="129">
        <v>9</v>
      </c>
      <c r="E42" s="129">
        <v>3</v>
      </c>
      <c r="F42" s="129">
        <v>0</v>
      </c>
    </row>
    <row r="43" spans="1:6" x14ac:dyDescent="0.3">
      <c r="A43" s="12">
        <v>72</v>
      </c>
      <c r="B43" s="131" t="s">
        <v>46</v>
      </c>
      <c r="C43" s="129">
        <v>0</v>
      </c>
      <c r="D43" s="129">
        <v>0</v>
      </c>
      <c r="E43" s="129">
        <v>0</v>
      </c>
      <c r="F43" s="129">
        <v>0</v>
      </c>
    </row>
    <row r="44" spans="1:6" s="127" customFormat="1" ht="25.5" customHeight="1" x14ac:dyDescent="0.3">
      <c r="B44" s="124" t="s">
        <v>47</v>
      </c>
      <c r="C44" s="133">
        <v>880</v>
      </c>
      <c r="D44" s="133">
        <v>218</v>
      </c>
      <c r="E44" s="133">
        <v>27</v>
      </c>
      <c r="F44" s="133">
        <v>1</v>
      </c>
    </row>
    <row r="45" spans="1:6" ht="12.75" customHeight="1" x14ac:dyDescent="0.3">
      <c r="A45" s="12">
        <v>66</v>
      </c>
      <c r="B45" s="134" t="s">
        <v>48</v>
      </c>
      <c r="C45" s="129">
        <v>86</v>
      </c>
      <c r="D45" s="129">
        <v>23</v>
      </c>
      <c r="E45" s="129">
        <v>12</v>
      </c>
      <c r="F45" s="129">
        <v>1</v>
      </c>
    </row>
    <row r="46" spans="1:6" ht="12.75" customHeight="1" x14ac:dyDescent="0.3">
      <c r="A46" s="12">
        <v>78</v>
      </c>
      <c r="B46" s="128" t="s">
        <v>49</v>
      </c>
      <c r="C46" s="129">
        <v>42</v>
      </c>
      <c r="D46" s="129">
        <v>9</v>
      </c>
      <c r="E46" s="129">
        <v>0</v>
      </c>
      <c r="F46" s="129">
        <v>0</v>
      </c>
    </row>
    <row r="47" spans="1:6" ht="12.75" customHeight="1" x14ac:dyDescent="0.3">
      <c r="A47" s="12">
        <v>89</v>
      </c>
      <c r="B47" s="128" t="s">
        <v>50</v>
      </c>
      <c r="C47" s="129">
        <v>89</v>
      </c>
      <c r="D47" s="129">
        <v>8</v>
      </c>
      <c r="E47" s="129">
        <v>0</v>
      </c>
      <c r="F47" s="129">
        <v>0</v>
      </c>
    </row>
    <row r="48" spans="1:6" ht="12.75" customHeight="1" x14ac:dyDescent="0.3">
      <c r="A48" s="12">
        <v>93</v>
      </c>
      <c r="B48" s="128" t="s">
        <v>51</v>
      </c>
      <c r="C48" s="129">
        <v>37</v>
      </c>
      <c r="D48" s="129">
        <v>7</v>
      </c>
      <c r="E48" s="129">
        <v>5</v>
      </c>
      <c r="F48" s="129">
        <v>0</v>
      </c>
    </row>
    <row r="49" spans="1:6" ht="12.75" customHeight="1" x14ac:dyDescent="0.3">
      <c r="A49" s="12">
        <v>95</v>
      </c>
      <c r="B49" s="128" t="s">
        <v>52</v>
      </c>
      <c r="C49" s="129">
        <v>113</v>
      </c>
      <c r="D49" s="129">
        <v>14</v>
      </c>
      <c r="E49" s="129">
        <v>3</v>
      </c>
      <c r="F49" s="129">
        <v>0</v>
      </c>
    </row>
    <row r="50" spans="1:6" ht="12.75" customHeight="1" x14ac:dyDescent="0.3">
      <c r="A50" s="12">
        <v>97</v>
      </c>
      <c r="B50" s="128" t="s">
        <v>53</v>
      </c>
      <c r="C50" s="129">
        <v>148</v>
      </c>
      <c r="D50" s="129">
        <v>23</v>
      </c>
      <c r="E50" s="129">
        <v>2</v>
      </c>
      <c r="F50" s="129">
        <v>0</v>
      </c>
    </row>
    <row r="51" spans="1:6" ht="12.75" customHeight="1" x14ac:dyDescent="0.3">
      <c r="A51" s="12">
        <v>77</v>
      </c>
      <c r="B51" s="135" t="s">
        <v>54</v>
      </c>
      <c r="C51" s="136">
        <v>365</v>
      </c>
      <c r="D51" s="136">
        <v>134</v>
      </c>
      <c r="E51" s="136">
        <v>5</v>
      </c>
      <c r="F51" s="136">
        <v>0</v>
      </c>
    </row>
    <row r="53" spans="1:6" ht="12.75" customHeight="1" x14ac:dyDescent="0.3">
      <c r="B53" s="12" t="s">
        <v>55</v>
      </c>
      <c r="C53" s="137"/>
    </row>
    <row r="54" spans="1:6" ht="12.75" customHeight="1" x14ac:dyDescent="0.3">
      <c r="B54" s="291" t="s">
        <v>56</v>
      </c>
      <c r="C54" s="292"/>
      <c r="D54" s="292"/>
      <c r="E54" s="292"/>
      <c r="F54" s="292"/>
    </row>
    <row r="55" spans="1:6" ht="12.75" customHeight="1" x14ac:dyDescent="0.3">
      <c r="B55" s="292"/>
      <c r="C55" s="292"/>
      <c r="D55" s="292"/>
      <c r="E55" s="292"/>
      <c r="F55" s="292"/>
    </row>
    <row r="56" spans="1:6" ht="12.7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2.75" customHeight="1" x14ac:dyDescent="0.3">
      <c r="B58" s="292"/>
      <c r="C58" s="292"/>
      <c r="D58" s="292"/>
      <c r="E58" s="292"/>
      <c r="F58" s="292"/>
    </row>
    <row r="59" spans="1:6" ht="12.75" customHeight="1" x14ac:dyDescent="0.3">
      <c r="B59" s="292"/>
      <c r="C59" s="292"/>
      <c r="D59" s="292"/>
      <c r="E59" s="292"/>
      <c r="F59" s="292"/>
    </row>
    <row r="60" spans="1:6" ht="39" customHeight="1" x14ac:dyDescent="0.3">
      <c r="B60" s="292"/>
      <c r="C60" s="292"/>
      <c r="D60" s="292"/>
      <c r="E60" s="292"/>
      <c r="F60" s="292"/>
    </row>
    <row r="61" spans="1:6" ht="12.75" customHeight="1" x14ac:dyDescent="0.3">
      <c r="B61" s="23"/>
      <c r="C61" s="23"/>
      <c r="D61" s="23"/>
      <c r="E61" s="23"/>
      <c r="F61" s="23"/>
    </row>
    <row r="62" spans="1:6" ht="12.75" customHeight="1" x14ac:dyDescent="0.3">
      <c r="B62" s="138" t="s">
        <v>57</v>
      </c>
      <c r="C62" s="139"/>
      <c r="D62" s="139"/>
      <c r="E62" s="139"/>
    </row>
    <row r="63" spans="1:6" x14ac:dyDescent="0.3">
      <c r="B63" s="140"/>
      <c r="C63" s="139"/>
      <c r="D63" s="139"/>
      <c r="E63" s="139"/>
    </row>
    <row r="64" spans="1:6" x14ac:dyDescent="0.3">
      <c r="C64" s="139"/>
      <c r="D64" s="139"/>
      <c r="E64" s="139"/>
    </row>
    <row r="65" spans="2:5" x14ac:dyDescent="0.3">
      <c r="B65" s="141"/>
      <c r="C65" s="139"/>
      <c r="D65" s="139"/>
      <c r="E65" s="139"/>
    </row>
    <row r="66" spans="2:5" x14ac:dyDescent="0.3">
      <c r="C66" s="139"/>
      <c r="D66" s="139"/>
      <c r="E66" s="139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indexed="22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1" hidden="1" customWidth="1"/>
    <col min="2" max="2" width="24.7265625" style="122" customWidth="1"/>
    <col min="3" max="3" width="11" style="122" customWidth="1"/>
    <col min="4" max="4" width="11.7265625" style="122" customWidth="1"/>
    <col min="5" max="10" width="11" style="122" customWidth="1"/>
    <col min="11" max="256" width="9.26953125" style="122"/>
    <col min="257" max="257" width="0" style="122" hidden="1" customWidth="1"/>
    <col min="258" max="258" width="24.7265625" style="122" customWidth="1"/>
    <col min="259" max="259" width="11" style="122" customWidth="1"/>
    <col min="260" max="260" width="11.7265625" style="122" customWidth="1"/>
    <col min="261" max="266" width="11" style="122" customWidth="1"/>
    <col min="267" max="512" width="9.26953125" style="122"/>
    <col min="513" max="513" width="0" style="122" hidden="1" customWidth="1"/>
    <col min="514" max="514" width="24.7265625" style="122" customWidth="1"/>
    <col min="515" max="515" width="11" style="122" customWidth="1"/>
    <col min="516" max="516" width="11.7265625" style="122" customWidth="1"/>
    <col min="517" max="522" width="11" style="122" customWidth="1"/>
    <col min="523" max="768" width="9.26953125" style="122"/>
    <col min="769" max="769" width="0" style="122" hidden="1" customWidth="1"/>
    <col min="770" max="770" width="24.7265625" style="122" customWidth="1"/>
    <col min="771" max="771" width="11" style="122" customWidth="1"/>
    <col min="772" max="772" width="11.7265625" style="122" customWidth="1"/>
    <col min="773" max="778" width="11" style="122" customWidth="1"/>
    <col min="779" max="1024" width="9.26953125" style="122"/>
    <col min="1025" max="1025" width="0" style="122" hidden="1" customWidth="1"/>
    <col min="1026" max="1026" width="24.7265625" style="122" customWidth="1"/>
    <col min="1027" max="1027" width="11" style="122" customWidth="1"/>
    <col min="1028" max="1028" width="11.7265625" style="122" customWidth="1"/>
    <col min="1029" max="1034" width="11" style="122" customWidth="1"/>
    <col min="1035" max="1280" width="9.26953125" style="122"/>
    <col min="1281" max="1281" width="0" style="122" hidden="1" customWidth="1"/>
    <col min="1282" max="1282" width="24.7265625" style="122" customWidth="1"/>
    <col min="1283" max="1283" width="11" style="122" customWidth="1"/>
    <col min="1284" max="1284" width="11.7265625" style="122" customWidth="1"/>
    <col min="1285" max="1290" width="11" style="122" customWidth="1"/>
    <col min="1291" max="1536" width="9.26953125" style="122"/>
    <col min="1537" max="1537" width="0" style="122" hidden="1" customWidth="1"/>
    <col min="1538" max="1538" width="24.7265625" style="122" customWidth="1"/>
    <col min="1539" max="1539" width="11" style="122" customWidth="1"/>
    <col min="1540" max="1540" width="11.7265625" style="122" customWidth="1"/>
    <col min="1541" max="1546" width="11" style="122" customWidth="1"/>
    <col min="1547" max="1792" width="9.26953125" style="122"/>
    <col min="1793" max="1793" width="0" style="122" hidden="1" customWidth="1"/>
    <col min="1794" max="1794" width="24.7265625" style="122" customWidth="1"/>
    <col min="1795" max="1795" width="11" style="122" customWidth="1"/>
    <col min="1796" max="1796" width="11.7265625" style="122" customWidth="1"/>
    <col min="1797" max="1802" width="11" style="122" customWidth="1"/>
    <col min="1803" max="2048" width="9.26953125" style="122"/>
    <col min="2049" max="2049" width="0" style="122" hidden="1" customWidth="1"/>
    <col min="2050" max="2050" width="24.7265625" style="122" customWidth="1"/>
    <col min="2051" max="2051" width="11" style="122" customWidth="1"/>
    <col min="2052" max="2052" width="11.7265625" style="122" customWidth="1"/>
    <col min="2053" max="2058" width="11" style="122" customWidth="1"/>
    <col min="2059" max="2304" width="9.26953125" style="122"/>
    <col min="2305" max="2305" width="0" style="122" hidden="1" customWidth="1"/>
    <col min="2306" max="2306" width="24.7265625" style="122" customWidth="1"/>
    <col min="2307" max="2307" width="11" style="122" customWidth="1"/>
    <col min="2308" max="2308" width="11.7265625" style="122" customWidth="1"/>
    <col min="2309" max="2314" width="11" style="122" customWidth="1"/>
    <col min="2315" max="2560" width="9.26953125" style="122"/>
    <col min="2561" max="2561" width="0" style="122" hidden="1" customWidth="1"/>
    <col min="2562" max="2562" width="24.7265625" style="122" customWidth="1"/>
    <col min="2563" max="2563" width="11" style="122" customWidth="1"/>
    <col min="2564" max="2564" width="11.7265625" style="122" customWidth="1"/>
    <col min="2565" max="2570" width="11" style="122" customWidth="1"/>
    <col min="2571" max="2816" width="9.26953125" style="122"/>
    <col min="2817" max="2817" width="0" style="122" hidden="1" customWidth="1"/>
    <col min="2818" max="2818" width="24.7265625" style="122" customWidth="1"/>
    <col min="2819" max="2819" width="11" style="122" customWidth="1"/>
    <col min="2820" max="2820" width="11.7265625" style="122" customWidth="1"/>
    <col min="2821" max="2826" width="11" style="122" customWidth="1"/>
    <col min="2827" max="3072" width="9.26953125" style="122"/>
    <col min="3073" max="3073" width="0" style="122" hidden="1" customWidth="1"/>
    <col min="3074" max="3074" width="24.7265625" style="122" customWidth="1"/>
    <col min="3075" max="3075" width="11" style="122" customWidth="1"/>
    <col min="3076" max="3076" width="11.7265625" style="122" customWidth="1"/>
    <col min="3077" max="3082" width="11" style="122" customWidth="1"/>
    <col min="3083" max="3328" width="9.26953125" style="122"/>
    <col min="3329" max="3329" width="0" style="122" hidden="1" customWidth="1"/>
    <col min="3330" max="3330" width="24.7265625" style="122" customWidth="1"/>
    <col min="3331" max="3331" width="11" style="122" customWidth="1"/>
    <col min="3332" max="3332" width="11.7265625" style="122" customWidth="1"/>
    <col min="3333" max="3338" width="11" style="122" customWidth="1"/>
    <col min="3339" max="3584" width="9.26953125" style="122"/>
    <col min="3585" max="3585" width="0" style="122" hidden="1" customWidth="1"/>
    <col min="3586" max="3586" width="24.7265625" style="122" customWidth="1"/>
    <col min="3587" max="3587" width="11" style="122" customWidth="1"/>
    <col min="3588" max="3588" width="11.7265625" style="122" customWidth="1"/>
    <col min="3589" max="3594" width="11" style="122" customWidth="1"/>
    <col min="3595" max="3840" width="9.26953125" style="122"/>
    <col min="3841" max="3841" width="0" style="122" hidden="1" customWidth="1"/>
    <col min="3842" max="3842" width="24.7265625" style="122" customWidth="1"/>
    <col min="3843" max="3843" width="11" style="122" customWidth="1"/>
    <col min="3844" max="3844" width="11.7265625" style="122" customWidth="1"/>
    <col min="3845" max="3850" width="11" style="122" customWidth="1"/>
    <col min="3851" max="4096" width="9.26953125" style="122"/>
    <col min="4097" max="4097" width="0" style="122" hidden="1" customWidth="1"/>
    <col min="4098" max="4098" width="24.7265625" style="122" customWidth="1"/>
    <col min="4099" max="4099" width="11" style="122" customWidth="1"/>
    <col min="4100" max="4100" width="11.7265625" style="122" customWidth="1"/>
    <col min="4101" max="4106" width="11" style="122" customWidth="1"/>
    <col min="4107" max="4352" width="9.26953125" style="122"/>
    <col min="4353" max="4353" width="0" style="122" hidden="1" customWidth="1"/>
    <col min="4354" max="4354" width="24.7265625" style="122" customWidth="1"/>
    <col min="4355" max="4355" width="11" style="122" customWidth="1"/>
    <col min="4356" max="4356" width="11.7265625" style="122" customWidth="1"/>
    <col min="4357" max="4362" width="11" style="122" customWidth="1"/>
    <col min="4363" max="4608" width="9.26953125" style="122"/>
    <col min="4609" max="4609" width="0" style="122" hidden="1" customWidth="1"/>
    <col min="4610" max="4610" width="24.7265625" style="122" customWidth="1"/>
    <col min="4611" max="4611" width="11" style="122" customWidth="1"/>
    <col min="4612" max="4612" width="11.7265625" style="122" customWidth="1"/>
    <col min="4613" max="4618" width="11" style="122" customWidth="1"/>
    <col min="4619" max="4864" width="9.26953125" style="122"/>
    <col min="4865" max="4865" width="0" style="122" hidden="1" customWidth="1"/>
    <col min="4866" max="4866" width="24.7265625" style="122" customWidth="1"/>
    <col min="4867" max="4867" width="11" style="122" customWidth="1"/>
    <col min="4868" max="4868" width="11.7265625" style="122" customWidth="1"/>
    <col min="4869" max="4874" width="11" style="122" customWidth="1"/>
    <col min="4875" max="5120" width="9.26953125" style="122"/>
    <col min="5121" max="5121" width="0" style="122" hidden="1" customWidth="1"/>
    <col min="5122" max="5122" width="24.7265625" style="122" customWidth="1"/>
    <col min="5123" max="5123" width="11" style="122" customWidth="1"/>
    <col min="5124" max="5124" width="11.7265625" style="122" customWidth="1"/>
    <col min="5125" max="5130" width="11" style="122" customWidth="1"/>
    <col min="5131" max="5376" width="9.26953125" style="122"/>
    <col min="5377" max="5377" width="0" style="122" hidden="1" customWidth="1"/>
    <col min="5378" max="5378" width="24.7265625" style="122" customWidth="1"/>
    <col min="5379" max="5379" width="11" style="122" customWidth="1"/>
    <col min="5380" max="5380" width="11.7265625" style="122" customWidth="1"/>
    <col min="5381" max="5386" width="11" style="122" customWidth="1"/>
    <col min="5387" max="5632" width="9.26953125" style="122"/>
    <col min="5633" max="5633" width="0" style="122" hidden="1" customWidth="1"/>
    <col min="5634" max="5634" width="24.7265625" style="122" customWidth="1"/>
    <col min="5635" max="5635" width="11" style="122" customWidth="1"/>
    <col min="5636" max="5636" width="11.7265625" style="122" customWidth="1"/>
    <col min="5637" max="5642" width="11" style="122" customWidth="1"/>
    <col min="5643" max="5888" width="9.26953125" style="122"/>
    <col min="5889" max="5889" width="0" style="122" hidden="1" customWidth="1"/>
    <col min="5890" max="5890" width="24.7265625" style="122" customWidth="1"/>
    <col min="5891" max="5891" width="11" style="122" customWidth="1"/>
    <col min="5892" max="5892" width="11.7265625" style="122" customWidth="1"/>
    <col min="5893" max="5898" width="11" style="122" customWidth="1"/>
    <col min="5899" max="6144" width="9.26953125" style="122"/>
    <col min="6145" max="6145" width="0" style="122" hidden="1" customWidth="1"/>
    <col min="6146" max="6146" width="24.7265625" style="122" customWidth="1"/>
    <col min="6147" max="6147" width="11" style="122" customWidth="1"/>
    <col min="6148" max="6148" width="11.7265625" style="122" customWidth="1"/>
    <col min="6149" max="6154" width="11" style="122" customWidth="1"/>
    <col min="6155" max="6400" width="9.26953125" style="122"/>
    <col min="6401" max="6401" width="0" style="122" hidden="1" customWidth="1"/>
    <col min="6402" max="6402" width="24.7265625" style="122" customWidth="1"/>
    <col min="6403" max="6403" width="11" style="122" customWidth="1"/>
    <col min="6404" max="6404" width="11.7265625" style="122" customWidth="1"/>
    <col min="6405" max="6410" width="11" style="122" customWidth="1"/>
    <col min="6411" max="6656" width="9.26953125" style="122"/>
    <col min="6657" max="6657" width="0" style="122" hidden="1" customWidth="1"/>
    <col min="6658" max="6658" width="24.7265625" style="122" customWidth="1"/>
    <col min="6659" max="6659" width="11" style="122" customWidth="1"/>
    <col min="6660" max="6660" width="11.7265625" style="122" customWidth="1"/>
    <col min="6661" max="6666" width="11" style="122" customWidth="1"/>
    <col min="6667" max="6912" width="9.26953125" style="122"/>
    <col min="6913" max="6913" width="0" style="122" hidden="1" customWidth="1"/>
    <col min="6914" max="6914" width="24.7265625" style="122" customWidth="1"/>
    <col min="6915" max="6915" width="11" style="122" customWidth="1"/>
    <col min="6916" max="6916" width="11.7265625" style="122" customWidth="1"/>
    <col min="6917" max="6922" width="11" style="122" customWidth="1"/>
    <col min="6923" max="7168" width="9.26953125" style="122"/>
    <col min="7169" max="7169" width="0" style="122" hidden="1" customWidth="1"/>
    <col min="7170" max="7170" width="24.7265625" style="122" customWidth="1"/>
    <col min="7171" max="7171" width="11" style="122" customWidth="1"/>
    <col min="7172" max="7172" width="11.7265625" style="122" customWidth="1"/>
    <col min="7173" max="7178" width="11" style="122" customWidth="1"/>
    <col min="7179" max="7424" width="9.26953125" style="122"/>
    <col min="7425" max="7425" width="0" style="122" hidden="1" customWidth="1"/>
    <col min="7426" max="7426" width="24.7265625" style="122" customWidth="1"/>
    <col min="7427" max="7427" width="11" style="122" customWidth="1"/>
    <col min="7428" max="7428" width="11.7265625" style="122" customWidth="1"/>
    <col min="7429" max="7434" width="11" style="122" customWidth="1"/>
    <col min="7435" max="7680" width="9.26953125" style="122"/>
    <col min="7681" max="7681" width="0" style="122" hidden="1" customWidth="1"/>
    <col min="7682" max="7682" width="24.7265625" style="122" customWidth="1"/>
    <col min="7683" max="7683" width="11" style="122" customWidth="1"/>
    <col min="7684" max="7684" width="11.7265625" style="122" customWidth="1"/>
    <col min="7685" max="7690" width="11" style="122" customWidth="1"/>
    <col min="7691" max="7936" width="9.26953125" style="122"/>
    <col min="7937" max="7937" width="0" style="122" hidden="1" customWidth="1"/>
    <col min="7938" max="7938" width="24.7265625" style="122" customWidth="1"/>
    <col min="7939" max="7939" width="11" style="122" customWidth="1"/>
    <col min="7940" max="7940" width="11.7265625" style="122" customWidth="1"/>
    <col min="7941" max="7946" width="11" style="122" customWidth="1"/>
    <col min="7947" max="8192" width="9.26953125" style="122"/>
    <col min="8193" max="8193" width="0" style="122" hidden="1" customWidth="1"/>
    <col min="8194" max="8194" width="24.7265625" style="122" customWidth="1"/>
    <col min="8195" max="8195" width="11" style="122" customWidth="1"/>
    <col min="8196" max="8196" width="11.7265625" style="122" customWidth="1"/>
    <col min="8197" max="8202" width="11" style="122" customWidth="1"/>
    <col min="8203" max="8448" width="9.26953125" style="122"/>
    <col min="8449" max="8449" width="0" style="122" hidden="1" customWidth="1"/>
    <col min="8450" max="8450" width="24.7265625" style="122" customWidth="1"/>
    <col min="8451" max="8451" width="11" style="122" customWidth="1"/>
    <col min="8452" max="8452" width="11.7265625" style="122" customWidth="1"/>
    <col min="8453" max="8458" width="11" style="122" customWidth="1"/>
    <col min="8459" max="8704" width="9.26953125" style="122"/>
    <col min="8705" max="8705" width="0" style="122" hidden="1" customWidth="1"/>
    <col min="8706" max="8706" width="24.7265625" style="122" customWidth="1"/>
    <col min="8707" max="8707" width="11" style="122" customWidth="1"/>
    <col min="8708" max="8708" width="11.7265625" style="122" customWidth="1"/>
    <col min="8709" max="8714" width="11" style="122" customWidth="1"/>
    <col min="8715" max="8960" width="9.26953125" style="122"/>
    <col min="8961" max="8961" width="0" style="122" hidden="1" customWidth="1"/>
    <col min="8962" max="8962" width="24.7265625" style="122" customWidth="1"/>
    <col min="8963" max="8963" width="11" style="122" customWidth="1"/>
    <col min="8964" max="8964" width="11.7265625" style="122" customWidth="1"/>
    <col min="8965" max="8970" width="11" style="122" customWidth="1"/>
    <col min="8971" max="9216" width="9.26953125" style="122"/>
    <col min="9217" max="9217" width="0" style="122" hidden="1" customWidth="1"/>
    <col min="9218" max="9218" width="24.7265625" style="122" customWidth="1"/>
    <col min="9219" max="9219" width="11" style="122" customWidth="1"/>
    <col min="9220" max="9220" width="11.7265625" style="122" customWidth="1"/>
    <col min="9221" max="9226" width="11" style="122" customWidth="1"/>
    <col min="9227" max="9472" width="9.26953125" style="122"/>
    <col min="9473" max="9473" width="0" style="122" hidden="1" customWidth="1"/>
    <col min="9474" max="9474" width="24.7265625" style="122" customWidth="1"/>
    <col min="9475" max="9475" width="11" style="122" customWidth="1"/>
    <col min="9476" max="9476" width="11.7265625" style="122" customWidth="1"/>
    <col min="9477" max="9482" width="11" style="122" customWidth="1"/>
    <col min="9483" max="9728" width="9.26953125" style="122"/>
    <col min="9729" max="9729" width="0" style="122" hidden="1" customWidth="1"/>
    <col min="9730" max="9730" width="24.7265625" style="122" customWidth="1"/>
    <col min="9731" max="9731" width="11" style="122" customWidth="1"/>
    <col min="9732" max="9732" width="11.7265625" style="122" customWidth="1"/>
    <col min="9733" max="9738" width="11" style="122" customWidth="1"/>
    <col min="9739" max="9984" width="9.26953125" style="122"/>
    <col min="9985" max="9985" width="0" style="122" hidden="1" customWidth="1"/>
    <col min="9986" max="9986" width="24.7265625" style="122" customWidth="1"/>
    <col min="9987" max="9987" width="11" style="122" customWidth="1"/>
    <col min="9988" max="9988" width="11.7265625" style="122" customWidth="1"/>
    <col min="9989" max="9994" width="11" style="122" customWidth="1"/>
    <col min="9995" max="10240" width="9.26953125" style="122"/>
    <col min="10241" max="10241" width="0" style="122" hidden="1" customWidth="1"/>
    <col min="10242" max="10242" width="24.7265625" style="122" customWidth="1"/>
    <col min="10243" max="10243" width="11" style="122" customWidth="1"/>
    <col min="10244" max="10244" width="11.7265625" style="122" customWidth="1"/>
    <col min="10245" max="10250" width="11" style="122" customWidth="1"/>
    <col min="10251" max="10496" width="9.26953125" style="122"/>
    <col min="10497" max="10497" width="0" style="122" hidden="1" customWidth="1"/>
    <col min="10498" max="10498" width="24.7265625" style="122" customWidth="1"/>
    <col min="10499" max="10499" width="11" style="122" customWidth="1"/>
    <col min="10500" max="10500" width="11.7265625" style="122" customWidth="1"/>
    <col min="10501" max="10506" width="11" style="122" customWidth="1"/>
    <col min="10507" max="10752" width="9.26953125" style="122"/>
    <col min="10753" max="10753" width="0" style="122" hidden="1" customWidth="1"/>
    <col min="10754" max="10754" width="24.7265625" style="122" customWidth="1"/>
    <col min="10755" max="10755" width="11" style="122" customWidth="1"/>
    <col min="10756" max="10756" width="11.7265625" style="122" customWidth="1"/>
    <col min="10757" max="10762" width="11" style="122" customWidth="1"/>
    <col min="10763" max="11008" width="9.26953125" style="122"/>
    <col min="11009" max="11009" width="0" style="122" hidden="1" customWidth="1"/>
    <col min="11010" max="11010" width="24.7265625" style="122" customWidth="1"/>
    <col min="11011" max="11011" width="11" style="122" customWidth="1"/>
    <col min="11012" max="11012" width="11.7265625" style="122" customWidth="1"/>
    <col min="11013" max="11018" width="11" style="122" customWidth="1"/>
    <col min="11019" max="11264" width="9.26953125" style="122"/>
    <col min="11265" max="11265" width="0" style="122" hidden="1" customWidth="1"/>
    <col min="11266" max="11266" width="24.7265625" style="122" customWidth="1"/>
    <col min="11267" max="11267" width="11" style="122" customWidth="1"/>
    <col min="11268" max="11268" width="11.7265625" style="122" customWidth="1"/>
    <col min="11269" max="11274" width="11" style="122" customWidth="1"/>
    <col min="11275" max="11520" width="9.26953125" style="122"/>
    <col min="11521" max="11521" width="0" style="122" hidden="1" customWidth="1"/>
    <col min="11522" max="11522" width="24.7265625" style="122" customWidth="1"/>
    <col min="11523" max="11523" width="11" style="122" customWidth="1"/>
    <col min="11524" max="11524" width="11.7265625" style="122" customWidth="1"/>
    <col min="11525" max="11530" width="11" style="122" customWidth="1"/>
    <col min="11531" max="11776" width="9.26953125" style="122"/>
    <col min="11777" max="11777" width="0" style="122" hidden="1" customWidth="1"/>
    <col min="11778" max="11778" width="24.7265625" style="122" customWidth="1"/>
    <col min="11779" max="11779" width="11" style="122" customWidth="1"/>
    <col min="11780" max="11780" width="11.7265625" style="122" customWidth="1"/>
    <col min="11781" max="11786" width="11" style="122" customWidth="1"/>
    <col min="11787" max="12032" width="9.26953125" style="122"/>
    <col min="12033" max="12033" width="0" style="122" hidden="1" customWidth="1"/>
    <col min="12034" max="12034" width="24.7265625" style="122" customWidth="1"/>
    <col min="12035" max="12035" width="11" style="122" customWidth="1"/>
    <col min="12036" max="12036" width="11.7265625" style="122" customWidth="1"/>
    <col min="12037" max="12042" width="11" style="122" customWidth="1"/>
    <col min="12043" max="12288" width="9.26953125" style="122"/>
    <col min="12289" max="12289" width="0" style="122" hidden="1" customWidth="1"/>
    <col min="12290" max="12290" width="24.7265625" style="122" customWidth="1"/>
    <col min="12291" max="12291" width="11" style="122" customWidth="1"/>
    <col min="12292" max="12292" width="11.7265625" style="122" customWidth="1"/>
    <col min="12293" max="12298" width="11" style="122" customWidth="1"/>
    <col min="12299" max="12544" width="9.26953125" style="122"/>
    <col min="12545" max="12545" width="0" style="122" hidden="1" customWidth="1"/>
    <col min="12546" max="12546" width="24.7265625" style="122" customWidth="1"/>
    <col min="12547" max="12547" width="11" style="122" customWidth="1"/>
    <col min="12548" max="12548" width="11.7265625" style="122" customWidth="1"/>
    <col min="12549" max="12554" width="11" style="122" customWidth="1"/>
    <col min="12555" max="12800" width="9.26953125" style="122"/>
    <col min="12801" max="12801" width="0" style="122" hidden="1" customWidth="1"/>
    <col min="12802" max="12802" width="24.7265625" style="122" customWidth="1"/>
    <col min="12803" max="12803" width="11" style="122" customWidth="1"/>
    <col min="12804" max="12804" width="11.7265625" style="122" customWidth="1"/>
    <col min="12805" max="12810" width="11" style="122" customWidth="1"/>
    <col min="12811" max="13056" width="9.26953125" style="122"/>
    <col min="13057" max="13057" width="0" style="122" hidden="1" customWidth="1"/>
    <col min="13058" max="13058" width="24.7265625" style="122" customWidth="1"/>
    <col min="13059" max="13059" width="11" style="122" customWidth="1"/>
    <col min="13060" max="13060" width="11.7265625" style="122" customWidth="1"/>
    <col min="13061" max="13066" width="11" style="122" customWidth="1"/>
    <col min="13067" max="13312" width="9.26953125" style="122"/>
    <col min="13313" max="13313" width="0" style="122" hidden="1" customWidth="1"/>
    <col min="13314" max="13314" width="24.7265625" style="122" customWidth="1"/>
    <col min="13315" max="13315" width="11" style="122" customWidth="1"/>
    <col min="13316" max="13316" width="11.7265625" style="122" customWidth="1"/>
    <col min="13317" max="13322" width="11" style="122" customWidth="1"/>
    <col min="13323" max="13568" width="9.26953125" style="122"/>
    <col min="13569" max="13569" width="0" style="122" hidden="1" customWidth="1"/>
    <col min="13570" max="13570" width="24.7265625" style="122" customWidth="1"/>
    <col min="13571" max="13571" width="11" style="122" customWidth="1"/>
    <col min="13572" max="13572" width="11.7265625" style="122" customWidth="1"/>
    <col min="13573" max="13578" width="11" style="122" customWidth="1"/>
    <col min="13579" max="13824" width="9.26953125" style="122"/>
    <col min="13825" max="13825" width="0" style="122" hidden="1" customWidth="1"/>
    <col min="13826" max="13826" width="24.7265625" style="122" customWidth="1"/>
    <col min="13827" max="13827" width="11" style="122" customWidth="1"/>
    <col min="13828" max="13828" width="11.7265625" style="122" customWidth="1"/>
    <col min="13829" max="13834" width="11" style="122" customWidth="1"/>
    <col min="13835" max="14080" width="9.26953125" style="122"/>
    <col min="14081" max="14081" width="0" style="122" hidden="1" customWidth="1"/>
    <col min="14082" max="14082" width="24.7265625" style="122" customWidth="1"/>
    <col min="14083" max="14083" width="11" style="122" customWidth="1"/>
    <col min="14084" max="14084" width="11.7265625" style="122" customWidth="1"/>
    <col min="14085" max="14090" width="11" style="122" customWidth="1"/>
    <col min="14091" max="14336" width="9.26953125" style="122"/>
    <col min="14337" max="14337" width="0" style="122" hidden="1" customWidth="1"/>
    <col min="14338" max="14338" width="24.7265625" style="122" customWidth="1"/>
    <col min="14339" max="14339" width="11" style="122" customWidth="1"/>
    <col min="14340" max="14340" width="11.7265625" style="122" customWidth="1"/>
    <col min="14341" max="14346" width="11" style="122" customWidth="1"/>
    <col min="14347" max="14592" width="9.26953125" style="122"/>
    <col min="14593" max="14593" width="0" style="122" hidden="1" customWidth="1"/>
    <col min="14594" max="14594" width="24.7265625" style="122" customWidth="1"/>
    <col min="14595" max="14595" width="11" style="122" customWidth="1"/>
    <col min="14596" max="14596" width="11.7265625" style="122" customWidth="1"/>
    <col min="14597" max="14602" width="11" style="122" customWidth="1"/>
    <col min="14603" max="14848" width="9.26953125" style="122"/>
    <col min="14849" max="14849" width="0" style="122" hidden="1" customWidth="1"/>
    <col min="14850" max="14850" width="24.7265625" style="122" customWidth="1"/>
    <col min="14851" max="14851" width="11" style="122" customWidth="1"/>
    <col min="14852" max="14852" width="11.7265625" style="122" customWidth="1"/>
    <col min="14853" max="14858" width="11" style="122" customWidth="1"/>
    <col min="14859" max="15104" width="9.26953125" style="122"/>
    <col min="15105" max="15105" width="0" style="122" hidden="1" customWidth="1"/>
    <col min="15106" max="15106" width="24.7265625" style="122" customWidth="1"/>
    <col min="15107" max="15107" width="11" style="122" customWidth="1"/>
    <col min="15108" max="15108" width="11.7265625" style="122" customWidth="1"/>
    <col min="15109" max="15114" width="11" style="122" customWidth="1"/>
    <col min="15115" max="15360" width="9.26953125" style="122"/>
    <col min="15361" max="15361" width="0" style="122" hidden="1" customWidth="1"/>
    <col min="15362" max="15362" width="24.7265625" style="122" customWidth="1"/>
    <col min="15363" max="15363" width="11" style="122" customWidth="1"/>
    <col min="15364" max="15364" width="11.7265625" style="122" customWidth="1"/>
    <col min="15365" max="15370" width="11" style="122" customWidth="1"/>
    <col min="15371" max="15616" width="9.26953125" style="122"/>
    <col min="15617" max="15617" width="0" style="122" hidden="1" customWidth="1"/>
    <col min="15618" max="15618" width="24.7265625" style="122" customWidth="1"/>
    <col min="15619" max="15619" width="11" style="122" customWidth="1"/>
    <col min="15620" max="15620" width="11.7265625" style="122" customWidth="1"/>
    <col min="15621" max="15626" width="11" style="122" customWidth="1"/>
    <col min="15627" max="15872" width="9.26953125" style="122"/>
    <col min="15873" max="15873" width="0" style="122" hidden="1" customWidth="1"/>
    <col min="15874" max="15874" width="24.7265625" style="122" customWidth="1"/>
    <col min="15875" max="15875" width="11" style="122" customWidth="1"/>
    <col min="15876" max="15876" width="11.7265625" style="122" customWidth="1"/>
    <col min="15877" max="15882" width="11" style="122" customWidth="1"/>
    <col min="15883" max="16128" width="9.26953125" style="122"/>
    <col min="16129" max="16129" width="0" style="122" hidden="1" customWidth="1"/>
    <col min="16130" max="16130" width="24.7265625" style="122" customWidth="1"/>
    <col min="16131" max="16131" width="11" style="122" customWidth="1"/>
    <col min="16132" max="16132" width="11.7265625" style="122" customWidth="1"/>
    <col min="16133" max="16138" width="11" style="122" customWidth="1"/>
    <col min="16139" max="16384" width="9.26953125" style="122"/>
  </cols>
  <sheetData>
    <row r="1" spans="1:12" ht="48" customHeight="1" x14ac:dyDescent="0.3">
      <c r="B1" s="286" t="s">
        <v>89</v>
      </c>
      <c r="C1" s="286"/>
      <c r="D1" s="286"/>
      <c r="E1" s="286"/>
      <c r="F1" s="286"/>
      <c r="G1" s="286"/>
      <c r="H1" s="286"/>
      <c r="I1" s="286"/>
      <c r="J1" s="286"/>
    </row>
    <row r="2" spans="1:12" ht="12.75" customHeight="1" x14ac:dyDescent="0.3">
      <c r="B2" s="287"/>
      <c r="C2" s="311" t="s">
        <v>1</v>
      </c>
      <c r="D2" s="311"/>
      <c r="E2" s="294" t="s">
        <v>2</v>
      </c>
      <c r="F2" s="294"/>
      <c r="G2" s="294"/>
      <c r="H2" s="294"/>
      <c r="I2" s="295" t="s">
        <v>5</v>
      </c>
      <c r="J2" s="295"/>
    </row>
    <row r="3" spans="1:12" ht="30" customHeight="1" x14ac:dyDescent="0.3">
      <c r="A3" s="4"/>
      <c r="B3" s="287"/>
      <c r="C3" s="296"/>
      <c r="D3" s="296"/>
      <c r="E3" s="142" t="s">
        <v>3</v>
      </c>
      <c r="F3" s="142"/>
      <c r="G3" s="142" t="s">
        <v>4</v>
      </c>
      <c r="H3" s="142"/>
      <c r="I3" s="296"/>
      <c r="J3" s="296"/>
    </row>
    <row r="4" spans="1:12" ht="45.75" customHeight="1" x14ac:dyDescent="0.3">
      <c r="B4" s="293"/>
      <c r="C4" s="143" t="s">
        <v>59</v>
      </c>
      <c r="D4" s="144" t="s">
        <v>60</v>
      </c>
      <c r="E4" s="143" t="s">
        <v>59</v>
      </c>
      <c r="F4" s="144" t="s">
        <v>60</v>
      </c>
      <c r="G4" s="143" t="s">
        <v>59</v>
      </c>
      <c r="H4" s="144" t="s">
        <v>60</v>
      </c>
      <c r="I4" s="143" t="s">
        <v>59</v>
      </c>
      <c r="J4" s="144" t="s">
        <v>60</v>
      </c>
    </row>
    <row r="5" spans="1:12" ht="30" customHeight="1" x14ac:dyDescent="0.3">
      <c r="B5" s="127" t="s">
        <v>6</v>
      </c>
      <c r="C5" s="133">
        <v>733</v>
      </c>
      <c r="D5" s="133">
        <v>364</v>
      </c>
      <c r="E5" s="133">
        <v>129</v>
      </c>
      <c r="F5" s="133">
        <v>77</v>
      </c>
      <c r="G5" s="133">
        <v>27</v>
      </c>
      <c r="H5" s="133">
        <v>8</v>
      </c>
      <c r="I5" s="133">
        <v>1</v>
      </c>
      <c r="J5" s="133">
        <v>0</v>
      </c>
      <c r="L5" s="145"/>
    </row>
    <row r="6" spans="1:12" s="127" customFormat="1" ht="25.5" customHeight="1" x14ac:dyDescent="0.3">
      <c r="A6" s="9"/>
      <c r="B6" s="127" t="s">
        <v>7</v>
      </c>
      <c r="C6" s="146">
        <v>515</v>
      </c>
      <c r="D6" s="146">
        <v>283</v>
      </c>
      <c r="E6" s="146">
        <v>85</v>
      </c>
      <c r="F6" s="146">
        <v>40</v>
      </c>
      <c r="G6" s="146">
        <v>12</v>
      </c>
      <c r="H6" s="146">
        <v>3</v>
      </c>
      <c r="I6" s="146">
        <v>0</v>
      </c>
      <c r="J6" s="146">
        <v>0</v>
      </c>
    </row>
    <row r="7" spans="1:12" ht="12.75" customHeight="1" x14ac:dyDescent="0.3">
      <c r="A7" s="12">
        <v>51</v>
      </c>
      <c r="B7" s="122" t="s">
        <v>8</v>
      </c>
      <c r="C7" s="147">
        <v>10</v>
      </c>
      <c r="D7" s="147">
        <v>5</v>
      </c>
      <c r="E7" s="147">
        <v>1</v>
      </c>
      <c r="F7" s="147">
        <v>0</v>
      </c>
      <c r="G7" s="147">
        <v>0</v>
      </c>
      <c r="H7" s="148">
        <v>0</v>
      </c>
      <c r="I7" s="148">
        <v>0</v>
      </c>
      <c r="J7" s="148">
        <v>0</v>
      </c>
    </row>
    <row r="8" spans="1:12" ht="12.75" customHeight="1" x14ac:dyDescent="0.3">
      <c r="A8" s="12">
        <v>52</v>
      </c>
      <c r="B8" s="122" t="s">
        <v>9</v>
      </c>
      <c r="C8" s="147">
        <v>13</v>
      </c>
      <c r="D8" s="147">
        <v>5</v>
      </c>
      <c r="E8" s="147">
        <v>3</v>
      </c>
      <c r="F8" s="147">
        <v>0</v>
      </c>
      <c r="G8" s="147">
        <v>0</v>
      </c>
      <c r="H8" s="148">
        <v>0</v>
      </c>
      <c r="I8" s="148">
        <v>0</v>
      </c>
      <c r="J8" s="148">
        <v>0</v>
      </c>
    </row>
    <row r="9" spans="1:12" ht="12.75" customHeight="1" x14ac:dyDescent="0.3">
      <c r="A9" s="12">
        <v>86</v>
      </c>
      <c r="B9" s="122" t="s">
        <v>10</v>
      </c>
      <c r="C9" s="148">
        <v>15</v>
      </c>
      <c r="D9" s="148">
        <v>14</v>
      </c>
      <c r="E9" s="148">
        <v>3</v>
      </c>
      <c r="F9" s="148">
        <v>0</v>
      </c>
      <c r="G9" s="148">
        <v>0</v>
      </c>
      <c r="H9" s="148">
        <v>0</v>
      </c>
      <c r="I9" s="148">
        <v>0</v>
      </c>
      <c r="J9" s="148">
        <v>0</v>
      </c>
    </row>
    <row r="10" spans="1:12" ht="12.75" customHeight="1" x14ac:dyDescent="0.3">
      <c r="A10" s="12">
        <v>53</v>
      </c>
      <c r="B10" s="122" t="s">
        <v>11</v>
      </c>
      <c r="C10" s="147">
        <v>3</v>
      </c>
      <c r="D10" s="147">
        <v>3</v>
      </c>
      <c r="E10" s="147">
        <v>0</v>
      </c>
      <c r="F10" s="147">
        <v>0</v>
      </c>
      <c r="G10" s="147">
        <v>0</v>
      </c>
      <c r="H10" s="148">
        <v>0</v>
      </c>
      <c r="I10" s="148">
        <v>0</v>
      </c>
      <c r="J10" s="148">
        <v>0</v>
      </c>
    </row>
    <row r="11" spans="1:12" ht="12.75" customHeight="1" x14ac:dyDescent="0.3">
      <c r="A11" s="12">
        <v>54</v>
      </c>
      <c r="B11" s="122" t="s">
        <v>12</v>
      </c>
      <c r="C11" s="147">
        <v>29</v>
      </c>
      <c r="D11" s="147">
        <v>15</v>
      </c>
      <c r="E11" s="147">
        <v>3</v>
      </c>
      <c r="F11" s="147">
        <v>0</v>
      </c>
      <c r="G11" s="147">
        <v>0</v>
      </c>
      <c r="H11" s="148">
        <v>0</v>
      </c>
      <c r="I11" s="148">
        <v>0</v>
      </c>
      <c r="J11" s="148">
        <v>0</v>
      </c>
    </row>
    <row r="12" spans="1:12" ht="12.75" customHeight="1" x14ac:dyDescent="0.3">
      <c r="A12" s="12">
        <v>55</v>
      </c>
      <c r="B12" s="122" t="s">
        <v>13</v>
      </c>
      <c r="C12" s="147">
        <v>8</v>
      </c>
      <c r="D12" s="147">
        <v>2</v>
      </c>
      <c r="E12" s="147">
        <v>5</v>
      </c>
      <c r="F12" s="147">
        <v>0</v>
      </c>
      <c r="G12" s="147">
        <v>0</v>
      </c>
      <c r="H12" s="148">
        <v>0</v>
      </c>
      <c r="I12" s="148">
        <v>0</v>
      </c>
      <c r="J12" s="148">
        <v>0</v>
      </c>
    </row>
    <row r="13" spans="1:12" ht="12.75" customHeight="1" x14ac:dyDescent="0.3">
      <c r="A13" s="12">
        <v>56</v>
      </c>
      <c r="B13" s="122" t="s">
        <v>14</v>
      </c>
      <c r="C13" s="147">
        <v>5</v>
      </c>
      <c r="D13" s="147">
        <v>0</v>
      </c>
      <c r="E13" s="147">
        <v>0</v>
      </c>
      <c r="F13" s="147">
        <v>0</v>
      </c>
      <c r="G13" s="147">
        <v>0</v>
      </c>
      <c r="H13" s="148">
        <v>0</v>
      </c>
      <c r="I13" s="148">
        <v>0</v>
      </c>
      <c r="J13" s="148">
        <v>0</v>
      </c>
    </row>
    <row r="14" spans="1:12" ht="12.75" customHeight="1" x14ac:dyDescent="0.3">
      <c r="A14" s="12">
        <v>57</v>
      </c>
      <c r="B14" s="122" t="s">
        <v>15</v>
      </c>
      <c r="C14" s="147">
        <v>6</v>
      </c>
      <c r="D14" s="147">
        <v>18</v>
      </c>
      <c r="E14" s="147">
        <v>2</v>
      </c>
      <c r="F14" s="147">
        <v>5</v>
      </c>
      <c r="G14" s="147">
        <v>0</v>
      </c>
      <c r="H14" s="148">
        <v>0</v>
      </c>
      <c r="I14" s="148">
        <v>0</v>
      </c>
      <c r="J14" s="148">
        <v>0</v>
      </c>
    </row>
    <row r="15" spans="1:12" ht="12.75" customHeight="1" x14ac:dyDescent="0.3">
      <c r="A15" s="12">
        <v>59</v>
      </c>
      <c r="B15" s="122" t="s">
        <v>16</v>
      </c>
      <c r="C15" s="147">
        <v>4</v>
      </c>
      <c r="D15" s="147">
        <v>8</v>
      </c>
      <c r="E15" s="147">
        <v>1</v>
      </c>
      <c r="F15" s="147">
        <v>2</v>
      </c>
      <c r="G15" s="147">
        <v>0</v>
      </c>
      <c r="H15" s="148">
        <v>0</v>
      </c>
      <c r="I15" s="148">
        <v>0</v>
      </c>
      <c r="J15" s="148">
        <v>0</v>
      </c>
    </row>
    <row r="16" spans="1:12" ht="12.75" customHeight="1" x14ac:dyDescent="0.3">
      <c r="A16" s="12">
        <v>60</v>
      </c>
      <c r="B16" s="122" t="s">
        <v>17</v>
      </c>
      <c r="C16" s="147">
        <v>3</v>
      </c>
      <c r="D16" s="147">
        <v>8</v>
      </c>
      <c r="E16" s="147">
        <v>0</v>
      </c>
      <c r="F16" s="147">
        <v>1</v>
      </c>
      <c r="G16" s="147">
        <v>0</v>
      </c>
      <c r="H16" s="148">
        <v>0</v>
      </c>
      <c r="I16" s="148">
        <v>0</v>
      </c>
      <c r="J16" s="148">
        <v>0</v>
      </c>
    </row>
    <row r="17" spans="1:10" ht="12.75" customHeight="1" x14ac:dyDescent="0.3">
      <c r="A17" s="12">
        <v>61</v>
      </c>
      <c r="B17" s="149" t="s">
        <v>18</v>
      </c>
      <c r="C17" s="147">
        <v>25</v>
      </c>
      <c r="D17" s="147">
        <v>8</v>
      </c>
      <c r="E17" s="147">
        <v>1</v>
      </c>
      <c r="F17" s="147">
        <v>1</v>
      </c>
      <c r="G17" s="147">
        <v>1</v>
      </c>
      <c r="H17" s="148">
        <v>0</v>
      </c>
      <c r="I17" s="148">
        <v>0</v>
      </c>
      <c r="J17" s="148">
        <v>0</v>
      </c>
    </row>
    <row r="18" spans="1:10" s="181" customFormat="1" ht="12.75" customHeight="1" x14ac:dyDescent="0.3">
      <c r="A18" s="12"/>
      <c r="B18" s="130" t="s">
        <v>122</v>
      </c>
      <c r="C18" s="163">
        <v>16</v>
      </c>
      <c r="D18" s="163">
        <v>21</v>
      </c>
      <c r="E18" s="163">
        <v>1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</row>
    <row r="19" spans="1:10" ht="12.75" customHeight="1" x14ac:dyDescent="0.3">
      <c r="A19" s="12">
        <v>58</v>
      </c>
      <c r="B19" s="122" t="s">
        <v>20</v>
      </c>
      <c r="C19" s="147">
        <v>5</v>
      </c>
      <c r="D19" s="147">
        <v>4</v>
      </c>
      <c r="E19" s="147">
        <v>3</v>
      </c>
      <c r="F19" s="147">
        <v>1</v>
      </c>
      <c r="G19" s="147">
        <v>0</v>
      </c>
      <c r="H19" s="148">
        <v>0</v>
      </c>
      <c r="I19" s="148">
        <v>0</v>
      </c>
      <c r="J19" s="148">
        <v>0</v>
      </c>
    </row>
    <row r="20" spans="1:10" ht="12.75" customHeight="1" x14ac:dyDescent="0.3">
      <c r="A20" s="12">
        <v>63</v>
      </c>
      <c r="B20" s="122" t="s">
        <v>21</v>
      </c>
      <c r="C20" s="147">
        <v>30</v>
      </c>
      <c r="D20" s="147">
        <v>15</v>
      </c>
      <c r="E20" s="147">
        <v>1</v>
      </c>
      <c r="F20" s="147">
        <v>2</v>
      </c>
      <c r="G20" s="147">
        <v>0</v>
      </c>
      <c r="H20" s="148">
        <v>0</v>
      </c>
      <c r="I20" s="148">
        <v>0</v>
      </c>
      <c r="J20" s="148">
        <v>0</v>
      </c>
    </row>
    <row r="21" spans="1:10" ht="12.75" customHeight="1" x14ac:dyDescent="0.3">
      <c r="A21" s="12">
        <v>64</v>
      </c>
      <c r="B21" s="122" t="s">
        <v>22</v>
      </c>
      <c r="C21" s="147">
        <v>41</v>
      </c>
      <c r="D21" s="147">
        <v>13</v>
      </c>
      <c r="E21" s="147">
        <v>7</v>
      </c>
      <c r="F21" s="147">
        <v>1</v>
      </c>
      <c r="G21" s="147">
        <v>2</v>
      </c>
      <c r="H21" s="148">
        <v>0</v>
      </c>
      <c r="I21" s="148">
        <v>0</v>
      </c>
      <c r="J21" s="148">
        <v>0</v>
      </c>
    </row>
    <row r="22" spans="1:10" ht="12.75" customHeight="1" x14ac:dyDescent="0.3">
      <c r="A22" s="12">
        <v>65</v>
      </c>
      <c r="B22" s="122" t="s">
        <v>23</v>
      </c>
      <c r="C22" s="147">
        <v>9</v>
      </c>
      <c r="D22" s="147">
        <v>10</v>
      </c>
      <c r="E22" s="147">
        <v>0</v>
      </c>
      <c r="F22" s="147">
        <v>0</v>
      </c>
      <c r="G22" s="147">
        <v>0</v>
      </c>
      <c r="H22" s="148">
        <v>0</v>
      </c>
      <c r="I22" s="148">
        <v>0</v>
      </c>
      <c r="J22" s="148">
        <v>0</v>
      </c>
    </row>
    <row r="23" spans="1:10" ht="12.75" customHeight="1" x14ac:dyDescent="0.3">
      <c r="A23" s="12">
        <v>67</v>
      </c>
      <c r="B23" s="122" t="s">
        <v>24</v>
      </c>
      <c r="C23" s="147">
        <v>14</v>
      </c>
      <c r="D23" s="147">
        <v>9</v>
      </c>
      <c r="E23" s="147">
        <v>2</v>
      </c>
      <c r="F23" s="147">
        <v>5</v>
      </c>
      <c r="G23" s="147">
        <v>0</v>
      </c>
      <c r="H23" s="148">
        <v>3</v>
      </c>
      <c r="I23" s="148">
        <v>0</v>
      </c>
      <c r="J23" s="148">
        <v>0</v>
      </c>
    </row>
    <row r="24" spans="1:10" ht="12.75" customHeight="1" x14ac:dyDescent="0.3">
      <c r="A24" s="12">
        <v>68</v>
      </c>
      <c r="B24" s="122" t="s">
        <v>25</v>
      </c>
      <c r="C24" s="147">
        <v>19</v>
      </c>
      <c r="D24" s="147">
        <v>15</v>
      </c>
      <c r="E24" s="147">
        <v>2</v>
      </c>
      <c r="F24" s="147">
        <v>3</v>
      </c>
      <c r="G24" s="147">
        <v>1</v>
      </c>
      <c r="H24" s="148">
        <v>0</v>
      </c>
      <c r="I24" s="148">
        <v>0</v>
      </c>
      <c r="J24" s="148">
        <v>0</v>
      </c>
    </row>
    <row r="25" spans="1:10" ht="12.75" customHeight="1" x14ac:dyDescent="0.3">
      <c r="A25" s="12">
        <v>69</v>
      </c>
      <c r="B25" s="122" t="s">
        <v>26</v>
      </c>
      <c r="C25" s="147">
        <v>14</v>
      </c>
      <c r="D25" s="147">
        <v>4</v>
      </c>
      <c r="E25" s="147">
        <v>0</v>
      </c>
      <c r="F25" s="147">
        <v>2</v>
      </c>
      <c r="G25" s="147">
        <v>1</v>
      </c>
      <c r="H25" s="148">
        <v>0</v>
      </c>
      <c r="I25" s="148">
        <v>0</v>
      </c>
      <c r="J25" s="148">
        <v>0</v>
      </c>
    </row>
    <row r="26" spans="1:10" ht="12.75" customHeight="1" x14ac:dyDescent="0.3">
      <c r="A26" s="12">
        <v>70</v>
      </c>
      <c r="B26" s="122" t="s">
        <v>27</v>
      </c>
      <c r="C26" s="147">
        <v>16</v>
      </c>
      <c r="D26" s="147">
        <v>5</v>
      </c>
      <c r="E26" s="147">
        <v>1</v>
      </c>
      <c r="F26" s="147">
        <v>0</v>
      </c>
      <c r="G26" s="147">
        <v>0</v>
      </c>
      <c r="H26" s="148">
        <v>0</v>
      </c>
      <c r="I26" s="148">
        <v>0</v>
      </c>
      <c r="J26" s="148">
        <v>0</v>
      </c>
    </row>
    <row r="27" spans="1:10" ht="12.75" customHeight="1" x14ac:dyDescent="0.3">
      <c r="A27" s="12">
        <v>71</v>
      </c>
      <c r="B27" s="150" t="s">
        <v>28</v>
      </c>
      <c r="C27" s="147">
        <v>4</v>
      </c>
      <c r="D27" s="147">
        <v>1</v>
      </c>
      <c r="E27" s="147">
        <v>0</v>
      </c>
      <c r="F27" s="147">
        <v>0</v>
      </c>
      <c r="G27" s="147">
        <v>0</v>
      </c>
      <c r="H27" s="148">
        <v>0</v>
      </c>
      <c r="I27" s="148">
        <v>0</v>
      </c>
      <c r="J27" s="148">
        <v>0</v>
      </c>
    </row>
    <row r="28" spans="1:10" ht="12.75" customHeight="1" x14ac:dyDescent="0.3">
      <c r="A28" s="12">
        <v>73</v>
      </c>
      <c r="B28" s="122" t="s">
        <v>29</v>
      </c>
      <c r="C28" s="151">
        <v>29</v>
      </c>
      <c r="D28" s="151">
        <v>9</v>
      </c>
      <c r="E28" s="151">
        <v>6</v>
      </c>
      <c r="F28" s="151">
        <v>3</v>
      </c>
      <c r="G28" s="151">
        <v>1</v>
      </c>
      <c r="H28" s="151">
        <v>0</v>
      </c>
      <c r="I28" s="151">
        <v>0</v>
      </c>
      <c r="J28" s="151">
        <v>0</v>
      </c>
    </row>
    <row r="29" spans="1:10" ht="12.75" customHeight="1" x14ac:dyDescent="0.3">
      <c r="A29" s="12">
        <v>74</v>
      </c>
      <c r="B29" s="122" t="s">
        <v>30</v>
      </c>
      <c r="C29" s="147">
        <v>13</v>
      </c>
      <c r="D29" s="147">
        <v>2</v>
      </c>
      <c r="E29" s="147">
        <v>3</v>
      </c>
      <c r="F29" s="147">
        <v>1</v>
      </c>
      <c r="G29" s="147">
        <v>0</v>
      </c>
      <c r="H29" s="148">
        <v>0</v>
      </c>
      <c r="I29" s="148">
        <v>0</v>
      </c>
      <c r="J29" s="148">
        <v>0</v>
      </c>
    </row>
    <row r="30" spans="1:10" ht="12.75" customHeight="1" x14ac:dyDescent="0.3">
      <c r="A30" s="12">
        <v>75</v>
      </c>
      <c r="B30" s="122" t="s">
        <v>31</v>
      </c>
      <c r="C30" s="147">
        <v>12</v>
      </c>
      <c r="D30" s="147">
        <v>1</v>
      </c>
      <c r="E30" s="147">
        <v>4</v>
      </c>
      <c r="F30" s="147">
        <v>0</v>
      </c>
      <c r="G30" s="147">
        <v>1</v>
      </c>
      <c r="H30" s="148">
        <v>0</v>
      </c>
      <c r="I30" s="148">
        <v>0</v>
      </c>
      <c r="J30" s="148">
        <v>0</v>
      </c>
    </row>
    <row r="31" spans="1:10" ht="12.75" customHeight="1" x14ac:dyDescent="0.3">
      <c r="A31" s="12">
        <v>76</v>
      </c>
      <c r="B31" s="122" t="s">
        <v>32</v>
      </c>
      <c r="C31" s="148">
        <v>6</v>
      </c>
      <c r="D31" s="148">
        <v>8</v>
      </c>
      <c r="E31" s="148">
        <v>2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</row>
    <row r="32" spans="1:10" ht="12.75" customHeight="1" x14ac:dyDescent="0.3">
      <c r="A32" s="12">
        <v>79</v>
      </c>
      <c r="B32" s="122" t="s">
        <v>33</v>
      </c>
      <c r="C32" s="148">
        <v>19</v>
      </c>
      <c r="D32" s="148">
        <v>27</v>
      </c>
      <c r="E32" s="148">
        <v>4</v>
      </c>
      <c r="F32" s="148">
        <v>4</v>
      </c>
      <c r="G32" s="148">
        <v>2</v>
      </c>
      <c r="H32" s="148">
        <v>0</v>
      </c>
      <c r="I32" s="148">
        <v>0</v>
      </c>
      <c r="J32" s="148">
        <v>0</v>
      </c>
    </row>
    <row r="33" spans="1:12" ht="12.75" customHeight="1" x14ac:dyDescent="0.3">
      <c r="A33" s="12">
        <v>80</v>
      </c>
      <c r="B33" s="122" t="s">
        <v>34</v>
      </c>
      <c r="C33" s="148">
        <v>15</v>
      </c>
      <c r="D33" s="148">
        <v>8</v>
      </c>
      <c r="E33" s="148">
        <v>2</v>
      </c>
      <c r="F33" s="148">
        <v>2</v>
      </c>
      <c r="G33" s="148">
        <v>0</v>
      </c>
      <c r="H33" s="148">
        <v>0</v>
      </c>
      <c r="I33" s="148">
        <v>0</v>
      </c>
      <c r="J33" s="148">
        <v>0</v>
      </c>
    </row>
    <row r="34" spans="1:12" ht="12.75" customHeight="1" x14ac:dyDescent="0.3">
      <c r="A34" s="12">
        <v>81</v>
      </c>
      <c r="B34" s="122" t="s">
        <v>35</v>
      </c>
      <c r="C34" s="148">
        <v>14</v>
      </c>
      <c r="D34" s="148">
        <v>8</v>
      </c>
      <c r="E34" s="148">
        <v>2</v>
      </c>
      <c r="F34" s="148">
        <v>2</v>
      </c>
      <c r="G34" s="148">
        <v>0</v>
      </c>
      <c r="H34" s="148">
        <v>0</v>
      </c>
      <c r="I34" s="148">
        <v>0</v>
      </c>
      <c r="J34" s="148">
        <v>0</v>
      </c>
    </row>
    <row r="35" spans="1:12" ht="12.75" customHeight="1" x14ac:dyDescent="0.3">
      <c r="A35" s="12">
        <v>83</v>
      </c>
      <c r="B35" s="122" t="s">
        <v>36</v>
      </c>
      <c r="C35" s="148">
        <v>10</v>
      </c>
      <c r="D35" s="148">
        <v>4</v>
      </c>
      <c r="E35" s="148">
        <v>2</v>
      </c>
      <c r="F35" s="148">
        <v>1</v>
      </c>
      <c r="G35" s="148">
        <v>0</v>
      </c>
      <c r="H35" s="148">
        <v>0</v>
      </c>
      <c r="I35" s="148">
        <v>0</v>
      </c>
      <c r="J35" s="148">
        <v>0</v>
      </c>
    </row>
    <row r="36" spans="1:12" ht="12.75" customHeight="1" x14ac:dyDescent="0.3">
      <c r="A36" s="12">
        <v>84</v>
      </c>
      <c r="B36" s="122" t="s">
        <v>37</v>
      </c>
      <c r="C36" s="148">
        <v>5</v>
      </c>
      <c r="D36" s="148">
        <v>4</v>
      </c>
      <c r="E36" s="148">
        <v>1</v>
      </c>
      <c r="F36" s="148">
        <v>1</v>
      </c>
      <c r="G36" s="148">
        <v>0</v>
      </c>
      <c r="H36" s="148">
        <v>0</v>
      </c>
      <c r="I36" s="148">
        <v>0</v>
      </c>
      <c r="J36" s="148">
        <v>0</v>
      </c>
    </row>
    <row r="37" spans="1:12" ht="12.75" customHeight="1" x14ac:dyDescent="0.3">
      <c r="A37" s="12">
        <v>85</v>
      </c>
      <c r="B37" s="122" t="s">
        <v>38</v>
      </c>
      <c r="C37" s="148">
        <v>27</v>
      </c>
      <c r="D37" s="148">
        <v>2</v>
      </c>
      <c r="E37" s="148">
        <v>8</v>
      </c>
      <c r="F37" s="148">
        <v>0</v>
      </c>
      <c r="G37" s="148">
        <v>1</v>
      </c>
      <c r="H37" s="148">
        <v>0</v>
      </c>
      <c r="I37" s="148">
        <v>0</v>
      </c>
      <c r="J37" s="148">
        <v>0</v>
      </c>
    </row>
    <row r="38" spans="1:12" ht="12.75" customHeight="1" x14ac:dyDescent="0.3">
      <c r="A38" s="12">
        <v>87</v>
      </c>
      <c r="B38" s="122" t="s">
        <v>39</v>
      </c>
      <c r="C38" s="148">
        <v>10</v>
      </c>
      <c r="D38" s="148">
        <v>2</v>
      </c>
      <c r="E38" s="148">
        <v>1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</row>
    <row r="39" spans="1:12" ht="12.75" customHeight="1" x14ac:dyDescent="0.3">
      <c r="A39" s="12">
        <v>90</v>
      </c>
      <c r="B39" s="122" t="s">
        <v>40</v>
      </c>
      <c r="C39" s="148">
        <v>11</v>
      </c>
      <c r="D39" s="148">
        <v>5</v>
      </c>
      <c r="E39" s="148">
        <v>2</v>
      </c>
      <c r="F39" s="148">
        <v>1</v>
      </c>
      <c r="G39" s="148">
        <v>0</v>
      </c>
      <c r="H39" s="148">
        <v>0</v>
      </c>
      <c r="I39" s="148">
        <v>0</v>
      </c>
      <c r="J39" s="148">
        <v>0</v>
      </c>
    </row>
    <row r="40" spans="1:12" ht="12.75" customHeight="1" x14ac:dyDescent="0.3">
      <c r="A40" s="12">
        <v>91</v>
      </c>
      <c r="B40" s="122" t="s">
        <v>41</v>
      </c>
      <c r="C40" s="148">
        <v>15</v>
      </c>
      <c r="D40" s="148">
        <v>4</v>
      </c>
      <c r="E40" s="148">
        <v>6</v>
      </c>
      <c r="F40" s="148">
        <v>1</v>
      </c>
      <c r="G40" s="148">
        <v>0</v>
      </c>
      <c r="H40" s="148">
        <v>0</v>
      </c>
      <c r="I40" s="148">
        <v>0</v>
      </c>
      <c r="J40" s="148">
        <v>0</v>
      </c>
      <c r="K40" s="127"/>
    </row>
    <row r="41" spans="1:12" ht="12.75" customHeight="1" x14ac:dyDescent="0.3">
      <c r="A41" s="12">
        <v>92</v>
      </c>
      <c r="B41" s="122" t="s">
        <v>42</v>
      </c>
      <c r="C41" s="148">
        <v>20</v>
      </c>
      <c r="D41" s="148">
        <v>8</v>
      </c>
      <c r="E41" s="148">
        <v>4</v>
      </c>
      <c r="F41" s="148">
        <v>1</v>
      </c>
      <c r="G41" s="148">
        <v>0</v>
      </c>
      <c r="H41" s="148">
        <v>0</v>
      </c>
      <c r="I41" s="148">
        <v>0</v>
      </c>
      <c r="J41" s="148">
        <v>0</v>
      </c>
    </row>
    <row r="42" spans="1:12" ht="12.75" customHeight="1" x14ac:dyDescent="0.3">
      <c r="A42" s="12">
        <v>94</v>
      </c>
      <c r="B42" s="122" t="s">
        <v>43</v>
      </c>
      <c r="C42" s="148">
        <v>11</v>
      </c>
      <c r="D42" s="148">
        <v>4</v>
      </c>
      <c r="E42" s="148">
        <v>1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</row>
    <row r="43" spans="1:12" ht="12.75" customHeight="1" x14ac:dyDescent="0.3">
      <c r="A43" s="12">
        <v>96</v>
      </c>
      <c r="B43" s="122" t="s">
        <v>44</v>
      </c>
      <c r="C43" s="148">
        <v>9</v>
      </c>
      <c r="D43" s="148">
        <v>4</v>
      </c>
      <c r="E43" s="148">
        <v>1</v>
      </c>
      <c r="F43" s="148">
        <v>0</v>
      </c>
      <c r="G43" s="148">
        <v>2</v>
      </c>
      <c r="H43" s="148">
        <v>0</v>
      </c>
      <c r="I43" s="148">
        <v>0</v>
      </c>
      <c r="J43" s="148">
        <v>0</v>
      </c>
      <c r="L43" s="127"/>
    </row>
    <row r="44" spans="1:12" ht="12.75" customHeight="1" x14ac:dyDescent="0.3">
      <c r="A44" s="12">
        <v>72</v>
      </c>
      <c r="B44" s="150" t="s">
        <v>46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8">
        <v>0</v>
      </c>
      <c r="I44" s="148">
        <v>0</v>
      </c>
      <c r="J44" s="148">
        <v>0</v>
      </c>
    </row>
    <row r="45" spans="1:12" s="127" customFormat="1" ht="25.5" customHeight="1" x14ac:dyDescent="0.3">
      <c r="B45" s="127" t="s">
        <v>47</v>
      </c>
      <c r="C45" s="153">
        <v>218</v>
      </c>
      <c r="D45" s="153">
        <v>81</v>
      </c>
      <c r="E45" s="153">
        <v>44</v>
      </c>
      <c r="F45" s="153">
        <v>37</v>
      </c>
      <c r="G45" s="153">
        <v>15</v>
      </c>
      <c r="H45" s="153">
        <v>5</v>
      </c>
      <c r="I45" s="153">
        <v>1</v>
      </c>
      <c r="J45" s="153">
        <v>0</v>
      </c>
    </row>
    <row r="46" spans="1:12" ht="12.75" customHeight="1" x14ac:dyDescent="0.3">
      <c r="A46" s="12">
        <v>66</v>
      </c>
      <c r="B46" s="122" t="s">
        <v>48</v>
      </c>
      <c r="C46" s="147">
        <v>38</v>
      </c>
      <c r="D46" s="147">
        <v>7</v>
      </c>
      <c r="E46" s="147">
        <v>3</v>
      </c>
      <c r="F46" s="147">
        <v>9</v>
      </c>
      <c r="G46" s="147">
        <v>4</v>
      </c>
      <c r="H46" s="148">
        <v>4</v>
      </c>
      <c r="I46" s="148">
        <v>1</v>
      </c>
      <c r="J46" s="148">
        <v>0</v>
      </c>
    </row>
    <row r="47" spans="1:12" ht="12.75" customHeight="1" x14ac:dyDescent="0.3">
      <c r="A47" s="12">
        <v>78</v>
      </c>
      <c r="B47" s="122" t="s">
        <v>49</v>
      </c>
      <c r="C47" s="147">
        <v>14</v>
      </c>
      <c r="D47" s="147">
        <v>1</v>
      </c>
      <c r="E47" s="147">
        <v>2</v>
      </c>
      <c r="F47" s="147">
        <v>0</v>
      </c>
      <c r="G47" s="147">
        <v>0</v>
      </c>
      <c r="H47" s="148">
        <v>0</v>
      </c>
      <c r="I47" s="148">
        <v>0</v>
      </c>
      <c r="J47" s="148">
        <v>0</v>
      </c>
    </row>
    <row r="48" spans="1:12" ht="12.75" customHeight="1" x14ac:dyDescent="0.3">
      <c r="A48" s="12">
        <v>89</v>
      </c>
      <c r="B48" s="122" t="s">
        <v>50</v>
      </c>
      <c r="C48" s="147">
        <v>17</v>
      </c>
      <c r="D48" s="147">
        <v>3</v>
      </c>
      <c r="E48" s="147">
        <v>1</v>
      </c>
      <c r="F48" s="147">
        <v>1</v>
      </c>
      <c r="G48" s="147">
        <v>0</v>
      </c>
      <c r="H48" s="148">
        <v>0</v>
      </c>
      <c r="I48" s="148">
        <v>0</v>
      </c>
      <c r="J48" s="148">
        <v>0</v>
      </c>
    </row>
    <row r="49" spans="1:12" ht="12.75" customHeight="1" x14ac:dyDescent="0.3">
      <c r="A49" s="12">
        <v>93</v>
      </c>
      <c r="B49" s="122" t="s">
        <v>51</v>
      </c>
      <c r="C49" s="147">
        <v>7</v>
      </c>
      <c r="D49" s="147">
        <v>4</v>
      </c>
      <c r="E49" s="147">
        <v>0</v>
      </c>
      <c r="F49" s="147">
        <v>1</v>
      </c>
      <c r="G49" s="147">
        <v>3</v>
      </c>
      <c r="H49" s="148">
        <v>0</v>
      </c>
      <c r="I49" s="148">
        <v>0</v>
      </c>
      <c r="J49" s="148">
        <v>0</v>
      </c>
    </row>
    <row r="50" spans="1:12" ht="12.75" customHeight="1" x14ac:dyDescent="0.3">
      <c r="A50" s="12">
        <v>95</v>
      </c>
      <c r="B50" s="122" t="s">
        <v>52</v>
      </c>
      <c r="C50" s="147">
        <v>54</v>
      </c>
      <c r="D50" s="147">
        <v>6</v>
      </c>
      <c r="E50" s="147">
        <v>6</v>
      </c>
      <c r="F50" s="147">
        <v>2</v>
      </c>
      <c r="G50" s="147">
        <v>3</v>
      </c>
      <c r="H50" s="148">
        <v>0</v>
      </c>
      <c r="I50" s="148">
        <v>0</v>
      </c>
      <c r="J50" s="148">
        <v>0</v>
      </c>
    </row>
    <row r="51" spans="1:12" ht="12.75" customHeight="1" x14ac:dyDescent="0.3">
      <c r="A51" s="12">
        <v>97</v>
      </c>
      <c r="B51" s="122" t="s">
        <v>53</v>
      </c>
      <c r="C51" s="147">
        <v>37</v>
      </c>
      <c r="D51" s="147">
        <v>8</v>
      </c>
      <c r="E51" s="147">
        <v>6</v>
      </c>
      <c r="F51" s="147">
        <v>0</v>
      </c>
      <c r="G51" s="147">
        <v>1</v>
      </c>
      <c r="H51" s="148">
        <v>0</v>
      </c>
      <c r="I51" s="148">
        <v>0</v>
      </c>
      <c r="J51" s="148">
        <v>0</v>
      </c>
    </row>
    <row r="52" spans="1:12" ht="12.75" customHeight="1" x14ac:dyDescent="0.3">
      <c r="A52" s="12">
        <v>77</v>
      </c>
      <c r="B52" s="154" t="s">
        <v>54</v>
      </c>
      <c r="C52" s="155">
        <v>51</v>
      </c>
      <c r="D52" s="155">
        <v>52</v>
      </c>
      <c r="E52" s="155">
        <v>26</v>
      </c>
      <c r="F52" s="155">
        <v>24</v>
      </c>
      <c r="G52" s="155">
        <v>4</v>
      </c>
      <c r="H52" s="156">
        <v>1</v>
      </c>
      <c r="I52" s="156">
        <v>0</v>
      </c>
      <c r="J52" s="156">
        <v>0</v>
      </c>
    </row>
    <row r="53" spans="1:12" s="152" customFormat="1" ht="13.5" customHeight="1" x14ac:dyDescent="0.3">
      <c r="A53" s="1"/>
      <c r="C53" s="157"/>
      <c r="D53" s="158"/>
      <c r="E53" s="157"/>
      <c r="F53" s="157"/>
      <c r="G53" s="157"/>
      <c r="H53" s="157"/>
      <c r="I53" s="157"/>
      <c r="J53" s="157"/>
      <c r="K53" s="122"/>
      <c r="L53" s="122"/>
    </row>
    <row r="54" spans="1:12" ht="18.75" customHeight="1" x14ac:dyDescent="0.3">
      <c r="B54" s="12" t="s">
        <v>55</v>
      </c>
    </row>
    <row r="55" spans="1:12" x14ac:dyDescent="0.3">
      <c r="B55" s="291" t="s">
        <v>56</v>
      </c>
      <c r="C55" s="291"/>
      <c r="D55" s="291"/>
      <c r="E55" s="291"/>
      <c r="F55" s="291"/>
      <c r="G55" s="291"/>
      <c r="H55" s="291"/>
      <c r="I55" s="291"/>
      <c r="J55" s="291"/>
    </row>
    <row r="56" spans="1:12" ht="12.75" customHeight="1" x14ac:dyDescent="0.3">
      <c r="B56" s="291"/>
      <c r="C56" s="291"/>
      <c r="D56" s="291"/>
      <c r="E56" s="291"/>
      <c r="F56" s="291"/>
      <c r="G56" s="291"/>
      <c r="H56" s="291"/>
      <c r="I56" s="291"/>
      <c r="J56" s="291"/>
    </row>
    <row r="57" spans="1:12" ht="18.75" customHeight="1" x14ac:dyDescent="0.3">
      <c r="B57" s="291"/>
      <c r="C57" s="291"/>
      <c r="D57" s="291"/>
      <c r="E57" s="291"/>
      <c r="F57" s="291"/>
      <c r="G57" s="291"/>
      <c r="H57" s="291"/>
      <c r="I57" s="291"/>
      <c r="J57" s="291"/>
    </row>
    <row r="58" spans="1:12" ht="18.75" customHeight="1" x14ac:dyDescent="0.3">
      <c r="B58" s="291"/>
      <c r="C58" s="291"/>
      <c r="D58" s="291"/>
      <c r="E58" s="291"/>
      <c r="F58" s="291"/>
      <c r="G58" s="291"/>
      <c r="H58" s="291"/>
      <c r="I58" s="291"/>
      <c r="J58" s="291"/>
    </row>
    <row r="59" spans="1:12" ht="18.75" customHeight="1" x14ac:dyDescent="0.3"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2" ht="17.25" customHeight="1" x14ac:dyDescent="0.3"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2" ht="15.75" customHeight="1" x14ac:dyDescent="0.3">
      <c r="B61" s="12" t="s">
        <v>61</v>
      </c>
    </row>
    <row r="62" spans="1:12" ht="9.75" customHeight="1" x14ac:dyDescent="0.3">
      <c r="B62" s="291"/>
      <c r="C62" s="291"/>
      <c r="D62" s="291"/>
      <c r="E62" s="57"/>
      <c r="F62" s="57"/>
      <c r="G62" s="57"/>
      <c r="H62" s="57"/>
      <c r="I62" s="57"/>
      <c r="J62" s="57"/>
    </row>
    <row r="63" spans="1:12" ht="18.75" customHeight="1" x14ac:dyDescent="0.3">
      <c r="B63" s="138" t="s">
        <v>62</v>
      </c>
    </row>
    <row r="64" spans="1:12" x14ac:dyDescent="0.3">
      <c r="B64" s="140"/>
    </row>
    <row r="66" spans="2:2" x14ac:dyDescent="0.3">
      <c r="B66" s="141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indexed="22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122" customWidth="1"/>
    <col min="3" max="3" width="18" style="161" customWidth="1"/>
    <col min="4" max="4" width="18.453125" style="161" customWidth="1"/>
    <col min="5" max="5" width="13.7265625" style="161" customWidth="1"/>
    <col min="6" max="6" width="14" style="161" customWidth="1"/>
    <col min="7" max="256" width="9.26953125" style="122"/>
    <col min="257" max="257" width="0" style="122" hidden="1" customWidth="1"/>
    <col min="258" max="258" width="24.7265625" style="122" customWidth="1"/>
    <col min="259" max="259" width="18" style="122" customWidth="1"/>
    <col min="260" max="260" width="18.453125" style="122" customWidth="1"/>
    <col min="261" max="261" width="13.7265625" style="122" customWidth="1"/>
    <col min="262" max="262" width="14" style="122" customWidth="1"/>
    <col min="263" max="512" width="9.26953125" style="122"/>
    <col min="513" max="513" width="0" style="122" hidden="1" customWidth="1"/>
    <col min="514" max="514" width="24.7265625" style="122" customWidth="1"/>
    <col min="515" max="515" width="18" style="122" customWidth="1"/>
    <col min="516" max="516" width="18.453125" style="122" customWidth="1"/>
    <col min="517" max="517" width="13.7265625" style="122" customWidth="1"/>
    <col min="518" max="518" width="14" style="122" customWidth="1"/>
    <col min="519" max="768" width="9.26953125" style="122"/>
    <col min="769" max="769" width="0" style="122" hidden="1" customWidth="1"/>
    <col min="770" max="770" width="24.7265625" style="122" customWidth="1"/>
    <col min="771" max="771" width="18" style="122" customWidth="1"/>
    <col min="772" max="772" width="18.453125" style="122" customWidth="1"/>
    <col min="773" max="773" width="13.7265625" style="122" customWidth="1"/>
    <col min="774" max="774" width="14" style="122" customWidth="1"/>
    <col min="775" max="1024" width="9.26953125" style="122"/>
    <col min="1025" max="1025" width="0" style="122" hidden="1" customWidth="1"/>
    <col min="1026" max="1026" width="24.7265625" style="122" customWidth="1"/>
    <col min="1027" max="1027" width="18" style="122" customWidth="1"/>
    <col min="1028" max="1028" width="18.453125" style="122" customWidth="1"/>
    <col min="1029" max="1029" width="13.7265625" style="122" customWidth="1"/>
    <col min="1030" max="1030" width="14" style="122" customWidth="1"/>
    <col min="1031" max="1280" width="9.26953125" style="122"/>
    <col min="1281" max="1281" width="0" style="122" hidden="1" customWidth="1"/>
    <col min="1282" max="1282" width="24.7265625" style="122" customWidth="1"/>
    <col min="1283" max="1283" width="18" style="122" customWidth="1"/>
    <col min="1284" max="1284" width="18.453125" style="122" customWidth="1"/>
    <col min="1285" max="1285" width="13.7265625" style="122" customWidth="1"/>
    <col min="1286" max="1286" width="14" style="122" customWidth="1"/>
    <col min="1287" max="1536" width="9.26953125" style="122"/>
    <col min="1537" max="1537" width="0" style="122" hidden="1" customWidth="1"/>
    <col min="1538" max="1538" width="24.7265625" style="122" customWidth="1"/>
    <col min="1539" max="1539" width="18" style="122" customWidth="1"/>
    <col min="1540" max="1540" width="18.453125" style="122" customWidth="1"/>
    <col min="1541" max="1541" width="13.7265625" style="122" customWidth="1"/>
    <col min="1542" max="1542" width="14" style="122" customWidth="1"/>
    <col min="1543" max="1792" width="9.26953125" style="122"/>
    <col min="1793" max="1793" width="0" style="122" hidden="1" customWidth="1"/>
    <col min="1794" max="1794" width="24.7265625" style="122" customWidth="1"/>
    <col min="1795" max="1795" width="18" style="122" customWidth="1"/>
    <col min="1796" max="1796" width="18.453125" style="122" customWidth="1"/>
    <col min="1797" max="1797" width="13.7265625" style="122" customWidth="1"/>
    <col min="1798" max="1798" width="14" style="122" customWidth="1"/>
    <col min="1799" max="2048" width="9.26953125" style="122"/>
    <col min="2049" max="2049" width="0" style="122" hidden="1" customWidth="1"/>
    <col min="2050" max="2050" width="24.7265625" style="122" customWidth="1"/>
    <col min="2051" max="2051" width="18" style="122" customWidth="1"/>
    <col min="2052" max="2052" width="18.453125" style="122" customWidth="1"/>
    <col min="2053" max="2053" width="13.7265625" style="122" customWidth="1"/>
    <col min="2054" max="2054" width="14" style="122" customWidth="1"/>
    <col min="2055" max="2304" width="9.26953125" style="122"/>
    <col min="2305" max="2305" width="0" style="122" hidden="1" customWidth="1"/>
    <col min="2306" max="2306" width="24.7265625" style="122" customWidth="1"/>
    <col min="2307" max="2307" width="18" style="122" customWidth="1"/>
    <col min="2308" max="2308" width="18.453125" style="122" customWidth="1"/>
    <col min="2309" max="2309" width="13.7265625" style="122" customWidth="1"/>
    <col min="2310" max="2310" width="14" style="122" customWidth="1"/>
    <col min="2311" max="2560" width="9.26953125" style="122"/>
    <col min="2561" max="2561" width="0" style="122" hidden="1" customWidth="1"/>
    <col min="2562" max="2562" width="24.7265625" style="122" customWidth="1"/>
    <col min="2563" max="2563" width="18" style="122" customWidth="1"/>
    <col min="2564" max="2564" width="18.453125" style="122" customWidth="1"/>
    <col min="2565" max="2565" width="13.7265625" style="122" customWidth="1"/>
    <col min="2566" max="2566" width="14" style="122" customWidth="1"/>
    <col min="2567" max="2816" width="9.26953125" style="122"/>
    <col min="2817" max="2817" width="0" style="122" hidden="1" customWidth="1"/>
    <col min="2818" max="2818" width="24.7265625" style="122" customWidth="1"/>
    <col min="2819" max="2819" width="18" style="122" customWidth="1"/>
    <col min="2820" max="2820" width="18.453125" style="122" customWidth="1"/>
    <col min="2821" max="2821" width="13.7265625" style="122" customWidth="1"/>
    <col min="2822" max="2822" width="14" style="122" customWidth="1"/>
    <col min="2823" max="3072" width="9.26953125" style="122"/>
    <col min="3073" max="3073" width="0" style="122" hidden="1" customWidth="1"/>
    <col min="3074" max="3074" width="24.7265625" style="122" customWidth="1"/>
    <col min="3075" max="3075" width="18" style="122" customWidth="1"/>
    <col min="3076" max="3076" width="18.453125" style="122" customWidth="1"/>
    <col min="3077" max="3077" width="13.7265625" style="122" customWidth="1"/>
    <col min="3078" max="3078" width="14" style="122" customWidth="1"/>
    <col min="3079" max="3328" width="9.26953125" style="122"/>
    <col min="3329" max="3329" width="0" style="122" hidden="1" customWidth="1"/>
    <col min="3330" max="3330" width="24.7265625" style="122" customWidth="1"/>
    <col min="3331" max="3331" width="18" style="122" customWidth="1"/>
    <col min="3332" max="3332" width="18.453125" style="122" customWidth="1"/>
    <col min="3333" max="3333" width="13.7265625" style="122" customWidth="1"/>
    <col min="3334" max="3334" width="14" style="122" customWidth="1"/>
    <col min="3335" max="3584" width="9.26953125" style="122"/>
    <col min="3585" max="3585" width="0" style="122" hidden="1" customWidth="1"/>
    <col min="3586" max="3586" width="24.7265625" style="122" customWidth="1"/>
    <col min="3587" max="3587" width="18" style="122" customWidth="1"/>
    <col min="3588" max="3588" width="18.453125" style="122" customWidth="1"/>
    <col min="3589" max="3589" width="13.7265625" style="122" customWidth="1"/>
    <col min="3590" max="3590" width="14" style="122" customWidth="1"/>
    <col min="3591" max="3840" width="9.26953125" style="122"/>
    <col min="3841" max="3841" width="0" style="122" hidden="1" customWidth="1"/>
    <col min="3842" max="3842" width="24.7265625" style="122" customWidth="1"/>
    <col min="3843" max="3843" width="18" style="122" customWidth="1"/>
    <col min="3844" max="3844" width="18.453125" style="122" customWidth="1"/>
    <col min="3845" max="3845" width="13.7265625" style="122" customWidth="1"/>
    <col min="3846" max="3846" width="14" style="122" customWidth="1"/>
    <col min="3847" max="4096" width="9.26953125" style="122"/>
    <col min="4097" max="4097" width="0" style="122" hidden="1" customWidth="1"/>
    <col min="4098" max="4098" width="24.7265625" style="122" customWidth="1"/>
    <col min="4099" max="4099" width="18" style="122" customWidth="1"/>
    <col min="4100" max="4100" width="18.453125" style="122" customWidth="1"/>
    <col min="4101" max="4101" width="13.7265625" style="122" customWidth="1"/>
    <col min="4102" max="4102" width="14" style="122" customWidth="1"/>
    <col min="4103" max="4352" width="9.26953125" style="122"/>
    <col min="4353" max="4353" width="0" style="122" hidden="1" customWidth="1"/>
    <col min="4354" max="4354" width="24.7265625" style="122" customWidth="1"/>
    <col min="4355" max="4355" width="18" style="122" customWidth="1"/>
    <col min="4356" max="4356" width="18.453125" style="122" customWidth="1"/>
    <col min="4357" max="4357" width="13.7265625" style="122" customWidth="1"/>
    <col min="4358" max="4358" width="14" style="122" customWidth="1"/>
    <col min="4359" max="4608" width="9.26953125" style="122"/>
    <col min="4609" max="4609" width="0" style="122" hidden="1" customWidth="1"/>
    <col min="4610" max="4610" width="24.7265625" style="122" customWidth="1"/>
    <col min="4611" max="4611" width="18" style="122" customWidth="1"/>
    <col min="4612" max="4612" width="18.453125" style="122" customWidth="1"/>
    <col min="4613" max="4613" width="13.7265625" style="122" customWidth="1"/>
    <col min="4614" max="4614" width="14" style="122" customWidth="1"/>
    <col min="4615" max="4864" width="9.26953125" style="122"/>
    <col min="4865" max="4865" width="0" style="122" hidden="1" customWidth="1"/>
    <col min="4866" max="4866" width="24.7265625" style="122" customWidth="1"/>
    <col min="4867" max="4867" width="18" style="122" customWidth="1"/>
    <col min="4868" max="4868" width="18.453125" style="122" customWidth="1"/>
    <col min="4869" max="4869" width="13.7265625" style="122" customWidth="1"/>
    <col min="4870" max="4870" width="14" style="122" customWidth="1"/>
    <col min="4871" max="5120" width="9.26953125" style="122"/>
    <col min="5121" max="5121" width="0" style="122" hidden="1" customWidth="1"/>
    <col min="5122" max="5122" width="24.7265625" style="122" customWidth="1"/>
    <col min="5123" max="5123" width="18" style="122" customWidth="1"/>
    <col min="5124" max="5124" width="18.453125" style="122" customWidth="1"/>
    <col min="5125" max="5125" width="13.7265625" style="122" customWidth="1"/>
    <col min="5126" max="5126" width="14" style="122" customWidth="1"/>
    <col min="5127" max="5376" width="9.26953125" style="122"/>
    <col min="5377" max="5377" width="0" style="122" hidden="1" customWidth="1"/>
    <col min="5378" max="5378" width="24.7265625" style="122" customWidth="1"/>
    <col min="5379" max="5379" width="18" style="122" customWidth="1"/>
    <col min="5380" max="5380" width="18.453125" style="122" customWidth="1"/>
    <col min="5381" max="5381" width="13.7265625" style="122" customWidth="1"/>
    <col min="5382" max="5382" width="14" style="122" customWidth="1"/>
    <col min="5383" max="5632" width="9.26953125" style="122"/>
    <col min="5633" max="5633" width="0" style="122" hidden="1" customWidth="1"/>
    <col min="5634" max="5634" width="24.7265625" style="122" customWidth="1"/>
    <col min="5635" max="5635" width="18" style="122" customWidth="1"/>
    <col min="5636" max="5636" width="18.453125" style="122" customWidth="1"/>
    <col min="5637" max="5637" width="13.7265625" style="122" customWidth="1"/>
    <col min="5638" max="5638" width="14" style="122" customWidth="1"/>
    <col min="5639" max="5888" width="9.26953125" style="122"/>
    <col min="5889" max="5889" width="0" style="122" hidden="1" customWidth="1"/>
    <col min="5890" max="5890" width="24.7265625" style="122" customWidth="1"/>
    <col min="5891" max="5891" width="18" style="122" customWidth="1"/>
    <col min="5892" max="5892" width="18.453125" style="122" customWidth="1"/>
    <col min="5893" max="5893" width="13.7265625" style="122" customWidth="1"/>
    <col min="5894" max="5894" width="14" style="122" customWidth="1"/>
    <col min="5895" max="6144" width="9.26953125" style="122"/>
    <col min="6145" max="6145" width="0" style="122" hidden="1" customWidth="1"/>
    <col min="6146" max="6146" width="24.7265625" style="122" customWidth="1"/>
    <col min="6147" max="6147" width="18" style="122" customWidth="1"/>
    <col min="6148" max="6148" width="18.453125" style="122" customWidth="1"/>
    <col min="6149" max="6149" width="13.7265625" style="122" customWidth="1"/>
    <col min="6150" max="6150" width="14" style="122" customWidth="1"/>
    <col min="6151" max="6400" width="9.26953125" style="122"/>
    <col min="6401" max="6401" width="0" style="122" hidden="1" customWidth="1"/>
    <col min="6402" max="6402" width="24.7265625" style="122" customWidth="1"/>
    <col min="6403" max="6403" width="18" style="122" customWidth="1"/>
    <col min="6404" max="6404" width="18.453125" style="122" customWidth="1"/>
    <col min="6405" max="6405" width="13.7265625" style="122" customWidth="1"/>
    <col min="6406" max="6406" width="14" style="122" customWidth="1"/>
    <col min="6407" max="6656" width="9.26953125" style="122"/>
    <col min="6657" max="6657" width="0" style="122" hidden="1" customWidth="1"/>
    <col min="6658" max="6658" width="24.7265625" style="122" customWidth="1"/>
    <col min="6659" max="6659" width="18" style="122" customWidth="1"/>
    <col min="6660" max="6660" width="18.453125" style="122" customWidth="1"/>
    <col min="6661" max="6661" width="13.7265625" style="122" customWidth="1"/>
    <col min="6662" max="6662" width="14" style="122" customWidth="1"/>
    <col min="6663" max="6912" width="9.26953125" style="122"/>
    <col min="6913" max="6913" width="0" style="122" hidden="1" customWidth="1"/>
    <col min="6914" max="6914" width="24.7265625" style="122" customWidth="1"/>
    <col min="6915" max="6915" width="18" style="122" customWidth="1"/>
    <col min="6916" max="6916" width="18.453125" style="122" customWidth="1"/>
    <col min="6917" max="6917" width="13.7265625" style="122" customWidth="1"/>
    <col min="6918" max="6918" width="14" style="122" customWidth="1"/>
    <col min="6919" max="7168" width="9.26953125" style="122"/>
    <col min="7169" max="7169" width="0" style="122" hidden="1" customWidth="1"/>
    <col min="7170" max="7170" width="24.7265625" style="122" customWidth="1"/>
    <col min="7171" max="7171" width="18" style="122" customWidth="1"/>
    <col min="7172" max="7172" width="18.453125" style="122" customWidth="1"/>
    <col min="7173" max="7173" width="13.7265625" style="122" customWidth="1"/>
    <col min="7174" max="7174" width="14" style="122" customWidth="1"/>
    <col min="7175" max="7424" width="9.26953125" style="122"/>
    <col min="7425" max="7425" width="0" style="122" hidden="1" customWidth="1"/>
    <col min="7426" max="7426" width="24.7265625" style="122" customWidth="1"/>
    <col min="7427" max="7427" width="18" style="122" customWidth="1"/>
    <col min="7428" max="7428" width="18.453125" style="122" customWidth="1"/>
    <col min="7429" max="7429" width="13.7265625" style="122" customWidth="1"/>
    <col min="7430" max="7430" width="14" style="122" customWidth="1"/>
    <col min="7431" max="7680" width="9.26953125" style="122"/>
    <col min="7681" max="7681" width="0" style="122" hidden="1" customWidth="1"/>
    <col min="7682" max="7682" width="24.7265625" style="122" customWidth="1"/>
    <col min="7683" max="7683" width="18" style="122" customWidth="1"/>
    <col min="7684" max="7684" width="18.453125" style="122" customWidth="1"/>
    <col min="7685" max="7685" width="13.7265625" style="122" customWidth="1"/>
    <col min="7686" max="7686" width="14" style="122" customWidth="1"/>
    <col min="7687" max="7936" width="9.26953125" style="122"/>
    <col min="7937" max="7937" width="0" style="122" hidden="1" customWidth="1"/>
    <col min="7938" max="7938" width="24.7265625" style="122" customWidth="1"/>
    <col min="7939" max="7939" width="18" style="122" customWidth="1"/>
    <col min="7940" max="7940" width="18.453125" style="122" customWidth="1"/>
    <col min="7941" max="7941" width="13.7265625" style="122" customWidth="1"/>
    <col min="7942" max="7942" width="14" style="122" customWidth="1"/>
    <col min="7943" max="8192" width="9.26953125" style="122"/>
    <col min="8193" max="8193" width="0" style="122" hidden="1" customWidth="1"/>
    <col min="8194" max="8194" width="24.7265625" style="122" customWidth="1"/>
    <col min="8195" max="8195" width="18" style="122" customWidth="1"/>
    <col min="8196" max="8196" width="18.453125" style="122" customWidth="1"/>
    <col min="8197" max="8197" width="13.7265625" style="122" customWidth="1"/>
    <col min="8198" max="8198" width="14" style="122" customWidth="1"/>
    <col min="8199" max="8448" width="9.26953125" style="122"/>
    <col min="8449" max="8449" width="0" style="122" hidden="1" customWidth="1"/>
    <col min="8450" max="8450" width="24.7265625" style="122" customWidth="1"/>
    <col min="8451" max="8451" width="18" style="122" customWidth="1"/>
    <col min="8452" max="8452" width="18.453125" style="122" customWidth="1"/>
    <col min="8453" max="8453" width="13.7265625" style="122" customWidth="1"/>
    <col min="8454" max="8454" width="14" style="122" customWidth="1"/>
    <col min="8455" max="8704" width="9.26953125" style="122"/>
    <col min="8705" max="8705" width="0" style="122" hidden="1" customWidth="1"/>
    <col min="8706" max="8706" width="24.7265625" style="122" customWidth="1"/>
    <col min="8707" max="8707" width="18" style="122" customWidth="1"/>
    <col min="8708" max="8708" width="18.453125" style="122" customWidth="1"/>
    <col min="8709" max="8709" width="13.7265625" style="122" customWidth="1"/>
    <col min="8710" max="8710" width="14" style="122" customWidth="1"/>
    <col min="8711" max="8960" width="9.26953125" style="122"/>
    <col min="8961" max="8961" width="0" style="122" hidden="1" customWidth="1"/>
    <col min="8962" max="8962" width="24.7265625" style="122" customWidth="1"/>
    <col min="8963" max="8963" width="18" style="122" customWidth="1"/>
    <col min="8964" max="8964" width="18.453125" style="122" customWidth="1"/>
    <col min="8965" max="8965" width="13.7265625" style="122" customWidth="1"/>
    <col min="8966" max="8966" width="14" style="122" customWidth="1"/>
    <col min="8967" max="9216" width="9.26953125" style="122"/>
    <col min="9217" max="9217" width="0" style="122" hidden="1" customWidth="1"/>
    <col min="9218" max="9218" width="24.7265625" style="122" customWidth="1"/>
    <col min="9219" max="9219" width="18" style="122" customWidth="1"/>
    <col min="9220" max="9220" width="18.453125" style="122" customWidth="1"/>
    <col min="9221" max="9221" width="13.7265625" style="122" customWidth="1"/>
    <col min="9222" max="9222" width="14" style="122" customWidth="1"/>
    <col min="9223" max="9472" width="9.26953125" style="122"/>
    <col min="9473" max="9473" width="0" style="122" hidden="1" customWidth="1"/>
    <col min="9474" max="9474" width="24.7265625" style="122" customWidth="1"/>
    <col min="9475" max="9475" width="18" style="122" customWidth="1"/>
    <col min="9476" max="9476" width="18.453125" style="122" customWidth="1"/>
    <col min="9477" max="9477" width="13.7265625" style="122" customWidth="1"/>
    <col min="9478" max="9478" width="14" style="122" customWidth="1"/>
    <col min="9479" max="9728" width="9.26953125" style="122"/>
    <col min="9729" max="9729" width="0" style="122" hidden="1" customWidth="1"/>
    <col min="9730" max="9730" width="24.7265625" style="122" customWidth="1"/>
    <col min="9731" max="9731" width="18" style="122" customWidth="1"/>
    <col min="9732" max="9732" width="18.453125" style="122" customWidth="1"/>
    <col min="9733" max="9733" width="13.7265625" style="122" customWidth="1"/>
    <col min="9734" max="9734" width="14" style="122" customWidth="1"/>
    <col min="9735" max="9984" width="9.26953125" style="122"/>
    <col min="9985" max="9985" width="0" style="122" hidden="1" customWidth="1"/>
    <col min="9986" max="9986" width="24.7265625" style="122" customWidth="1"/>
    <col min="9987" max="9987" width="18" style="122" customWidth="1"/>
    <col min="9988" max="9988" width="18.453125" style="122" customWidth="1"/>
    <col min="9989" max="9989" width="13.7265625" style="122" customWidth="1"/>
    <col min="9990" max="9990" width="14" style="122" customWidth="1"/>
    <col min="9991" max="10240" width="9.26953125" style="122"/>
    <col min="10241" max="10241" width="0" style="122" hidden="1" customWidth="1"/>
    <col min="10242" max="10242" width="24.7265625" style="122" customWidth="1"/>
    <col min="10243" max="10243" width="18" style="122" customWidth="1"/>
    <col min="10244" max="10244" width="18.453125" style="122" customWidth="1"/>
    <col min="10245" max="10245" width="13.7265625" style="122" customWidth="1"/>
    <col min="10246" max="10246" width="14" style="122" customWidth="1"/>
    <col min="10247" max="10496" width="9.26953125" style="122"/>
    <col min="10497" max="10497" width="0" style="122" hidden="1" customWidth="1"/>
    <col min="10498" max="10498" width="24.7265625" style="122" customWidth="1"/>
    <col min="10499" max="10499" width="18" style="122" customWidth="1"/>
    <col min="10500" max="10500" width="18.453125" style="122" customWidth="1"/>
    <col min="10501" max="10501" width="13.7265625" style="122" customWidth="1"/>
    <col min="10502" max="10502" width="14" style="122" customWidth="1"/>
    <col min="10503" max="10752" width="9.26953125" style="122"/>
    <col min="10753" max="10753" width="0" style="122" hidden="1" customWidth="1"/>
    <col min="10754" max="10754" width="24.7265625" style="122" customWidth="1"/>
    <col min="10755" max="10755" width="18" style="122" customWidth="1"/>
    <col min="10756" max="10756" width="18.453125" style="122" customWidth="1"/>
    <col min="10757" max="10757" width="13.7265625" style="122" customWidth="1"/>
    <col min="10758" max="10758" width="14" style="122" customWidth="1"/>
    <col min="10759" max="11008" width="9.26953125" style="122"/>
    <col min="11009" max="11009" width="0" style="122" hidden="1" customWidth="1"/>
    <col min="11010" max="11010" width="24.7265625" style="122" customWidth="1"/>
    <col min="11011" max="11011" width="18" style="122" customWidth="1"/>
    <col min="11012" max="11012" width="18.453125" style="122" customWidth="1"/>
    <col min="11013" max="11013" width="13.7265625" style="122" customWidth="1"/>
    <col min="11014" max="11014" width="14" style="122" customWidth="1"/>
    <col min="11015" max="11264" width="9.26953125" style="122"/>
    <col min="11265" max="11265" width="0" style="122" hidden="1" customWidth="1"/>
    <col min="11266" max="11266" width="24.7265625" style="122" customWidth="1"/>
    <col min="11267" max="11267" width="18" style="122" customWidth="1"/>
    <col min="11268" max="11268" width="18.453125" style="122" customWidth="1"/>
    <col min="11269" max="11269" width="13.7265625" style="122" customWidth="1"/>
    <col min="11270" max="11270" width="14" style="122" customWidth="1"/>
    <col min="11271" max="11520" width="9.26953125" style="122"/>
    <col min="11521" max="11521" width="0" style="122" hidden="1" customWidth="1"/>
    <col min="11522" max="11522" width="24.7265625" style="122" customWidth="1"/>
    <col min="11523" max="11523" width="18" style="122" customWidth="1"/>
    <col min="11524" max="11524" width="18.453125" style="122" customWidth="1"/>
    <col min="11525" max="11525" width="13.7265625" style="122" customWidth="1"/>
    <col min="11526" max="11526" width="14" style="122" customWidth="1"/>
    <col min="11527" max="11776" width="9.26953125" style="122"/>
    <col min="11777" max="11777" width="0" style="122" hidden="1" customWidth="1"/>
    <col min="11778" max="11778" width="24.7265625" style="122" customWidth="1"/>
    <col min="11779" max="11779" width="18" style="122" customWidth="1"/>
    <col min="11780" max="11780" width="18.453125" style="122" customWidth="1"/>
    <col min="11781" max="11781" width="13.7265625" style="122" customWidth="1"/>
    <col min="11782" max="11782" width="14" style="122" customWidth="1"/>
    <col min="11783" max="12032" width="9.26953125" style="122"/>
    <col min="12033" max="12033" width="0" style="122" hidden="1" customWidth="1"/>
    <col min="12034" max="12034" width="24.7265625" style="122" customWidth="1"/>
    <col min="12035" max="12035" width="18" style="122" customWidth="1"/>
    <col min="12036" max="12036" width="18.453125" style="122" customWidth="1"/>
    <col min="12037" max="12037" width="13.7265625" style="122" customWidth="1"/>
    <col min="12038" max="12038" width="14" style="122" customWidth="1"/>
    <col min="12039" max="12288" width="9.26953125" style="122"/>
    <col min="12289" max="12289" width="0" style="122" hidden="1" customWidth="1"/>
    <col min="12290" max="12290" width="24.7265625" style="122" customWidth="1"/>
    <col min="12291" max="12291" width="18" style="122" customWidth="1"/>
    <col min="12292" max="12292" width="18.453125" style="122" customWidth="1"/>
    <col min="12293" max="12293" width="13.7265625" style="122" customWidth="1"/>
    <col min="12294" max="12294" width="14" style="122" customWidth="1"/>
    <col min="12295" max="12544" width="9.26953125" style="122"/>
    <col min="12545" max="12545" width="0" style="122" hidden="1" customWidth="1"/>
    <col min="12546" max="12546" width="24.7265625" style="122" customWidth="1"/>
    <col min="12547" max="12547" width="18" style="122" customWidth="1"/>
    <col min="12548" max="12548" width="18.453125" style="122" customWidth="1"/>
    <col min="12549" max="12549" width="13.7265625" style="122" customWidth="1"/>
    <col min="12550" max="12550" width="14" style="122" customWidth="1"/>
    <col min="12551" max="12800" width="9.26953125" style="122"/>
    <col min="12801" max="12801" width="0" style="122" hidden="1" customWidth="1"/>
    <col min="12802" max="12802" width="24.7265625" style="122" customWidth="1"/>
    <col min="12803" max="12803" width="18" style="122" customWidth="1"/>
    <col min="12804" max="12804" width="18.453125" style="122" customWidth="1"/>
    <col min="12805" max="12805" width="13.7265625" style="122" customWidth="1"/>
    <col min="12806" max="12806" width="14" style="122" customWidth="1"/>
    <col min="12807" max="13056" width="9.26953125" style="122"/>
    <col min="13057" max="13057" width="0" style="122" hidden="1" customWidth="1"/>
    <col min="13058" max="13058" width="24.7265625" style="122" customWidth="1"/>
    <col min="13059" max="13059" width="18" style="122" customWidth="1"/>
    <col min="13060" max="13060" width="18.453125" style="122" customWidth="1"/>
    <col min="13061" max="13061" width="13.7265625" style="122" customWidth="1"/>
    <col min="13062" max="13062" width="14" style="122" customWidth="1"/>
    <col min="13063" max="13312" width="9.26953125" style="122"/>
    <col min="13313" max="13313" width="0" style="122" hidden="1" customWidth="1"/>
    <col min="13314" max="13314" width="24.7265625" style="122" customWidth="1"/>
    <col min="13315" max="13315" width="18" style="122" customWidth="1"/>
    <col min="13316" max="13316" width="18.453125" style="122" customWidth="1"/>
    <col min="13317" max="13317" width="13.7265625" style="122" customWidth="1"/>
    <col min="13318" max="13318" width="14" style="122" customWidth="1"/>
    <col min="13319" max="13568" width="9.26953125" style="122"/>
    <col min="13569" max="13569" width="0" style="122" hidden="1" customWidth="1"/>
    <col min="13570" max="13570" width="24.7265625" style="122" customWidth="1"/>
    <col min="13571" max="13571" width="18" style="122" customWidth="1"/>
    <col min="13572" max="13572" width="18.453125" style="122" customWidth="1"/>
    <col min="13573" max="13573" width="13.7265625" style="122" customWidth="1"/>
    <col min="13574" max="13574" width="14" style="122" customWidth="1"/>
    <col min="13575" max="13824" width="9.26953125" style="122"/>
    <col min="13825" max="13825" width="0" style="122" hidden="1" customWidth="1"/>
    <col min="13826" max="13826" width="24.7265625" style="122" customWidth="1"/>
    <col min="13827" max="13827" width="18" style="122" customWidth="1"/>
    <col min="13828" max="13828" width="18.453125" style="122" customWidth="1"/>
    <col min="13829" max="13829" width="13.7265625" style="122" customWidth="1"/>
    <col min="13830" max="13830" width="14" style="122" customWidth="1"/>
    <col min="13831" max="14080" width="9.26953125" style="122"/>
    <col min="14081" max="14081" width="0" style="122" hidden="1" customWidth="1"/>
    <col min="14082" max="14082" width="24.7265625" style="122" customWidth="1"/>
    <col min="14083" max="14083" width="18" style="122" customWidth="1"/>
    <col min="14084" max="14084" width="18.453125" style="122" customWidth="1"/>
    <col min="14085" max="14085" width="13.7265625" style="122" customWidth="1"/>
    <col min="14086" max="14086" width="14" style="122" customWidth="1"/>
    <col min="14087" max="14336" width="9.26953125" style="122"/>
    <col min="14337" max="14337" width="0" style="122" hidden="1" customWidth="1"/>
    <col min="14338" max="14338" width="24.7265625" style="122" customWidth="1"/>
    <col min="14339" max="14339" width="18" style="122" customWidth="1"/>
    <col min="14340" max="14340" width="18.453125" style="122" customWidth="1"/>
    <col min="14341" max="14341" width="13.7265625" style="122" customWidth="1"/>
    <col min="14342" max="14342" width="14" style="122" customWidth="1"/>
    <col min="14343" max="14592" width="9.26953125" style="122"/>
    <col min="14593" max="14593" width="0" style="122" hidden="1" customWidth="1"/>
    <col min="14594" max="14594" width="24.7265625" style="122" customWidth="1"/>
    <col min="14595" max="14595" width="18" style="122" customWidth="1"/>
    <col min="14596" max="14596" width="18.453125" style="122" customWidth="1"/>
    <col min="14597" max="14597" width="13.7265625" style="122" customWidth="1"/>
    <col min="14598" max="14598" width="14" style="122" customWidth="1"/>
    <col min="14599" max="14848" width="9.26953125" style="122"/>
    <col min="14849" max="14849" width="0" style="122" hidden="1" customWidth="1"/>
    <col min="14850" max="14850" width="24.7265625" style="122" customWidth="1"/>
    <col min="14851" max="14851" width="18" style="122" customWidth="1"/>
    <col min="14852" max="14852" width="18.453125" style="122" customWidth="1"/>
    <col min="14853" max="14853" width="13.7265625" style="122" customWidth="1"/>
    <col min="14854" max="14854" width="14" style="122" customWidth="1"/>
    <col min="14855" max="15104" width="9.26953125" style="122"/>
    <col min="15105" max="15105" width="0" style="122" hidden="1" customWidth="1"/>
    <col min="15106" max="15106" width="24.7265625" style="122" customWidth="1"/>
    <col min="15107" max="15107" width="18" style="122" customWidth="1"/>
    <col min="15108" max="15108" width="18.453125" style="122" customWidth="1"/>
    <col min="15109" max="15109" width="13.7265625" style="122" customWidth="1"/>
    <col min="15110" max="15110" width="14" style="122" customWidth="1"/>
    <col min="15111" max="15360" width="9.26953125" style="122"/>
    <col min="15361" max="15361" width="0" style="122" hidden="1" customWidth="1"/>
    <col min="15362" max="15362" width="24.7265625" style="122" customWidth="1"/>
    <col min="15363" max="15363" width="18" style="122" customWidth="1"/>
    <col min="15364" max="15364" width="18.453125" style="122" customWidth="1"/>
    <col min="15365" max="15365" width="13.7265625" style="122" customWidth="1"/>
    <col min="15366" max="15366" width="14" style="122" customWidth="1"/>
    <col min="15367" max="15616" width="9.26953125" style="122"/>
    <col min="15617" max="15617" width="0" style="122" hidden="1" customWidth="1"/>
    <col min="15618" max="15618" width="24.7265625" style="122" customWidth="1"/>
    <col min="15619" max="15619" width="18" style="122" customWidth="1"/>
    <col min="15620" max="15620" width="18.453125" style="122" customWidth="1"/>
    <col min="15621" max="15621" width="13.7265625" style="122" customWidth="1"/>
    <col min="15622" max="15622" width="14" style="122" customWidth="1"/>
    <col min="15623" max="15872" width="9.26953125" style="122"/>
    <col min="15873" max="15873" width="0" style="122" hidden="1" customWidth="1"/>
    <col min="15874" max="15874" width="24.7265625" style="122" customWidth="1"/>
    <col min="15875" max="15875" width="18" style="122" customWidth="1"/>
    <col min="15876" max="15876" width="18.453125" style="122" customWidth="1"/>
    <col min="15877" max="15877" width="13.7265625" style="122" customWidth="1"/>
    <col min="15878" max="15878" width="14" style="122" customWidth="1"/>
    <col min="15879" max="16128" width="9.26953125" style="122"/>
    <col min="16129" max="16129" width="0" style="122" hidden="1" customWidth="1"/>
    <col min="16130" max="16130" width="24.7265625" style="122" customWidth="1"/>
    <col min="16131" max="16131" width="18" style="122" customWidth="1"/>
    <col min="16132" max="16132" width="18.453125" style="122" customWidth="1"/>
    <col min="16133" max="16133" width="13.7265625" style="122" customWidth="1"/>
    <col min="16134" max="16134" width="14" style="122" customWidth="1"/>
    <col min="16135" max="16384" width="9.26953125" style="122"/>
  </cols>
  <sheetData>
    <row r="1" spans="1:9" ht="48.75" customHeight="1" x14ac:dyDescent="0.3">
      <c r="B1" s="312" t="s">
        <v>90</v>
      </c>
      <c r="C1" s="313"/>
      <c r="D1" s="313"/>
      <c r="E1" s="313"/>
      <c r="F1" s="314"/>
    </row>
    <row r="2" spans="1:9" ht="15.75" customHeight="1" x14ac:dyDescent="0.3">
      <c r="C2" s="288" t="s">
        <v>1</v>
      </c>
      <c r="D2" s="315" t="s">
        <v>2</v>
      </c>
      <c r="E2" s="315"/>
      <c r="F2" s="288" t="s">
        <v>5</v>
      </c>
    </row>
    <row r="3" spans="1:9" ht="34.5" customHeight="1" x14ac:dyDescent="0.3">
      <c r="A3" s="4"/>
      <c r="C3" s="289"/>
      <c r="D3" s="143" t="s">
        <v>3</v>
      </c>
      <c r="E3" s="143" t="s">
        <v>4</v>
      </c>
      <c r="F3" s="289"/>
    </row>
    <row r="4" spans="1:9" ht="23.25" customHeight="1" x14ac:dyDescent="0.3">
      <c r="A4" s="4"/>
      <c r="B4" s="127" t="s">
        <v>6</v>
      </c>
      <c r="C4" s="159">
        <v>1279</v>
      </c>
      <c r="D4" s="159">
        <v>220</v>
      </c>
      <c r="E4" s="159">
        <v>24</v>
      </c>
      <c r="F4" s="159">
        <v>0</v>
      </c>
      <c r="I4" s="139"/>
    </row>
    <row r="5" spans="1:9" s="127" customFormat="1" ht="25.5" customHeight="1" x14ac:dyDescent="0.3">
      <c r="A5" s="9"/>
      <c r="B5" s="127" t="s">
        <v>7</v>
      </c>
      <c r="C5" s="153">
        <v>994</v>
      </c>
      <c r="D5" s="153">
        <v>162</v>
      </c>
      <c r="E5" s="153">
        <v>22</v>
      </c>
      <c r="F5" s="153">
        <v>0</v>
      </c>
    </row>
    <row r="6" spans="1:9" x14ac:dyDescent="0.3">
      <c r="A6" s="12">
        <v>51</v>
      </c>
      <c r="B6" s="122" t="s">
        <v>8</v>
      </c>
      <c r="C6" s="148">
        <v>32</v>
      </c>
      <c r="D6" s="148">
        <v>10</v>
      </c>
      <c r="E6" s="148">
        <v>2</v>
      </c>
      <c r="F6" s="148">
        <v>0</v>
      </c>
    </row>
    <row r="7" spans="1:9" x14ac:dyDescent="0.3">
      <c r="A7" s="12">
        <v>52</v>
      </c>
      <c r="B7" s="122" t="s">
        <v>9</v>
      </c>
      <c r="C7" s="148">
        <v>22</v>
      </c>
      <c r="D7" s="148">
        <v>3</v>
      </c>
      <c r="E7" s="148">
        <v>0</v>
      </c>
      <c r="F7" s="148">
        <v>0</v>
      </c>
    </row>
    <row r="8" spans="1:9" x14ac:dyDescent="0.3">
      <c r="A8" s="12">
        <v>86</v>
      </c>
      <c r="B8" s="122" t="s">
        <v>10</v>
      </c>
      <c r="C8" s="148">
        <v>34</v>
      </c>
      <c r="D8" s="148">
        <v>3</v>
      </c>
      <c r="E8" s="148">
        <v>1</v>
      </c>
      <c r="F8" s="148">
        <v>0</v>
      </c>
    </row>
    <row r="9" spans="1:9" x14ac:dyDescent="0.3">
      <c r="A9" s="12">
        <v>53</v>
      </c>
      <c r="B9" s="122" t="s">
        <v>11</v>
      </c>
      <c r="C9" s="148">
        <v>10</v>
      </c>
      <c r="D9" s="148">
        <v>2</v>
      </c>
      <c r="E9" s="148">
        <v>0</v>
      </c>
      <c r="F9" s="148">
        <v>0</v>
      </c>
    </row>
    <row r="10" spans="1:9" x14ac:dyDescent="0.3">
      <c r="A10" s="12">
        <v>54</v>
      </c>
      <c r="B10" s="122" t="s">
        <v>12</v>
      </c>
      <c r="C10" s="148">
        <v>50</v>
      </c>
      <c r="D10" s="148">
        <v>6</v>
      </c>
      <c r="E10" s="148">
        <v>0</v>
      </c>
      <c r="F10" s="148">
        <v>0</v>
      </c>
    </row>
    <row r="11" spans="1:9" x14ac:dyDescent="0.3">
      <c r="A11" s="12">
        <v>55</v>
      </c>
      <c r="B11" s="122" t="s">
        <v>13</v>
      </c>
      <c r="C11" s="148">
        <v>14</v>
      </c>
      <c r="D11" s="148">
        <v>3</v>
      </c>
      <c r="E11" s="148">
        <v>0</v>
      </c>
      <c r="F11" s="148">
        <v>0</v>
      </c>
    </row>
    <row r="12" spans="1:9" x14ac:dyDescent="0.3">
      <c r="A12" s="12">
        <v>56</v>
      </c>
      <c r="B12" s="122" t="s">
        <v>14</v>
      </c>
      <c r="C12" s="148">
        <v>3</v>
      </c>
      <c r="D12" s="148">
        <v>0</v>
      </c>
      <c r="E12" s="148">
        <v>0</v>
      </c>
      <c r="F12" s="148">
        <v>0</v>
      </c>
    </row>
    <row r="13" spans="1:9" x14ac:dyDescent="0.3">
      <c r="A13" s="12">
        <v>57</v>
      </c>
      <c r="B13" s="122" t="s">
        <v>15</v>
      </c>
      <c r="C13" s="148">
        <v>6</v>
      </c>
      <c r="D13" s="148">
        <v>0</v>
      </c>
      <c r="E13" s="148">
        <v>0</v>
      </c>
      <c r="F13" s="148">
        <v>0</v>
      </c>
    </row>
    <row r="14" spans="1:9" x14ac:dyDescent="0.3">
      <c r="A14" s="12">
        <v>59</v>
      </c>
      <c r="B14" s="122" t="s">
        <v>16</v>
      </c>
      <c r="C14" s="148">
        <v>13</v>
      </c>
      <c r="D14" s="148">
        <v>4</v>
      </c>
      <c r="E14" s="148">
        <v>1</v>
      </c>
      <c r="F14" s="148">
        <v>0</v>
      </c>
    </row>
    <row r="15" spans="1:9" x14ac:dyDescent="0.3">
      <c r="A15" s="12">
        <v>60</v>
      </c>
      <c r="B15" s="122" t="s">
        <v>17</v>
      </c>
      <c r="C15" s="148">
        <v>10</v>
      </c>
      <c r="D15" s="148">
        <v>3</v>
      </c>
      <c r="E15" s="148">
        <v>0</v>
      </c>
      <c r="F15" s="148">
        <v>0</v>
      </c>
    </row>
    <row r="16" spans="1:9" x14ac:dyDescent="0.3">
      <c r="A16" s="12">
        <v>61</v>
      </c>
      <c r="B16" s="149" t="s">
        <v>18</v>
      </c>
      <c r="C16" s="148">
        <v>42</v>
      </c>
      <c r="D16" s="148">
        <v>9</v>
      </c>
      <c r="E16" s="148">
        <v>1</v>
      </c>
      <c r="F16" s="148">
        <v>0</v>
      </c>
    </row>
    <row r="17" spans="1:6" s="181" customFormat="1" x14ac:dyDescent="0.3">
      <c r="A17" s="12"/>
      <c r="B17" s="130" t="s">
        <v>122</v>
      </c>
      <c r="C17" s="163">
        <v>57</v>
      </c>
      <c r="D17" s="163">
        <v>13</v>
      </c>
      <c r="E17" s="163">
        <v>2</v>
      </c>
      <c r="F17" s="163">
        <v>0</v>
      </c>
    </row>
    <row r="18" spans="1:6" x14ac:dyDescent="0.3">
      <c r="A18" s="12">
        <v>58</v>
      </c>
      <c r="B18" s="122" t="s">
        <v>20</v>
      </c>
      <c r="C18" s="148">
        <v>5</v>
      </c>
      <c r="D18" s="148">
        <v>2</v>
      </c>
      <c r="E18" s="148">
        <v>0</v>
      </c>
      <c r="F18" s="148">
        <v>0</v>
      </c>
    </row>
    <row r="19" spans="1:6" x14ac:dyDescent="0.3">
      <c r="A19" s="12">
        <v>63</v>
      </c>
      <c r="B19" s="122" t="s">
        <v>21</v>
      </c>
      <c r="C19" s="148">
        <v>42</v>
      </c>
      <c r="D19" s="148">
        <v>3</v>
      </c>
      <c r="E19" s="148">
        <v>1</v>
      </c>
      <c r="F19" s="148">
        <v>0</v>
      </c>
    </row>
    <row r="20" spans="1:6" x14ac:dyDescent="0.3">
      <c r="A20" s="12">
        <v>64</v>
      </c>
      <c r="B20" s="122" t="s">
        <v>22</v>
      </c>
      <c r="C20" s="148">
        <v>42</v>
      </c>
      <c r="D20" s="148">
        <v>11</v>
      </c>
      <c r="E20" s="148">
        <v>0</v>
      </c>
      <c r="F20" s="148">
        <v>0</v>
      </c>
    </row>
    <row r="21" spans="1:6" x14ac:dyDescent="0.3">
      <c r="A21" s="12">
        <v>65</v>
      </c>
      <c r="B21" s="122" t="s">
        <v>23</v>
      </c>
      <c r="C21" s="148">
        <v>37</v>
      </c>
      <c r="D21" s="148">
        <v>4</v>
      </c>
      <c r="E21" s="148">
        <v>4</v>
      </c>
      <c r="F21" s="148">
        <v>0</v>
      </c>
    </row>
    <row r="22" spans="1:6" x14ac:dyDescent="0.3">
      <c r="A22" s="12">
        <v>67</v>
      </c>
      <c r="B22" s="122" t="s">
        <v>24</v>
      </c>
      <c r="C22" s="148">
        <v>50</v>
      </c>
      <c r="D22" s="148">
        <v>12</v>
      </c>
      <c r="E22" s="147">
        <v>6</v>
      </c>
      <c r="F22" s="148">
        <v>0</v>
      </c>
    </row>
    <row r="23" spans="1:6" x14ac:dyDescent="0.3">
      <c r="A23" s="12">
        <v>68</v>
      </c>
      <c r="B23" s="122" t="s">
        <v>25</v>
      </c>
      <c r="C23" s="148">
        <v>30</v>
      </c>
      <c r="D23" s="148">
        <v>3</v>
      </c>
      <c r="E23" s="148">
        <v>0</v>
      </c>
      <c r="F23" s="148">
        <v>0</v>
      </c>
    </row>
    <row r="24" spans="1:6" x14ac:dyDescent="0.3">
      <c r="A24" s="12">
        <v>69</v>
      </c>
      <c r="B24" s="122" t="s">
        <v>26</v>
      </c>
      <c r="C24" s="148">
        <v>23</v>
      </c>
      <c r="D24" s="148">
        <v>3</v>
      </c>
      <c r="E24" s="148">
        <v>1</v>
      </c>
      <c r="F24" s="148">
        <v>0</v>
      </c>
    </row>
    <row r="25" spans="1:6" x14ac:dyDescent="0.3">
      <c r="A25" s="12">
        <v>70</v>
      </c>
      <c r="B25" s="122" t="s">
        <v>27</v>
      </c>
      <c r="C25" s="148">
        <v>56</v>
      </c>
      <c r="D25" s="148">
        <v>2</v>
      </c>
      <c r="E25" s="148">
        <v>0</v>
      </c>
      <c r="F25" s="148">
        <v>0</v>
      </c>
    </row>
    <row r="26" spans="1:6" x14ac:dyDescent="0.3">
      <c r="A26" s="12">
        <v>71</v>
      </c>
      <c r="B26" s="150" t="s">
        <v>28</v>
      </c>
      <c r="C26" s="148">
        <v>11</v>
      </c>
      <c r="D26" s="148">
        <v>1</v>
      </c>
      <c r="E26" s="148">
        <v>0</v>
      </c>
      <c r="F26" s="148">
        <v>0</v>
      </c>
    </row>
    <row r="27" spans="1:6" x14ac:dyDescent="0.3">
      <c r="A27" s="12">
        <v>73</v>
      </c>
      <c r="B27" s="122" t="s">
        <v>29</v>
      </c>
      <c r="C27" s="148">
        <v>33</v>
      </c>
      <c r="D27" s="148">
        <v>7</v>
      </c>
      <c r="E27" s="148">
        <v>0</v>
      </c>
      <c r="F27" s="148">
        <v>0</v>
      </c>
    </row>
    <row r="28" spans="1:6" x14ac:dyDescent="0.3">
      <c r="A28" s="12">
        <v>74</v>
      </c>
      <c r="B28" s="122" t="s">
        <v>30</v>
      </c>
      <c r="C28" s="148">
        <v>17</v>
      </c>
      <c r="D28" s="148">
        <v>5</v>
      </c>
      <c r="E28" s="148">
        <v>0</v>
      </c>
      <c r="F28" s="148">
        <v>0</v>
      </c>
    </row>
    <row r="29" spans="1:6" x14ac:dyDescent="0.3">
      <c r="A29" s="12">
        <v>75</v>
      </c>
      <c r="B29" s="122" t="s">
        <v>31</v>
      </c>
      <c r="C29" s="148">
        <v>27</v>
      </c>
      <c r="D29" s="148">
        <v>6</v>
      </c>
      <c r="E29" s="148">
        <v>1</v>
      </c>
      <c r="F29" s="148">
        <v>0</v>
      </c>
    </row>
    <row r="30" spans="1:6" x14ac:dyDescent="0.3">
      <c r="A30" s="12">
        <v>76</v>
      </c>
      <c r="B30" s="122" t="s">
        <v>32</v>
      </c>
      <c r="C30" s="148">
        <v>21</v>
      </c>
      <c r="D30" s="148">
        <v>7</v>
      </c>
      <c r="E30" s="148">
        <v>0</v>
      </c>
      <c r="F30" s="148">
        <v>0</v>
      </c>
    </row>
    <row r="31" spans="1:6" x14ac:dyDescent="0.3">
      <c r="A31" s="12">
        <v>79</v>
      </c>
      <c r="B31" s="122" t="s">
        <v>33</v>
      </c>
      <c r="C31" s="148">
        <v>40</v>
      </c>
      <c r="D31" s="148">
        <v>9</v>
      </c>
      <c r="E31" s="148">
        <v>1</v>
      </c>
      <c r="F31" s="148">
        <v>0</v>
      </c>
    </row>
    <row r="32" spans="1:6" x14ac:dyDescent="0.3">
      <c r="A32" s="12">
        <v>80</v>
      </c>
      <c r="B32" s="122" t="s">
        <v>34</v>
      </c>
      <c r="C32" s="148">
        <v>49</v>
      </c>
      <c r="D32" s="148">
        <v>10</v>
      </c>
      <c r="E32" s="148">
        <v>0</v>
      </c>
      <c r="F32" s="148">
        <v>0</v>
      </c>
    </row>
    <row r="33" spans="1:10" x14ac:dyDescent="0.3">
      <c r="A33" s="12">
        <v>81</v>
      </c>
      <c r="B33" s="122" t="s">
        <v>35</v>
      </c>
      <c r="C33" s="148">
        <v>19</v>
      </c>
      <c r="D33" s="148">
        <v>1</v>
      </c>
      <c r="E33" s="148">
        <v>0</v>
      </c>
      <c r="F33" s="148">
        <v>0</v>
      </c>
    </row>
    <row r="34" spans="1:10" x14ac:dyDescent="0.3">
      <c r="A34" s="12">
        <v>83</v>
      </c>
      <c r="B34" s="122" t="s">
        <v>36</v>
      </c>
      <c r="C34" s="148">
        <v>13</v>
      </c>
      <c r="D34" s="148">
        <v>0</v>
      </c>
      <c r="E34" s="148">
        <v>1</v>
      </c>
      <c r="F34" s="148">
        <v>0</v>
      </c>
    </row>
    <row r="35" spans="1:10" x14ac:dyDescent="0.3">
      <c r="A35" s="12">
        <v>84</v>
      </c>
      <c r="B35" s="122" t="s">
        <v>37</v>
      </c>
      <c r="C35" s="148">
        <v>23</v>
      </c>
      <c r="D35" s="148">
        <v>3</v>
      </c>
      <c r="E35" s="148">
        <v>0</v>
      </c>
      <c r="F35" s="148">
        <v>0</v>
      </c>
    </row>
    <row r="36" spans="1:10" ht="14" x14ac:dyDescent="0.3">
      <c r="A36" s="12">
        <v>85</v>
      </c>
      <c r="B36" s="122" t="s">
        <v>38</v>
      </c>
      <c r="C36" s="148">
        <v>24</v>
      </c>
      <c r="D36" s="148">
        <v>3</v>
      </c>
      <c r="E36" s="148">
        <v>0</v>
      </c>
      <c r="F36" s="148">
        <v>0</v>
      </c>
      <c r="G36" s="127"/>
    </row>
    <row r="37" spans="1:10" ht="14" x14ac:dyDescent="0.3">
      <c r="A37" s="12">
        <v>87</v>
      </c>
      <c r="B37" s="122" t="s">
        <v>39</v>
      </c>
      <c r="C37" s="148">
        <v>26</v>
      </c>
      <c r="D37" s="148">
        <v>3</v>
      </c>
      <c r="E37" s="148">
        <v>0</v>
      </c>
      <c r="F37" s="148">
        <v>0</v>
      </c>
      <c r="H37" s="127"/>
      <c r="I37" s="127"/>
    </row>
    <row r="38" spans="1:10" x14ac:dyDescent="0.3">
      <c r="A38" s="12">
        <v>90</v>
      </c>
      <c r="B38" s="122" t="s">
        <v>40</v>
      </c>
      <c r="C38" s="148">
        <v>26</v>
      </c>
      <c r="D38" s="148">
        <v>4</v>
      </c>
      <c r="E38" s="148">
        <v>0</v>
      </c>
      <c r="F38" s="148">
        <v>0</v>
      </c>
    </row>
    <row r="39" spans="1:10" x14ac:dyDescent="0.3">
      <c r="A39" s="12">
        <v>91</v>
      </c>
      <c r="B39" s="122" t="s">
        <v>41</v>
      </c>
      <c r="C39" s="148">
        <v>36</v>
      </c>
      <c r="D39" s="148">
        <v>3</v>
      </c>
      <c r="E39" s="148">
        <v>0</v>
      </c>
      <c r="F39" s="148">
        <v>0</v>
      </c>
    </row>
    <row r="40" spans="1:10" x14ac:dyDescent="0.3">
      <c r="A40" s="12">
        <v>92</v>
      </c>
      <c r="B40" s="122" t="s">
        <v>42</v>
      </c>
      <c r="C40" s="148">
        <v>16</v>
      </c>
      <c r="D40" s="148">
        <v>1</v>
      </c>
      <c r="E40" s="148">
        <v>0</v>
      </c>
      <c r="F40" s="148">
        <v>0</v>
      </c>
    </row>
    <row r="41" spans="1:10" x14ac:dyDescent="0.3">
      <c r="A41" s="12">
        <v>94</v>
      </c>
      <c r="B41" s="122" t="s">
        <v>43</v>
      </c>
      <c r="C41" s="148">
        <v>16</v>
      </c>
      <c r="D41" s="148">
        <v>0</v>
      </c>
      <c r="E41" s="148">
        <v>0</v>
      </c>
      <c r="F41" s="148">
        <v>0</v>
      </c>
    </row>
    <row r="42" spans="1:10" ht="14" x14ac:dyDescent="0.3">
      <c r="A42" s="12">
        <v>96</v>
      </c>
      <c r="B42" s="122" t="s">
        <v>44</v>
      </c>
      <c r="C42" s="148">
        <v>19</v>
      </c>
      <c r="D42" s="148">
        <v>3</v>
      </c>
      <c r="E42" s="148">
        <v>0</v>
      </c>
      <c r="F42" s="148">
        <v>0</v>
      </c>
      <c r="J42" s="127"/>
    </row>
    <row r="43" spans="1:10" x14ac:dyDescent="0.3">
      <c r="A43" s="12">
        <v>72</v>
      </c>
      <c r="B43" s="150" t="s">
        <v>46</v>
      </c>
      <c r="C43" s="148">
        <v>0</v>
      </c>
      <c r="D43" s="148">
        <v>0</v>
      </c>
      <c r="E43" s="148">
        <v>0</v>
      </c>
      <c r="F43" s="148">
        <v>0</v>
      </c>
    </row>
    <row r="44" spans="1:10" s="127" customFormat="1" ht="25.5" customHeight="1" x14ac:dyDescent="0.3">
      <c r="A44" s="50"/>
      <c r="B44" s="127" t="s">
        <v>47</v>
      </c>
      <c r="C44" s="153">
        <v>285</v>
      </c>
      <c r="D44" s="153">
        <v>58</v>
      </c>
      <c r="E44" s="153">
        <v>2</v>
      </c>
      <c r="F44" s="153">
        <v>0</v>
      </c>
    </row>
    <row r="45" spans="1:10" x14ac:dyDescent="0.3">
      <c r="A45" s="12">
        <v>66</v>
      </c>
      <c r="B45" s="122" t="s">
        <v>48</v>
      </c>
      <c r="C45" s="148">
        <v>22</v>
      </c>
      <c r="D45" s="148">
        <v>3</v>
      </c>
      <c r="E45" s="148">
        <v>0</v>
      </c>
      <c r="F45" s="148">
        <v>0</v>
      </c>
    </row>
    <row r="46" spans="1:10" x14ac:dyDescent="0.3">
      <c r="A46" s="12">
        <v>78</v>
      </c>
      <c r="B46" s="122" t="s">
        <v>49</v>
      </c>
      <c r="C46" s="148">
        <v>11</v>
      </c>
      <c r="D46" s="148">
        <v>2</v>
      </c>
      <c r="E46" s="148">
        <v>0</v>
      </c>
      <c r="F46" s="148">
        <v>0</v>
      </c>
    </row>
    <row r="47" spans="1:10" x14ac:dyDescent="0.3">
      <c r="A47" s="12">
        <v>89</v>
      </c>
      <c r="B47" s="122" t="s">
        <v>50</v>
      </c>
      <c r="C47" s="148">
        <v>44</v>
      </c>
      <c r="D47" s="148">
        <v>5</v>
      </c>
      <c r="E47" s="148">
        <v>0</v>
      </c>
      <c r="F47" s="148">
        <v>0</v>
      </c>
    </row>
    <row r="48" spans="1:10" x14ac:dyDescent="0.3">
      <c r="A48" s="12">
        <v>93</v>
      </c>
      <c r="B48" s="122" t="s">
        <v>51</v>
      </c>
      <c r="C48" s="148">
        <v>11</v>
      </c>
      <c r="D48" s="148">
        <v>2</v>
      </c>
      <c r="E48" s="148">
        <v>1</v>
      </c>
      <c r="F48" s="148">
        <v>0</v>
      </c>
    </row>
    <row r="49" spans="1:6" x14ac:dyDescent="0.3">
      <c r="A49" s="12">
        <v>95</v>
      </c>
      <c r="B49" s="122" t="s">
        <v>52</v>
      </c>
      <c r="C49" s="148">
        <v>29</v>
      </c>
      <c r="D49" s="148">
        <v>4</v>
      </c>
      <c r="E49" s="148">
        <v>0</v>
      </c>
      <c r="F49" s="148">
        <v>0</v>
      </c>
    </row>
    <row r="50" spans="1:6" x14ac:dyDescent="0.3">
      <c r="A50" s="12">
        <v>97</v>
      </c>
      <c r="B50" s="122" t="s">
        <v>53</v>
      </c>
      <c r="C50" s="147">
        <v>70</v>
      </c>
      <c r="D50" s="148">
        <v>10</v>
      </c>
      <c r="E50" s="148">
        <v>1</v>
      </c>
      <c r="F50" s="148">
        <v>0</v>
      </c>
    </row>
    <row r="51" spans="1:6" x14ac:dyDescent="0.3">
      <c r="A51" s="12">
        <v>77</v>
      </c>
      <c r="B51" s="154" t="s">
        <v>54</v>
      </c>
      <c r="C51" s="156">
        <v>98</v>
      </c>
      <c r="D51" s="156">
        <v>32</v>
      </c>
      <c r="E51" s="156">
        <v>0</v>
      </c>
      <c r="F51" s="156">
        <v>0</v>
      </c>
    </row>
    <row r="52" spans="1:6" x14ac:dyDescent="0.3">
      <c r="C52" s="148"/>
      <c r="D52" s="160"/>
      <c r="E52" s="148"/>
      <c r="F52" s="148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57"/>
      <c r="C60" s="54"/>
      <c r="D60" s="54"/>
      <c r="E60" s="54"/>
      <c r="F60" s="54"/>
    </row>
    <row r="61" spans="1:6" x14ac:dyDescent="0.3">
      <c r="B61" s="138" t="s">
        <v>57</v>
      </c>
    </row>
    <row r="63" spans="1:6" x14ac:dyDescent="0.3">
      <c r="B63" s="141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2"/>
  </sheetPr>
  <dimension ref="B1:M68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9.26953125" style="122"/>
    <col min="2" max="2" width="24.7265625" style="122" customWidth="1"/>
    <col min="3" max="3" width="11" style="122" customWidth="1"/>
    <col min="4" max="4" width="11.7265625" style="122" customWidth="1"/>
    <col min="5" max="10" width="11" style="122" customWidth="1"/>
    <col min="11" max="257" width="9.26953125" style="122"/>
    <col min="258" max="258" width="24.7265625" style="122" customWidth="1"/>
    <col min="259" max="259" width="11" style="122" customWidth="1"/>
    <col min="260" max="260" width="11.7265625" style="122" customWidth="1"/>
    <col min="261" max="266" width="11" style="122" customWidth="1"/>
    <col min="267" max="513" width="9.26953125" style="122"/>
    <col min="514" max="514" width="24.7265625" style="122" customWidth="1"/>
    <col min="515" max="515" width="11" style="122" customWidth="1"/>
    <col min="516" max="516" width="11.7265625" style="122" customWidth="1"/>
    <col min="517" max="522" width="11" style="122" customWidth="1"/>
    <col min="523" max="769" width="9.26953125" style="122"/>
    <col min="770" max="770" width="24.7265625" style="122" customWidth="1"/>
    <col min="771" max="771" width="11" style="122" customWidth="1"/>
    <col min="772" max="772" width="11.7265625" style="122" customWidth="1"/>
    <col min="773" max="778" width="11" style="122" customWidth="1"/>
    <col min="779" max="1025" width="9.26953125" style="122"/>
    <col min="1026" max="1026" width="24.7265625" style="122" customWidth="1"/>
    <col min="1027" max="1027" width="11" style="122" customWidth="1"/>
    <col min="1028" max="1028" width="11.7265625" style="122" customWidth="1"/>
    <col min="1029" max="1034" width="11" style="122" customWidth="1"/>
    <col min="1035" max="1281" width="9.26953125" style="122"/>
    <col min="1282" max="1282" width="24.7265625" style="122" customWidth="1"/>
    <col min="1283" max="1283" width="11" style="122" customWidth="1"/>
    <col min="1284" max="1284" width="11.7265625" style="122" customWidth="1"/>
    <col min="1285" max="1290" width="11" style="122" customWidth="1"/>
    <col min="1291" max="1537" width="9.26953125" style="122"/>
    <col min="1538" max="1538" width="24.7265625" style="122" customWidth="1"/>
    <col min="1539" max="1539" width="11" style="122" customWidth="1"/>
    <col min="1540" max="1540" width="11.7265625" style="122" customWidth="1"/>
    <col min="1541" max="1546" width="11" style="122" customWidth="1"/>
    <col min="1547" max="1793" width="9.26953125" style="122"/>
    <col min="1794" max="1794" width="24.7265625" style="122" customWidth="1"/>
    <col min="1795" max="1795" width="11" style="122" customWidth="1"/>
    <col min="1796" max="1796" width="11.7265625" style="122" customWidth="1"/>
    <col min="1797" max="1802" width="11" style="122" customWidth="1"/>
    <col min="1803" max="2049" width="9.26953125" style="122"/>
    <col min="2050" max="2050" width="24.7265625" style="122" customWidth="1"/>
    <col min="2051" max="2051" width="11" style="122" customWidth="1"/>
    <col min="2052" max="2052" width="11.7265625" style="122" customWidth="1"/>
    <col min="2053" max="2058" width="11" style="122" customWidth="1"/>
    <col min="2059" max="2305" width="9.26953125" style="122"/>
    <col min="2306" max="2306" width="24.7265625" style="122" customWidth="1"/>
    <col min="2307" max="2307" width="11" style="122" customWidth="1"/>
    <col min="2308" max="2308" width="11.7265625" style="122" customWidth="1"/>
    <col min="2309" max="2314" width="11" style="122" customWidth="1"/>
    <col min="2315" max="2561" width="9.26953125" style="122"/>
    <col min="2562" max="2562" width="24.7265625" style="122" customWidth="1"/>
    <col min="2563" max="2563" width="11" style="122" customWidth="1"/>
    <col min="2564" max="2564" width="11.7265625" style="122" customWidth="1"/>
    <col min="2565" max="2570" width="11" style="122" customWidth="1"/>
    <col min="2571" max="2817" width="9.26953125" style="122"/>
    <col min="2818" max="2818" width="24.7265625" style="122" customWidth="1"/>
    <col min="2819" max="2819" width="11" style="122" customWidth="1"/>
    <col min="2820" max="2820" width="11.7265625" style="122" customWidth="1"/>
    <col min="2821" max="2826" width="11" style="122" customWidth="1"/>
    <col min="2827" max="3073" width="9.26953125" style="122"/>
    <col min="3074" max="3074" width="24.7265625" style="122" customWidth="1"/>
    <col min="3075" max="3075" width="11" style="122" customWidth="1"/>
    <col min="3076" max="3076" width="11.7265625" style="122" customWidth="1"/>
    <col min="3077" max="3082" width="11" style="122" customWidth="1"/>
    <col min="3083" max="3329" width="9.26953125" style="122"/>
    <col min="3330" max="3330" width="24.7265625" style="122" customWidth="1"/>
    <col min="3331" max="3331" width="11" style="122" customWidth="1"/>
    <col min="3332" max="3332" width="11.7265625" style="122" customWidth="1"/>
    <col min="3333" max="3338" width="11" style="122" customWidth="1"/>
    <col min="3339" max="3585" width="9.26953125" style="122"/>
    <col min="3586" max="3586" width="24.7265625" style="122" customWidth="1"/>
    <col min="3587" max="3587" width="11" style="122" customWidth="1"/>
    <col min="3588" max="3588" width="11.7265625" style="122" customWidth="1"/>
    <col min="3589" max="3594" width="11" style="122" customWidth="1"/>
    <col min="3595" max="3841" width="9.26953125" style="122"/>
    <col min="3842" max="3842" width="24.7265625" style="122" customWidth="1"/>
    <col min="3843" max="3843" width="11" style="122" customWidth="1"/>
    <col min="3844" max="3844" width="11.7265625" style="122" customWidth="1"/>
    <col min="3845" max="3850" width="11" style="122" customWidth="1"/>
    <col min="3851" max="4097" width="9.26953125" style="122"/>
    <col min="4098" max="4098" width="24.7265625" style="122" customWidth="1"/>
    <col min="4099" max="4099" width="11" style="122" customWidth="1"/>
    <col min="4100" max="4100" width="11.7265625" style="122" customWidth="1"/>
    <col min="4101" max="4106" width="11" style="122" customWidth="1"/>
    <col min="4107" max="4353" width="9.26953125" style="122"/>
    <col min="4354" max="4354" width="24.7265625" style="122" customWidth="1"/>
    <col min="4355" max="4355" width="11" style="122" customWidth="1"/>
    <col min="4356" max="4356" width="11.7265625" style="122" customWidth="1"/>
    <col min="4357" max="4362" width="11" style="122" customWidth="1"/>
    <col min="4363" max="4609" width="9.26953125" style="122"/>
    <col min="4610" max="4610" width="24.7265625" style="122" customWidth="1"/>
    <col min="4611" max="4611" width="11" style="122" customWidth="1"/>
    <col min="4612" max="4612" width="11.7265625" style="122" customWidth="1"/>
    <col min="4613" max="4618" width="11" style="122" customWidth="1"/>
    <col min="4619" max="4865" width="9.26953125" style="122"/>
    <col min="4866" max="4866" width="24.7265625" style="122" customWidth="1"/>
    <col min="4867" max="4867" width="11" style="122" customWidth="1"/>
    <col min="4868" max="4868" width="11.7265625" style="122" customWidth="1"/>
    <col min="4869" max="4874" width="11" style="122" customWidth="1"/>
    <col min="4875" max="5121" width="9.26953125" style="122"/>
    <col min="5122" max="5122" width="24.7265625" style="122" customWidth="1"/>
    <col min="5123" max="5123" width="11" style="122" customWidth="1"/>
    <col min="5124" max="5124" width="11.7265625" style="122" customWidth="1"/>
    <col min="5125" max="5130" width="11" style="122" customWidth="1"/>
    <col min="5131" max="5377" width="9.26953125" style="122"/>
    <col min="5378" max="5378" width="24.7265625" style="122" customWidth="1"/>
    <col min="5379" max="5379" width="11" style="122" customWidth="1"/>
    <col min="5380" max="5380" width="11.7265625" style="122" customWidth="1"/>
    <col min="5381" max="5386" width="11" style="122" customWidth="1"/>
    <col min="5387" max="5633" width="9.26953125" style="122"/>
    <col min="5634" max="5634" width="24.7265625" style="122" customWidth="1"/>
    <col min="5635" max="5635" width="11" style="122" customWidth="1"/>
    <col min="5636" max="5636" width="11.7265625" style="122" customWidth="1"/>
    <col min="5637" max="5642" width="11" style="122" customWidth="1"/>
    <col min="5643" max="5889" width="9.26953125" style="122"/>
    <col min="5890" max="5890" width="24.7265625" style="122" customWidth="1"/>
    <col min="5891" max="5891" width="11" style="122" customWidth="1"/>
    <col min="5892" max="5892" width="11.7265625" style="122" customWidth="1"/>
    <col min="5893" max="5898" width="11" style="122" customWidth="1"/>
    <col min="5899" max="6145" width="9.26953125" style="122"/>
    <col min="6146" max="6146" width="24.7265625" style="122" customWidth="1"/>
    <col min="6147" max="6147" width="11" style="122" customWidth="1"/>
    <col min="6148" max="6148" width="11.7265625" style="122" customWidth="1"/>
    <col min="6149" max="6154" width="11" style="122" customWidth="1"/>
    <col min="6155" max="6401" width="9.26953125" style="122"/>
    <col min="6402" max="6402" width="24.7265625" style="122" customWidth="1"/>
    <col min="6403" max="6403" width="11" style="122" customWidth="1"/>
    <col min="6404" max="6404" width="11.7265625" style="122" customWidth="1"/>
    <col min="6405" max="6410" width="11" style="122" customWidth="1"/>
    <col min="6411" max="6657" width="9.26953125" style="122"/>
    <col min="6658" max="6658" width="24.7265625" style="122" customWidth="1"/>
    <col min="6659" max="6659" width="11" style="122" customWidth="1"/>
    <col min="6660" max="6660" width="11.7265625" style="122" customWidth="1"/>
    <col min="6661" max="6666" width="11" style="122" customWidth="1"/>
    <col min="6667" max="6913" width="9.26953125" style="122"/>
    <col min="6914" max="6914" width="24.7265625" style="122" customWidth="1"/>
    <col min="6915" max="6915" width="11" style="122" customWidth="1"/>
    <col min="6916" max="6916" width="11.7265625" style="122" customWidth="1"/>
    <col min="6917" max="6922" width="11" style="122" customWidth="1"/>
    <col min="6923" max="7169" width="9.26953125" style="122"/>
    <col min="7170" max="7170" width="24.7265625" style="122" customWidth="1"/>
    <col min="7171" max="7171" width="11" style="122" customWidth="1"/>
    <col min="7172" max="7172" width="11.7265625" style="122" customWidth="1"/>
    <col min="7173" max="7178" width="11" style="122" customWidth="1"/>
    <col min="7179" max="7425" width="9.26953125" style="122"/>
    <col min="7426" max="7426" width="24.7265625" style="122" customWidth="1"/>
    <col min="7427" max="7427" width="11" style="122" customWidth="1"/>
    <col min="7428" max="7428" width="11.7265625" style="122" customWidth="1"/>
    <col min="7429" max="7434" width="11" style="122" customWidth="1"/>
    <col min="7435" max="7681" width="9.26953125" style="122"/>
    <col min="7682" max="7682" width="24.7265625" style="122" customWidth="1"/>
    <col min="7683" max="7683" width="11" style="122" customWidth="1"/>
    <col min="7684" max="7684" width="11.7265625" style="122" customWidth="1"/>
    <col min="7685" max="7690" width="11" style="122" customWidth="1"/>
    <col min="7691" max="7937" width="9.26953125" style="122"/>
    <col min="7938" max="7938" width="24.7265625" style="122" customWidth="1"/>
    <col min="7939" max="7939" width="11" style="122" customWidth="1"/>
    <col min="7940" max="7940" width="11.7265625" style="122" customWidth="1"/>
    <col min="7941" max="7946" width="11" style="122" customWidth="1"/>
    <col min="7947" max="8193" width="9.26953125" style="122"/>
    <col min="8194" max="8194" width="24.7265625" style="122" customWidth="1"/>
    <col min="8195" max="8195" width="11" style="122" customWidth="1"/>
    <col min="8196" max="8196" width="11.7265625" style="122" customWidth="1"/>
    <col min="8197" max="8202" width="11" style="122" customWidth="1"/>
    <col min="8203" max="8449" width="9.26953125" style="122"/>
    <col min="8450" max="8450" width="24.7265625" style="122" customWidth="1"/>
    <col min="8451" max="8451" width="11" style="122" customWidth="1"/>
    <col min="8452" max="8452" width="11.7265625" style="122" customWidth="1"/>
    <col min="8453" max="8458" width="11" style="122" customWidth="1"/>
    <col min="8459" max="8705" width="9.26953125" style="122"/>
    <col min="8706" max="8706" width="24.7265625" style="122" customWidth="1"/>
    <col min="8707" max="8707" width="11" style="122" customWidth="1"/>
    <col min="8708" max="8708" width="11.7265625" style="122" customWidth="1"/>
    <col min="8709" max="8714" width="11" style="122" customWidth="1"/>
    <col min="8715" max="8961" width="9.26953125" style="122"/>
    <col min="8962" max="8962" width="24.7265625" style="122" customWidth="1"/>
    <col min="8963" max="8963" width="11" style="122" customWidth="1"/>
    <col min="8964" max="8964" width="11.7265625" style="122" customWidth="1"/>
    <col min="8965" max="8970" width="11" style="122" customWidth="1"/>
    <col min="8971" max="9217" width="9.26953125" style="122"/>
    <col min="9218" max="9218" width="24.7265625" style="122" customWidth="1"/>
    <col min="9219" max="9219" width="11" style="122" customWidth="1"/>
    <col min="9220" max="9220" width="11.7265625" style="122" customWidth="1"/>
    <col min="9221" max="9226" width="11" style="122" customWidth="1"/>
    <col min="9227" max="9473" width="9.26953125" style="122"/>
    <col min="9474" max="9474" width="24.7265625" style="122" customWidth="1"/>
    <col min="9475" max="9475" width="11" style="122" customWidth="1"/>
    <col min="9476" max="9476" width="11.7265625" style="122" customWidth="1"/>
    <col min="9477" max="9482" width="11" style="122" customWidth="1"/>
    <col min="9483" max="9729" width="9.26953125" style="122"/>
    <col min="9730" max="9730" width="24.7265625" style="122" customWidth="1"/>
    <col min="9731" max="9731" width="11" style="122" customWidth="1"/>
    <col min="9732" max="9732" width="11.7265625" style="122" customWidth="1"/>
    <col min="9733" max="9738" width="11" style="122" customWidth="1"/>
    <col min="9739" max="9985" width="9.26953125" style="122"/>
    <col min="9986" max="9986" width="24.7265625" style="122" customWidth="1"/>
    <col min="9987" max="9987" width="11" style="122" customWidth="1"/>
    <col min="9988" max="9988" width="11.7265625" style="122" customWidth="1"/>
    <col min="9989" max="9994" width="11" style="122" customWidth="1"/>
    <col min="9995" max="10241" width="9.26953125" style="122"/>
    <col min="10242" max="10242" width="24.7265625" style="122" customWidth="1"/>
    <col min="10243" max="10243" width="11" style="122" customWidth="1"/>
    <col min="10244" max="10244" width="11.7265625" style="122" customWidth="1"/>
    <col min="10245" max="10250" width="11" style="122" customWidth="1"/>
    <col min="10251" max="10497" width="9.26953125" style="122"/>
    <col min="10498" max="10498" width="24.7265625" style="122" customWidth="1"/>
    <col min="10499" max="10499" width="11" style="122" customWidth="1"/>
    <col min="10500" max="10500" width="11.7265625" style="122" customWidth="1"/>
    <col min="10501" max="10506" width="11" style="122" customWidth="1"/>
    <col min="10507" max="10753" width="9.26953125" style="122"/>
    <col min="10754" max="10754" width="24.7265625" style="122" customWidth="1"/>
    <col min="10755" max="10755" width="11" style="122" customWidth="1"/>
    <col min="10756" max="10756" width="11.7265625" style="122" customWidth="1"/>
    <col min="10757" max="10762" width="11" style="122" customWidth="1"/>
    <col min="10763" max="11009" width="9.26953125" style="122"/>
    <col min="11010" max="11010" width="24.7265625" style="122" customWidth="1"/>
    <col min="11011" max="11011" width="11" style="122" customWidth="1"/>
    <col min="11012" max="11012" width="11.7265625" style="122" customWidth="1"/>
    <col min="11013" max="11018" width="11" style="122" customWidth="1"/>
    <col min="11019" max="11265" width="9.26953125" style="122"/>
    <col min="11266" max="11266" width="24.7265625" style="122" customWidth="1"/>
    <col min="11267" max="11267" width="11" style="122" customWidth="1"/>
    <col min="11268" max="11268" width="11.7265625" style="122" customWidth="1"/>
    <col min="11269" max="11274" width="11" style="122" customWidth="1"/>
    <col min="11275" max="11521" width="9.26953125" style="122"/>
    <col min="11522" max="11522" width="24.7265625" style="122" customWidth="1"/>
    <col min="11523" max="11523" width="11" style="122" customWidth="1"/>
    <col min="11524" max="11524" width="11.7265625" style="122" customWidth="1"/>
    <col min="11525" max="11530" width="11" style="122" customWidth="1"/>
    <col min="11531" max="11777" width="9.26953125" style="122"/>
    <col min="11778" max="11778" width="24.7265625" style="122" customWidth="1"/>
    <col min="11779" max="11779" width="11" style="122" customWidth="1"/>
    <col min="11780" max="11780" width="11.7265625" style="122" customWidth="1"/>
    <col min="11781" max="11786" width="11" style="122" customWidth="1"/>
    <col min="11787" max="12033" width="9.26953125" style="122"/>
    <col min="12034" max="12034" width="24.7265625" style="122" customWidth="1"/>
    <col min="12035" max="12035" width="11" style="122" customWidth="1"/>
    <col min="12036" max="12036" width="11.7265625" style="122" customWidth="1"/>
    <col min="12037" max="12042" width="11" style="122" customWidth="1"/>
    <col min="12043" max="12289" width="9.26953125" style="122"/>
    <col min="12290" max="12290" width="24.7265625" style="122" customWidth="1"/>
    <col min="12291" max="12291" width="11" style="122" customWidth="1"/>
    <col min="12292" max="12292" width="11.7265625" style="122" customWidth="1"/>
    <col min="12293" max="12298" width="11" style="122" customWidth="1"/>
    <col min="12299" max="12545" width="9.26953125" style="122"/>
    <col min="12546" max="12546" width="24.7265625" style="122" customWidth="1"/>
    <col min="12547" max="12547" width="11" style="122" customWidth="1"/>
    <col min="12548" max="12548" width="11.7265625" style="122" customWidth="1"/>
    <col min="12549" max="12554" width="11" style="122" customWidth="1"/>
    <col min="12555" max="12801" width="9.26953125" style="122"/>
    <col min="12802" max="12802" width="24.7265625" style="122" customWidth="1"/>
    <col min="12803" max="12803" width="11" style="122" customWidth="1"/>
    <col min="12804" max="12804" width="11.7265625" style="122" customWidth="1"/>
    <col min="12805" max="12810" width="11" style="122" customWidth="1"/>
    <col min="12811" max="13057" width="9.26953125" style="122"/>
    <col min="13058" max="13058" width="24.7265625" style="122" customWidth="1"/>
    <col min="13059" max="13059" width="11" style="122" customWidth="1"/>
    <col min="13060" max="13060" width="11.7265625" style="122" customWidth="1"/>
    <col min="13061" max="13066" width="11" style="122" customWidth="1"/>
    <col min="13067" max="13313" width="9.26953125" style="122"/>
    <col min="13314" max="13314" width="24.7265625" style="122" customWidth="1"/>
    <col min="13315" max="13315" width="11" style="122" customWidth="1"/>
    <col min="13316" max="13316" width="11.7265625" style="122" customWidth="1"/>
    <col min="13317" max="13322" width="11" style="122" customWidth="1"/>
    <col min="13323" max="13569" width="9.26953125" style="122"/>
    <col min="13570" max="13570" width="24.7265625" style="122" customWidth="1"/>
    <col min="13571" max="13571" width="11" style="122" customWidth="1"/>
    <col min="13572" max="13572" width="11.7265625" style="122" customWidth="1"/>
    <col min="13573" max="13578" width="11" style="122" customWidth="1"/>
    <col min="13579" max="13825" width="9.26953125" style="122"/>
    <col min="13826" max="13826" width="24.7265625" style="122" customWidth="1"/>
    <col min="13827" max="13827" width="11" style="122" customWidth="1"/>
    <col min="13828" max="13828" width="11.7265625" style="122" customWidth="1"/>
    <col min="13829" max="13834" width="11" style="122" customWidth="1"/>
    <col min="13835" max="14081" width="9.26953125" style="122"/>
    <col min="14082" max="14082" width="24.7265625" style="122" customWidth="1"/>
    <col min="14083" max="14083" width="11" style="122" customWidth="1"/>
    <col min="14084" max="14084" width="11.7265625" style="122" customWidth="1"/>
    <col min="14085" max="14090" width="11" style="122" customWidth="1"/>
    <col min="14091" max="14337" width="9.26953125" style="122"/>
    <col min="14338" max="14338" width="24.7265625" style="122" customWidth="1"/>
    <col min="14339" max="14339" width="11" style="122" customWidth="1"/>
    <col min="14340" max="14340" width="11.7265625" style="122" customWidth="1"/>
    <col min="14341" max="14346" width="11" style="122" customWidth="1"/>
    <col min="14347" max="14593" width="9.26953125" style="122"/>
    <col min="14594" max="14594" width="24.7265625" style="122" customWidth="1"/>
    <col min="14595" max="14595" width="11" style="122" customWidth="1"/>
    <col min="14596" max="14596" width="11.7265625" style="122" customWidth="1"/>
    <col min="14597" max="14602" width="11" style="122" customWidth="1"/>
    <col min="14603" max="14849" width="9.26953125" style="122"/>
    <col min="14850" max="14850" width="24.7265625" style="122" customWidth="1"/>
    <col min="14851" max="14851" width="11" style="122" customWidth="1"/>
    <col min="14852" max="14852" width="11.7265625" style="122" customWidth="1"/>
    <col min="14853" max="14858" width="11" style="122" customWidth="1"/>
    <col min="14859" max="15105" width="9.26953125" style="122"/>
    <col min="15106" max="15106" width="24.7265625" style="122" customWidth="1"/>
    <col min="15107" max="15107" width="11" style="122" customWidth="1"/>
    <col min="15108" max="15108" width="11.7265625" style="122" customWidth="1"/>
    <col min="15109" max="15114" width="11" style="122" customWidth="1"/>
    <col min="15115" max="15361" width="9.26953125" style="122"/>
    <col min="15362" max="15362" width="24.7265625" style="122" customWidth="1"/>
    <col min="15363" max="15363" width="11" style="122" customWidth="1"/>
    <col min="15364" max="15364" width="11.7265625" style="122" customWidth="1"/>
    <col min="15365" max="15370" width="11" style="122" customWidth="1"/>
    <col min="15371" max="15617" width="9.26953125" style="122"/>
    <col min="15618" max="15618" width="24.7265625" style="122" customWidth="1"/>
    <col min="15619" max="15619" width="11" style="122" customWidth="1"/>
    <col min="15620" max="15620" width="11.7265625" style="122" customWidth="1"/>
    <col min="15621" max="15626" width="11" style="122" customWidth="1"/>
    <col min="15627" max="15873" width="9.26953125" style="122"/>
    <col min="15874" max="15874" width="24.7265625" style="122" customWidth="1"/>
    <col min="15875" max="15875" width="11" style="122" customWidth="1"/>
    <col min="15876" max="15876" width="11.7265625" style="122" customWidth="1"/>
    <col min="15877" max="15882" width="11" style="122" customWidth="1"/>
    <col min="15883" max="16129" width="9.26953125" style="122"/>
    <col min="16130" max="16130" width="24.7265625" style="122" customWidth="1"/>
    <col min="16131" max="16131" width="11" style="122" customWidth="1"/>
    <col min="16132" max="16132" width="11.7265625" style="122" customWidth="1"/>
    <col min="16133" max="16138" width="11" style="122" customWidth="1"/>
    <col min="16139" max="16384" width="9.26953125" style="122"/>
  </cols>
  <sheetData>
    <row r="1" spans="2:13" ht="48" customHeight="1" x14ac:dyDescent="0.3">
      <c r="B1" s="286" t="s">
        <v>110</v>
      </c>
      <c r="C1" s="286"/>
      <c r="D1" s="286"/>
      <c r="E1" s="286"/>
      <c r="F1" s="286"/>
      <c r="G1" s="286"/>
      <c r="H1" s="286"/>
      <c r="I1" s="286"/>
      <c r="J1" s="286"/>
    </row>
    <row r="2" spans="2:13" ht="12.75" customHeight="1" x14ac:dyDescent="0.3">
      <c r="B2" s="287"/>
      <c r="C2" s="288" t="s">
        <v>1</v>
      </c>
      <c r="D2" s="288"/>
      <c r="E2" s="294" t="s">
        <v>2</v>
      </c>
      <c r="F2" s="294"/>
      <c r="G2" s="294"/>
      <c r="H2" s="294"/>
      <c r="I2" s="295" t="s">
        <v>5</v>
      </c>
      <c r="J2" s="295"/>
    </row>
    <row r="3" spans="2:13" ht="30" customHeight="1" x14ac:dyDescent="0.3">
      <c r="B3" s="287"/>
      <c r="C3" s="289"/>
      <c r="D3" s="289"/>
      <c r="E3" s="142" t="s">
        <v>3</v>
      </c>
      <c r="F3" s="142"/>
      <c r="G3" s="142" t="s">
        <v>105</v>
      </c>
      <c r="H3" s="142"/>
      <c r="I3" s="296"/>
      <c r="J3" s="296"/>
    </row>
    <row r="4" spans="2:13" ht="45.75" customHeight="1" x14ac:dyDescent="0.3">
      <c r="B4" s="293"/>
      <c r="C4" s="143" t="s">
        <v>59</v>
      </c>
      <c r="D4" s="144" t="s">
        <v>111</v>
      </c>
      <c r="E4" s="143" t="s">
        <v>59</v>
      </c>
      <c r="F4" s="144" t="s">
        <v>111</v>
      </c>
      <c r="G4" s="143" t="s">
        <v>59</v>
      </c>
      <c r="H4" s="144" t="s">
        <v>111</v>
      </c>
      <c r="I4" s="143" t="s">
        <v>59</v>
      </c>
      <c r="J4" s="144" t="s">
        <v>111</v>
      </c>
    </row>
    <row r="5" spans="2:13" ht="30" customHeight="1" x14ac:dyDescent="0.3">
      <c r="B5" s="127" t="s">
        <v>6</v>
      </c>
      <c r="C5" s="133">
        <v>1096</v>
      </c>
      <c r="D5" s="133">
        <v>336</v>
      </c>
      <c r="E5" s="133">
        <v>244</v>
      </c>
      <c r="F5" s="133">
        <v>63</v>
      </c>
      <c r="G5" s="133">
        <v>18</v>
      </c>
      <c r="H5" s="133">
        <v>6</v>
      </c>
      <c r="I5" s="133">
        <v>0</v>
      </c>
      <c r="J5" s="133">
        <v>1</v>
      </c>
      <c r="L5" s="145"/>
      <c r="M5" s="145"/>
    </row>
    <row r="6" spans="2:13" s="127" customFormat="1" ht="25.5" customHeight="1" x14ac:dyDescent="0.3">
      <c r="B6" s="127" t="s">
        <v>7</v>
      </c>
      <c r="C6" s="146">
        <v>751</v>
      </c>
      <c r="D6" s="146">
        <v>207</v>
      </c>
      <c r="E6" s="146">
        <v>148</v>
      </c>
      <c r="F6" s="146">
        <v>41</v>
      </c>
      <c r="G6" s="146">
        <v>14</v>
      </c>
      <c r="H6" s="146">
        <v>5</v>
      </c>
      <c r="I6" s="146">
        <v>0</v>
      </c>
      <c r="J6" s="146">
        <v>1</v>
      </c>
    </row>
    <row r="7" spans="2:13" ht="12.75" customHeight="1" x14ac:dyDescent="0.3">
      <c r="B7" s="122" t="s">
        <v>8</v>
      </c>
      <c r="C7" s="147">
        <v>14</v>
      </c>
      <c r="D7" s="147">
        <v>8</v>
      </c>
      <c r="E7" s="147">
        <v>3</v>
      </c>
      <c r="F7" s="147">
        <v>2</v>
      </c>
      <c r="G7" s="147">
        <v>0</v>
      </c>
      <c r="H7" s="148">
        <v>0</v>
      </c>
      <c r="I7" s="148">
        <v>0</v>
      </c>
      <c r="J7" s="148">
        <v>0</v>
      </c>
    </row>
    <row r="8" spans="2:13" ht="12.75" customHeight="1" x14ac:dyDescent="0.3">
      <c r="B8" s="122" t="s">
        <v>9</v>
      </c>
      <c r="C8" s="147">
        <v>33</v>
      </c>
      <c r="D8" s="147">
        <v>18</v>
      </c>
      <c r="E8" s="147">
        <v>6</v>
      </c>
      <c r="F8" s="147">
        <v>1</v>
      </c>
      <c r="G8" s="147">
        <v>0</v>
      </c>
      <c r="H8" s="148">
        <v>0</v>
      </c>
      <c r="I8" s="148">
        <v>0</v>
      </c>
      <c r="J8" s="148">
        <v>0</v>
      </c>
    </row>
    <row r="9" spans="2:13" ht="12.75" customHeight="1" x14ac:dyDescent="0.3">
      <c r="B9" s="122" t="s">
        <v>10</v>
      </c>
      <c r="C9" s="148">
        <v>15</v>
      </c>
      <c r="D9" s="148">
        <v>4</v>
      </c>
      <c r="E9" s="148">
        <v>4</v>
      </c>
      <c r="F9" s="148">
        <v>1</v>
      </c>
      <c r="G9" s="148">
        <v>2</v>
      </c>
      <c r="H9" s="148">
        <v>0</v>
      </c>
      <c r="I9" s="148">
        <v>0</v>
      </c>
      <c r="J9" s="148">
        <v>0</v>
      </c>
    </row>
    <row r="10" spans="2:13" ht="12.75" customHeight="1" x14ac:dyDescent="0.3">
      <c r="B10" s="122" t="s">
        <v>11</v>
      </c>
      <c r="C10" s="147">
        <v>14</v>
      </c>
      <c r="D10" s="147">
        <v>2</v>
      </c>
      <c r="E10" s="147">
        <v>2</v>
      </c>
      <c r="F10" s="147">
        <v>0</v>
      </c>
      <c r="G10" s="147">
        <v>0</v>
      </c>
      <c r="H10" s="148">
        <v>0</v>
      </c>
      <c r="I10" s="148">
        <v>0</v>
      </c>
      <c r="J10" s="148">
        <v>0</v>
      </c>
    </row>
    <row r="11" spans="2:13" ht="12.75" customHeight="1" x14ac:dyDescent="0.3">
      <c r="B11" s="122" t="s">
        <v>12</v>
      </c>
      <c r="C11" s="147">
        <v>50</v>
      </c>
      <c r="D11" s="147">
        <v>14</v>
      </c>
      <c r="E11" s="147">
        <v>7</v>
      </c>
      <c r="F11" s="147">
        <v>4</v>
      </c>
      <c r="G11" s="147">
        <v>0</v>
      </c>
      <c r="H11" s="148">
        <v>0</v>
      </c>
      <c r="I11" s="148">
        <v>0</v>
      </c>
      <c r="J11" s="148">
        <v>0</v>
      </c>
    </row>
    <row r="12" spans="2:13" ht="12.75" customHeight="1" x14ac:dyDescent="0.3">
      <c r="B12" s="122" t="s">
        <v>13</v>
      </c>
      <c r="C12" s="147">
        <v>13</v>
      </c>
      <c r="D12" s="147">
        <v>1</v>
      </c>
      <c r="E12" s="147">
        <v>2</v>
      </c>
      <c r="F12" s="147">
        <v>0</v>
      </c>
      <c r="G12" s="147">
        <v>0</v>
      </c>
      <c r="H12" s="148">
        <v>0</v>
      </c>
      <c r="I12" s="148">
        <v>0</v>
      </c>
      <c r="J12" s="148">
        <v>0</v>
      </c>
    </row>
    <row r="13" spans="2:13" ht="12.75" customHeight="1" x14ac:dyDescent="0.3">
      <c r="B13" s="122" t="s">
        <v>14</v>
      </c>
      <c r="C13" s="147">
        <v>3</v>
      </c>
      <c r="D13" s="147">
        <v>5</v>
      </c>
      <c r="E13" s="147">
        <v>3</v>
      </c>
      <c r="F13" s="147">
        <v>0</v>
      </c>
      <c r="G13" s="147">
        <v>0</v>
      </c>
      <c r="H13" s="148">
        <v>0</v>
      </c>
      <c r="I13" s="148">
        <v>0</v>
      </c>
      <c r="J13" s="148">
        <v>0</v>
      </c>
    </row>
    <row r="14" spans="2:13" ht="12.75" customHeight="1" x14ac:dyDescent="0.3">
      <c r="B14" s="122" t="s">
        <v>15</v>
      </c>
      <c r="C14" s="147">
        <v>12</v>
      </c>
      <c r="D14" s="147">
        <v>5</v>
      </c>
      <c r="E14" s="147">
        <v>3</v>
      </c>
      <c r="F14" s="147">
        <v>3</v>
      </c>
      <c r="G14" s="147">
        <v>0</v>
      </c>
      <c r="H14" s="148">
        <v>0</v>
      </c>
      <c r="I14" s="148">
        <v>0</v>
      </c>
      <c r="J14" s="148">
        <v>0</v>
      </c>
    </row>
    <row r="15" spans="2:13" ht="12.75" customHeight="1" x14ac:dyDescent="0.3">
      <c r="B15" s="122" t="s">
        <v>16</v>
      </c>
      <c r="C15" s="147">
        <v>9</v>
      </c>
      <c r="D15" s="147">
        <v>3</v>
      </c>
      <c r="E15" s="147">
        <v>2</v>
      </c>
      <c r="F15" s="147">
        <v>1</v>
      </c>
      <c r="G15" s="147">
        <v>0</v>
      </c>
      <c r="H15" s="148">
        <v>0</v>
      </c>
      <c r="I15" s="148">
        <v>0</v>
      </c>
      <c r="J15" s="148">
        <v>0</v>
      </c>
    </row>
    <row r="16" spans="2:13" ht="12.75" customHeight="1" x14ac:dyDescent="0.3">
      <c r="B16" s="122" t="s">
        <v>17</v>
      </c>
      <c r="C16" s="147">
        <v>18</v>
      </c>
      <c r="D16" s="147">
        <v>6</v>
      </c>
      <c r="E16" s="147">
        <v>4</v>
      </c>
      <c r="F16" s="147">
        <v>0</v>
      </c>
      <c r="G16" s="147">
        <v>0</v>
      </c>
      <c r="H16" s="148">
        <v>0</v>
      </c>
      <c r="I16" s="148">
        <v>0</v>
      </c>
      <c r="J16" s="148">
        <v>0</v>
      </c>
    </row>
    <row r="17" spans="2:10" ht="12.75" customHeight="1" x14ac:dyDescent="0.3">
      <c r="B17" s="149" t="s">
        <v>18</v>
      </c>
      <c r="C17" s="147">
        <v>53</v>
      </c>
      <c r="D17" s="147">
        <v>9</v>
      </c>
      <c r="E17" s="147">
        <v>15</v>
      </c>
      <c r="F17" s="147">
        <v>1</v>
      </c>
      <c r="G17" s="147">
        <v>1</v>
      </c>
      <c r="H17" s="148">
        <v>0</v>
      </c>
      <c r="I17" s="148">
        <v>0</v>
      </c>
      <c r="J17" s="148">
        <v>0</v>
      </c>
    </row>
    <row r="18" spans="2:10" s="181" customFormat="1" ht="12.75" customHeight="1" x14ac:dyDescent="0.3">
      <c r="B18" s="130" t="s">
        <v>122</v>
      </c>
      <c r="C18" s="163">
        <v>42</v>
      </c>
      <c r="D18" s="163">
        <v>15</v>
      </c>
      <c r="E18" s="163">
        <v>8</v>
      </c>
      <c r="F18" s="163">
        <v>7</v>
      </c>
      <c r="G18" s="163">
        <v>1</v>
      </c>
      <c r="H18" s="163">
        <v>0</v>
      </c>
      <c r="I18" s="163">
        <v>0</v>
      </c>
      <c r="J18" s="163">
        <v>0</v>
      </c>
    </row>
    <row r="19" spans="2:10" ht="12.75" customHeight="1" x14ac:dyDescent="0.3">
      <c r="B19" s="122" t="s">
        <v>19</v>
      </c>
      <c r="C19" s="147">
        <v>28</v>
      </c>
      <c r="D19" s="147">
        <v>9</v>
      </c>
      <c r="E19" s="147">
        <v>5</v>
      </c>
      <c r="F19" s="147">
        <v>4</v>
      </c>
      <c r="G19" s="147">
        <v>0</v>
      </c>
      <c r="H19" s="148">
        <v>0</v>
      </c>
      <c r="I19" s="148">
        <v>0</v>
      </c>
      <c r="J19" s="148">
        <v>0</v>
      </c>
    </row>
    <row r="20" spans="2:10" ht="12.75" customHeight="1" x14ac:dyDescent="0.3">
      <c r="B20" s="122" t="s">
        <v>20</v>
      </c>
      <c r="C20" s="147">
        <v>5</v>
      </c>
      <c r="D20" s="147">
        <v>0</v>
      </c>
      <c r="E20" s="147">
        <v>3</v>
      </c>
      <c r="F20" s="147">
        <v>0</v>
      </c>
      <c r="G20" s="147">
        <v>0</v>
      </c>
      <c r="H20" s="148">
        <v>0</v>
      </c>
      <c r="I20" s="148">
        <v>0</v>
      </c>
      <c r="J20" s="148">
        <v>0</v>
      </c>
    </row>
    <row r="21" spans="2:10" ht="12.75" customHeight="1" x14ac:dyDescent="0.3">
      <c r="B21" s="122" t="s">
        <v>21</v>
      </c>
      <c r="C21" s="147">
        <v>24</v>
      </c>
      <c r="D21" s="147">
        <v>15</v>
      </c>
      <c r="E21" s="147">
        <v>2</v>
      </c>
      <c r="F21" s="147">
        <v>2</v>
      </c>
      <c r="G21" s="147">
        <v>0</v>
      </c>
      <c r="H21" s="148">
        <v>1</v>
      </c>
      <c r="I21" s="148">
        <v>0</v>
      </c>
      <c r="J21" s="148">
        <v>0</v>
      </c>
    </row>
    <row r="22" spans="2:10" ht="12.75" customHeight="1" x14ac:dyDescent="0.3">
      <c r="B22" s="122" t="s">
        <v>22</v>
      </c>
      <c r="C22" s="147">
        <v>22</v>
      </c>
      <c r="D22" s="147">
        <v>2</v>
      </c>
      <c r="E22" s="147">
        <v>2</v>
      </c>
      <c r="F22" s="147">
        <v>0</v>
      </c>
      <c r="G22" s="147">
        <v>1</v>
      </c>
      <c r="H22" s="148">
        <v>0</v>
      </c>
      <c r="I22" s="148">
        <v>0</v>
      </c>
      <c r="J22" s="148">
        <v>0</v>
      </c>
    </row>
    <row r="23" spans="2:10" ht="12.75" customHeight="1" x14ac:dyDescent="0.3">
      <c r="B23" s="122" t="s">
        <v>23</v>
      </c>
      <c r="C23" s="147">
        <v>10</v>
      </c>
      <c r="D23" s="147">
        <v>13</v>
      </c>
      <c r="E23" s="147">
        <v>4</v>
      </c>
      <c r="F23" s="147">
        <v>0</v>
      </c>
      <c r="G23" s="147">
        <v>0</v>
      </c>
      <c r="H23" s="148">
        <v>0</v>
      </c>
      <c r="I23" s="148">
        <v>0</v>
      </c>
      <c r="J23" s="148">
        <v>0</v>
      </c>
    </row>
    <row r="24" spans="2:10" ht="12.75" customHeight="1" x14ac:dyDescent="0.3">
      <c r="B24" s="122" t="s">
        <v>24</v>
      </c>
      <c r="C24" s="147">
        <v>32</v>
      </c>
      <c r="D24" s="147">
        <v>2</v>
      </c>
      <c r="E24" s="147">
        <v>7</v>
      </c>
      <c r="F24" s="147">
        <v>1</v>
      </c>
      <c r="G24" s="147">
        <v>0</v>
      </c>
      <c r="H24" s="148">
        <v>1</v>
      </c>
      <c r="I24" s="148">
        <v>0</v>
      </c>
      <c r="J24" s="148">
        <v>0</v>
      </c>
    </row>
    <row r="25" spans="2:10" ht="12.75" customHeight="1" x14ac:dyDescent="0.3">
      <c r="B25" s="122" t="s">
        <v>25</v>
      </c>
      <c r="C25" s="147">
        <v>29</v>
      </c>
      <c r="D25" s="147">
        <v>4</v>
      </c>
      <c r="E25" s="147">
        <v>6</v>
      </c>
      <c r="F25" s="147">
        <v>1</v>
      </c>
      <c r="G25" s="147">
        <v>0</v>
      </c>
      <c r="H25" s="148">
        <v>0</v>
      </c>
      <c r="I25" s="148">
        <v>0</v>
      </c>
      <c r="J25" s="148">
        <v>0</v>
      </c>
    </row>
    <row r="26" spans="2:10" ht="12.75" customHeight="1" x14ac:dyDescent="0.3">
      <c r="B26" s="122" t="s">
        <v>26</v>
      </c>
      <c r="C26" s="147">
        <v>24</v>
      </c>
      <c r="D26" s="147">
        <v>6</v>
      </c>
      <c r="E26" s="147">
        <v>2</v>
      </c>
      <c r="F26" s="147">
        <v>1</v>
      </c>
      <c r="G26" s="147">
        <v>1</v>
      </c>
      <c r="H26" s="148">
        <v>0</v>
      </c>
      <c r="I26" s="148">
        <v>0</v>
      </c>
      <c r="J26" s="148">
        <v>0</v>
      </c>
    </row>
    <row r="27" spans="2:10" ht="12.75" customHeight="1" x14ac:dyDescent="0.3">
      <c r="B27" s="122" t="s">
        <v>27</v>
      </c>
      <c r="C27" s="147">
        <v>23</v>
      </c>
      <c r="D27" s="147">
        <v>9</v>
      </c>
      <c r="E27" s="147">
        <v>2</v>
      </c>
      <c r="F27" s="147">
        <v>2</v>
      </c>
      <c r="G27" s="147">
        <v>0</v>
      </c>
      <c r="H27" s="148">
        <v>0</v>
      </c>
      <c r="I27" s="148">
        <v>0</v>
      </c>
      <c r="J27" s="148">
        <v>0</v>
      </c>
    </row>
    <row r="28" spans="2:10" ht="12.75" customHeight="1" x14ac:dyDescent="0.3">
      <c r="B28" s="150" t="s">
        <v>28</v>
      </c>
      <c r="C28" s="147">
        <v>2</v>
      </c>
      <c r="D28" s="147">
        <v>0</v>
      </c>
      <c r="E28" s="147">
        <v>0</v>
      </c>
      <c r="F28" s="147">
        <v>0</v>
      </c>
      <c r="G28" s="147">
        <v>0</v>
      </c>
      <c r="H28" s="148">
        <v>0</v>
      </c>
      <c r="I28" s="148">
        <v>0</v>
      </c>
      <c r="J28" s="148">
        <v>1</v>
      </c>
    </row>
    <row r="29" spans="2:10" ht="12.75" customHeight="1" x14ac:dyDescent="0.3">
      <c r="B29" s="122" t="s">
        <v>29</v>
      </c>
      <c r="C29" s="147">
        <v>40</v>
      </c>
      <c r="D29" s="147">
        <v>7</v>
      </c>
      <c r="E29" s="147">
        <v>5</v>
      </c>
      <c r="F29" s="147">
        <v>2</v>
      </c>
      <c r="G29" s="147">
        <v>1</v>
      </c>
      <c r="H29" s="148">
        <v>0</v>
      </c>
      <c r="I29" s="148">
        <v>0</v>
      </c>
      <c r="J29" s="148">
        <v>0</v>
      </c>
    </row>
    <row r="30" spans="2:10" ht="12.75" customHeight="1" x14ac:dyDescent="0.3">
      <c r="B30" s="122" t="s">
        <v>30</v>
      </c>
      <c r="C30" s="147">
        <v>22</v>
      </c>
      <c r="D30" s="147">
        <v>2</v>
      </c>
      <c r="E30" s="147">
        <v>7</v>
      </c>
      <c r="F30" s="147">
        <v>1</v>
      </c>
      <c r="G30" s="147">
        <v>1</v>
      </c>
      <c r="H30" s="148">
        <v>0</v>
      </c>
      <c r="I30" s="148">
        <v>0</v>
      </c>
      <c r="J30" s="148">
        <v>0</v>
      </c>
    </row>
    <row r="31" spans="2:10" ht="12.75" customHeight="1" x14ac:dyDescent="0.3">
      <c r="B31" s="122" t="s">
        <v>31</v>
      </c>
      <c r="C31" s="147">
        <v>11</v>
      </c>
      <c r="D31" s="147">
        <v>3</v>
      </c>
      <c r="E31" s="147">
        <v>2</v>
      </c>
      <c r="F31" s="147">
        <v>1</v>
      </c>
      <c r="G31" s="147">
        <v>0</v>
      </c>
      <c r="H31" s="148">
        <v>1</v>
      </c>
      <c r="I31" s="148">
        <v>0</v>
      </c>
      <c r="J31" s="148">
        <v>0</v>
      </c>
    </row>
    <row r="32" spans="2:10" ht="12.75" customHeight="1" x14ac:dyDescent="0.3">
      <c r="B32" s="122" t="s">
        <v>32</v>
      </c>
      <c r="C32" s="148">
        <v>19</v>
      </c>
      <c r="D32" s="148">
        <v>1</v>
      </c>
      <c r="E32" s="148">
        <v>7</v>
      </c>
      <c r="F32" s="148">
        <v>1</v>
      </c>
      <c r="G32" s="148">
        <v>1</v>
      </c>
      <c r="H32" s="148">
        <v>0</v>
      </c>
      <c r="I32" s="148">
        <v>0</v>
      </c>
      <c r="J32" s="148">
        <v>0</v>
      </c>
    </row>
    <row r="33" spans="2:12" ht="12.75" customHeight="1" x14ac:dyDescent="0.3">
      <c r="B33" s="122" t="s">
        <v>33</v>
      </c>
      <c r="C33" s="148">
        <v>31</v>
      </c>
      <c r="D33" s="148">
        <v>13</v>
      </c>
      <c r="E33" s="148">
        <v>6</v>
      </c>
      <c r="F33" s="148">
        <v>3</v>
      </c>
      <c r="G33" s="148">
        <v>0</v>
      </c>
      <c r="H33" s="148">
        <v>0</v>
      </c>
      <c r="I33" s="148">
        <v>0</v>
      </c>
      <c r="J33" s="148">
        <v>0</v>
      </c>
    </row>
    <row r="34" spans="2:12" ht="12.75" customHeight="1" x14ac:dyDescent="0.3">
      <c r="B34" s="122" t="s">
        <v>34</v>
      </c>
      <c r="C34" s="148">
        <v>4</v>
      </c>
      <c r="D34" s="148">
        <v>5</v>
      </c>
      <c r="E34" s="148">
        <v>2</v>
      </c>
      <c r="F34" s="148">
        <v>0</v>
      </c>
      <c r="G34" s="148">
        <v>0</v>
      </c>
      <c r="H34" s="148">
        <v>0</v>
      </c>
      <c r="I34" s="148">
        <v>0</v>
      </c>
      <c r="J34" s="148">
        <v>0</v>
      </c>
    </row>
    <row r="35" spans="2:12" ht="12.75" customHeight="1" x14ac:dyDescent="0.3">
      <c r="B35" s="122" t="s">
        <v>35</v>
      </c>
      <c r="C35" s="148">
        <v>24</v>
      </c>
      <c r="D35" s="148">
        <v>4</v>
      </c>
      <c r="E35" s="148">
        <v>3</v>
      </c>
      <c r="F35" s="148">
        <v>2</v>
      </c>
      <c r="G35" s="148">
        <v>0</v>
      </c>
      <c r="H35" s="148">
        <v>0</v>
      </c>
      <c r="I35" s="148">
        <v>0</v>
      </c>
      <c r="J35" s="148">
        <v>0</v>
      </c>
    </row>
    <row r="36" spans="2:12" ht="12.75" customHeight="1" x14ac:dyDescent="0.3">
      <c r="B36" s="122" t="s">
        <v>36</v>
      </c>
      <c r="C36" s="148">
        <v>8</v>
      </c>
      <c r="D36" s="148">
        <v>1</v>
      </c>
      <c r="E36" s="148">
        <v>2</v>
      </c>
      <c r="F36" s="148">
        <v>0</v>
      </c>
      <c r="G36" s="148">
        <v>2</v>
      </c>
      <c r="H36" s="148">
        <v>0</v>
      </c>
      <c r="I36" s="148">
        <v>0</v>
      </c>
      <c r="J36" s="148">
        <v>0</v>
      </c>
    </row>
    <row r="37" spans="2:12" ht="12.75" customHeight="1" x14ac:dyDescent="0.3">
      <c r="B37" s="122" t="s">
        <v>37</v>
      </c>
      <c r="C37" s="148">
        <v>23</v>
      </c>
      <c r="D37" s="148">
        <v>1</v>
      </c>
      <c r="E37" s="148">
        <v>3</v>
      </c>
      <c r="F37" s="148">
        <v>0</v>
      </c>
      <c r="G37" s="148">
        <v>0</v>
      </c>
      <c r="H37" s="148">
        <v>0</v>
      </c>
      <c r="I37" s="148">
        <v>0</v>
      </c>
      <c r="J37" s="148">
        <v>0</v>
      </c>
    </row>
    <row r="38" spans="2:12" ht="12.75" customHeight="1" x14ac:dyDescent="0.3">
      <c r="B38" s="122" t="s">
        <v>38</v>
      </c>
      <c r="C38" s="148">
        <v>12</v>
      </c>
      <c r="D38" s="148">
        <v>5</v>
      </c>
      <c r="E38" s="148">
        <v>1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</row>
    <row r="39" spans="2:12" ht="12.75" customHeight="1" x14ac:dyDescent="0.3">
      <c r="B39" s="122" t="s">
        <v>39</v>
      </c>
      <c r="C39" s="148">
        <v>8</v>
      </c>
      <c r="D39" s="148">
        <v>3</v>
      </c>
      <c r="E39" s="148">
        <v>1</v>
      </c>
      <c r="F39" s="148">
        <v>0</v>
      </c>
      <c r="G39" s="148">
        <v>2</v>
      </c>
      <c r="H39" s="148">
        <v>2</v>
      </c>
      <c r="I39" s="148">
        <v>0</v>
      </c>
      <c r="J39" s="148">
        <v>0</v>
      </c>
    </row>
    <row r="40" spans="2:12" ht="12.75" customHeight="1" x14ac:dyDescent="0.3">
      <c r="B40" s="122" t="s">
        <v>40</v>
      </c>
      <c r="C40" s="148">
        <v>23</v>
      </c>
      <c r="D40" s="148">
        <v>7</v>
      </c>
      <c r="E40" s="148">
        <v>4</v>
      </c>
      <c r="F40" s="148">
        <v>3</v>
      </c>
      <c r="G40" s="148">
        <v>0</v>
      </c>
      <c r="H40" s="148">
        <v>0</v>
      </c>
      <c r="I40" s="148">
        <v>0</v>
      </c>
      <c r="J40" s="148">
        <v>0</v>
      </c>
    </row>
    <row r="41" spans="2:12" ht="12.75" customHeight="1" x14ac:dyDescent="0.3">
      <c r="B41" s="122" t="s">
        <v>41</v>
      </c>
      <c r="C41" s="148">
        <v>18</v>
      </c>
      <c r="D41" s="148">
        <v>1</v>
      </c>
      <c r="E41" s="148">
        <v>2</v>
      </c>
      <c r="F41" s="148">
        <v>0</v>
      </c>
      <c r="G41" s="148">
        <v>0</v>
      </c>
      <c r="H41" s="148">
        <v>0</v>
      </c>
      <c r="I41" s="148">
        <v>0</v>
      </c>
      <c r="J41" s="148">
        <v>0</v>
      </c>
      <c r="K41" s="127"/>
    </row>
    <row r="42" spans="2:12" ht="12.75" customHeight="1" x14ac:dyDescent="0.3">
      <c r="B42" s="122" t="s">
        <v>42</v>
      </c>
      <c r="C42" s="148">
        <v>23</v>
      </c>
      <c r="D42" s="148">
        <v>6</v>
      </c>
      <c r="E42" s="148">
        <v>1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</row>
    <row r="43" spans="2:12" ht="12.75" customHeight="1" x14ac:dyDescent="0.3">
      <c r="B43" s="122" t="s">
        <v>43</v>
      </c>
      <c r="C43" s="148">
        <v>19</v>
      </c>
      <c r="D43" s="148">
        <v>1</v>
      </c>
      <c r="E43" s="148">
        <v>8</v>
      </c>
      <c r="F43" s="148">
        <v>0</v>
      </c>
      <c r="G43" s="148">
        <v>1</v>
      </c>
      <c r="H43" s="148">
        <v>0</v>
      </c>
      <c r="I43" s="148">
        <v>0</v>
      </c>
      <c r="J43" s="148">
        <v>0</v>
      </c>
    </row>
    <row r="44" spans="2:12" ht="12.75" customHeight="1" x14ac:dyDescent="0.3">
      <c r="B44" s="122" t="s">
        <v>44</v>
      </c>
      <c r="C44" s="148">
        <v>19</v>
      </c>
      <c r="D44" s="148">
        <v>6</v>
      </c>
      <c r="E44" s="148">
        <v>7</v>
      </c>
      <c r="F44" s="148">
        <v>1</v>
      </c>
      <c r="G44" s="148">
        <v>0</v>
      </c>
      <c r="H44" s="148">
        <v>0</v>
      </c>
      <c r="I44" s="148">
        <v>0</v>
      </c>
      <c r="J44" s="148">
        <v>0</v>
      </c>
      <c r="L44" s="127"/>
    </row>
    <row r="45" spans="2:12" ht="12.75" customHeight="1" x14ac:dyDescent="0.3">
      <c r="B45" s="122" t="s">
        <v>45</v>
      </c>
      <c r="C45" s="148">
        <v>14</v>
      </c>
      <c r="D45" s="148">
        <v>6</v>
      </c>
      <c r="E45" s="148">
        <v>3</v>
      </c>
      <c r="F45" s="148">
        <v>3</v>
      </c>
      <c r="G45" s="148">
        <v>1</v>
      </c>
      <c r="H45" s="148">
        <v>0</v>
      </c>
      <c r="I45" s="148">
        <v>0</v>
      </c>
      <c r="J45" s="148">
        <v>0</v>
      </c>
      <c r="L45" s="152"/>
    </row>
    <row r="46" spans="2:12" ht="12.75" customHeight="1" x14ac:dyDescent="0.3">
      <c r="B46" s="150" t="s">
        <v>46</v>
      </c>
      <c r="C46" s="147">
        <v>0</v>
      </c>
      <c r="D46" s="147">
        <v>0</v>
      </c>
      <c r="E46" s="147">
        <v>0</v>
      </c>
      <c r="F46" s="147">
        <v>0</v>
      </c>
      <c r="G46" s="147">
        <v>0</v>
      </c>
      <c r="H46" s="148">
        <v>0</v>
      </c>
      <c r="I46" s="148">
        <v>0</v>
      </c>
      <c r="J46" s="148">
        <v>0</v>
      </c>
    </row>
    <row r="47" spans="2:12" s="127" customFormat="1" ht="25.5" customHeight="1" x14ac:dyDescent="0.3">
      <c r="B47" s="127" t="s">
        <v>47</v>
      </c>
      <c r="C47" s="153">
        <v>345</v>
      </c>
      <c r="D47" s="153">
        <v>129</v>
      </c>
      <c r="E47" s="153">
        <v>96</v>
      </c>
      <c r="F47" s="153">
        <v>22</v>
      </c>
      <c r="G47" s="153">
        <v>4</v>
      </c>
      <c r="H47" s="153">
        <v>1</v>
      </c>
      <c r="I47" s="153">
        <v>0</v>
      </c>
      <c r="J47" s="153">
        <v>0</v>
      </c>
    </row>
    <row r="48" spans="2:12" ht="12.75" customHeight="1" x14ac:dyDescent="0.3">
      <c r="B48" s="122" t="s">
        <v>48</v>
      </c>
      <c r="C48" s="147">
        <v>38</v>
      </c>
      <c r="D48" s="147">
        <v>12</v>
      </c>
      <c r="E48" s="147">
        <v>12</v>
      </c>
      <c r="F48" s="147">
        <v>0</v>
      </c>
      <c r="G48" s="147">
        <v>0</v>
      </c>
      <c r="H48" s="148">
        <v>0</v>
      </c>
      <c r="I48" s="148">
        <v>0</v>
      </c>
      <c r="J48" s="148">
        <v>0</v>
      </c>
    </row>
    <row r="49" spans="2:12" ht="12.75" customHeight="1" x14ac:dyDescent="0.3">
      <c r="B49" s="122" t="s">
        <v>49</v>
      </c>
      <c r="C49" s="147">
        <v>30</v>
      </c>
      <c r="D49" s="147">
        <v>1</v>
      </c>
      <c r="E49" s="147">
        <v>5</v>
      </c>
      <c r="F49" s="147">
        <v>0</v>
      </c>
      <c r="G49" s="147">
        <v>0</v>
      </c>
      <c r="H49" s="148">
        <v>0</v>
      </c>
      <c r="I49" s="148">
        <v>0</v>
      </c>
      <c r="J49" s="148">
        <v>0</v>
      </c>
    </row>
    <row r="50" spans="2:12" ht="12.75" customHeight="1" x14ac:dyDescent="0.3">
      <c r="B50" s="122" t="s">
        <v>50</v>
      </c>
      <c r="C50" s="147">
        <v>37</v>
      </c>
      <c r="D50" s="147">
        <v>10</v>
      </c>
      <c r="E50" s="147">
        <v>6</v>
      </c>
      <c r="F50" s="147">
        <v>5</v>
      </c>
      <c r="G50" s="147">
        <v>0</v>
      </c>
      <c r="H50" s="148">
        <v>0</v>
      </c>
      <c r="I50" s="148">
        <v>0</v>
      </c>
      <c r="J50" s="148">
        <v>0</v>
      </c>
    </row>
    <row r="51" spans="2:12" ht="12.75" customHeight="1" x14ac:dyDescent="0.3">
      <c r="B51" s="122" t="s">
        <v>51</v>
      </c>
      <c r="C51" s="147">
        <v>21</v>
      </c>
      <c r="D51" s="147">
        <v>5</v>
      </c>
      <c r="E51" s="147">
        <v>5</v>
      </c>
      <c r="F51" s="147">
        <v>2</v>
      </c>
      <c r="G51" s="147">
        <v>0</v>
      </c>
      <c r="H51" s="148">
        <v>0</v>
      </c>
      <c r="I51" s="148">
        <v>0</v>
      </c>
      <c r="J51" s="148">
        <v>0</v>
      </c>
    </row>
    <row r="52" spans="2:12" ht="12.75" customHeight="1" x14ac:dyDescent="0.3">
      <c r="B52" s="122" t="s">
        <v>52</v>
      </c>
      <c r="C52" s="147">
        <v>44</v>
      </c>
      <c r="D52" s="147">
        <v>15</v>
      </c>
      <c r="E52" s="147">
        <v>3</v>
      </c>
      <c r="F52" s="147">
        <v>2</v>
      </c>
      <c r="G52" s="147">
        <v>1</v>
      </c>
      <c r="H52" s="148">
        <v>0</v>
      </c>
      <c r="I52" s="148">
        <v>0</v>
      </c>
      <c r="J52" s="148">
        <v>0</v>
      </c>
    </row>
    <row r="53" spans="2:12" ht="12.75" customHeight="1" x14ac:dyDescent="0.3">
      <c r="B53" s="122" t="s">
        <v>53</v>
      </c>
      <c r="C53" s="147">
        <v>35</v>
      </c>
      <c r="D53" s="147">
        <v>21</v>
      </c>
      <c r="E53" s="147">
        <v>7</v>
      </c>
      <c r="F53" s="147">
        <v>3</v>
      </c>
      <c r="G53" s="147">
        <v>0</v>
      </c>
      <c r="H53" s="148">
        <v>0</v>
      </c>
      <c r="I53" s="148">
        <v>0</v>
      </c>
      <c r="J53" s="148">
        <v>0</v>
      </c>
    </row>
    <row r="54" spans="2:12" ht="12.75" customHeight="1" x14ac:dyDescent="0.3">
      <c r="B54" s="154" t="s">
        <v>54</v>
      </c>
      <c r="C54" s="155">
        <v>140</v>
      </c>
      <c r="D54" s="155">
        <v>65</v>
      </c>
      <c r="E54" s="155">
        <v>58</v>
      </c>
      <c r="F54" s="155">
        <v>10</v>
      </c>
      <c r="G54" s="155">
        <v>3</v>
      </c>
      <c r="H54" s="156">
        <v>1</v>
      </c>
      <c r="I54" s="156">
        <v>0</v>
      </c>
      <c r="J54" s="156">
        <v>0</v>
      </c>
    </row>
    <row r="55" spans="2:12" s="152" customFormat="1" ht="13.5" customHeight="1" x14ac:dyDescent="0.3">
      <c r="C55" s="157"/>
      <c r="D55" s="158"/>
      <c r="E55" s="157"/>
      <c r="F55" s="157"/>
      <c r="G55" s="157"/>
      <c r="H55" s="157"/>
      <c r="I55" s="157"/>
      <c r="J55" s="157"/>
      <c r="K55" s="122"/>
      <c r="L55" s="122"/>
    </row>
    <row r="56" spans="2:12" ht="18.75" customHeight="1" x14ac:dyDescent="0.3">
      <c r="B56" s="12" t="s">
        <v>55</v>
      </c>
    </row>
    <row r="57" spans="2:12" ht="15.75" customHeight="1" x14ac:dyDescent="0.3">
      <c r="B57" s="12" t="s">
        <v>112</v>
      </c>
    </row>
    <row r="58" spans="2:12" x14ac:dyDescent="0.3">
      <c r="B58" s="291" t="s">
        <v>108</v>
      </c>
      <c r="C58" s="291"/>
      <c r="D58" s="291"/>
      <c r="E58" s="291"/>
      <c r="F58" s="291"/>
      <c r="G58" s="291"/>
      <c r="H58" s="291"/>
      <c r="I58" s="291"/>
      <c r="J58" s="291"/>
    </row>
    <row r="59" spans="2:12" ht="12.75" customHeight="1" x14ac:dyDescent="0.3">
      <c r="B59" s="291"/>
      <c r="C59" s="291"/>
      <c r="D59" s="291"/>
      <c r="E59" s="291"/>
      <c r="F59" s="291"/>
      <c r="G59" s="291"/>
      <c r="H59" s="291"/>
      <c r="I59" s="291"/>
      <c r="J59" s="291"/>
    </row>
    <row r="60" spans="2:12" ht="18.75" customHeight="1" x14ac:dyDescent="0.3">
      <c r="B60" s="291"/>
      <c r="C60" s="291"/>
      <c r="D60" s="291"/>
      <c r="E60" s="291"/>
      <c r="F60" s="291"/>
      <c r="G60" s="291"/>
      <c r="H60" s="291"/>
      <c r="I60" s="291"/>
      <c r="J60" s="291"/>
    </row>
    <row r="61" spans="2:12" ht="18.75" customHeight="1" x14ac:dyDescent="0.3">
      <c r="B61" s="291"/>
      <c r="C61" s="291"/>
      <c r="D61" s="291"/>
      <c r="E61" s="291"/>
      <c r="F61" s="291"/>
      <c r="G61" s="291"/>
      <c r="H61" s="291"/>
      <c r="I61" s="291"/>
      <c r="J61" s="291"/>
    </row>
    <row r="62" spans="2:12" ht="18.75" customHeight="1" x14ac:dyDescent="0.3">
      <c r="B62" s="291"/>
      <c r="C62" s="291"/>
      <c r="D62" s="291"/>
      <c r="E62" s="291"/>
      <c r="F62" s="291"/>
      <c r="G62" s="291"/>
      <c r="H62" s="291"/>
      <c r="I62" s="291"/>
      <c r="J62" s="291"/>
    </row>
    <row r="63" spans="2:12" ht="17.25" customHeight="1" x14ac:dyDescent="0.3">
      <c r="B63" s="291"/>
      <c r="C63" s="291"/>
      <c r="D63" s="291"/>
      <c r="E63" s="291"/>
      <c r="F63" s="291"/>
      <c r="G63" s="291"/>
      <c r="H63" s="291"/>
      <c r="I63" s="291"/>
      <c r="J63" s="291"/>
    </row>
    <row r="64" spans="2:12" ht="9.75" customHeight="1" x14ac:dyDescent="0.3">
      <c r="B64" s="291"/>
      <c r="C64" s="291"/>
      <c r="D64" s="291"/>
      <c r="E64" s="57"/>
      <c r="F64" s="57"/>
      <c r="G64" s="57"/>
      <c r="H64" s="57"/>
      <c r="I64" s="57"/>
      <c r="J64" s="57"/>
    </row>
    <row r="65" spans="2:2" ht="18.75" customHeight="1" x14ac:dyDescent="0.3">
      <c r="B65" s="138" t="s">
        <v>113</v>
      </c>
    </row>
    <row r="66" spans="2:2" x14ac:dyDescent="0.3">
      <c r="B66" s="140"/>
    </row>
    <row r="68" spans="2:2" x14ac:dyDescent="0.3">
      <c r="B68" s="141"/>
    </row>
  </sheetData>
  <mergeCells count="7">
    <mergeCell ref="B64:D64"/>
    <mergeCell ref="B1:J1"/>
    <mergeCell ref="B2:B4"/>
    <mergeCell ref="C2:D3"/>
    <mergeCell ref="E2:H2"/>
    <mergeCell ref="I2:J3"/>
    <mergeCell ref="B58:J6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indexed="22"/>
  </sheetPr>
  <dimension ref="A1:F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31.7265625" style="122" customWidth="1"/>
    <col min="3" max="4" width="15.26953125" style="122" customWidth="1"/>
    <col min="5" max="5" width="16.54296875" style="122" customWidth="1"/>
    <col min="6" max="6" width="15" style="122" customWidth="1"/>
    <col min="7" max="256" width="9.26953125" style="122"/>
    <col min="257" max="257" width="0" style="122" hidden="1" customWidth="1"/>
    <col min="258" max="258" width="31.7265625" style="122" customWidth="1"/>
    <col min="259" max="260" width="15.26953125" style="122" customWidth="1"/>
    <col min="261" max="261" width="16.54296875" style="122" customWidth="1"/>
    <col min="262" max="262" width="15" style="122" customWidth="1"/>
    <col min="263" max="512" width="9.26953125" style="122"/>
    <col min="513" max="513" width="0" style="122" hidden="1" customWidth="1"/>
    <col min="514" max="514" width="31.7265625" style="122" customWidth="1"/>
    <col min="515" max="516" width="15.26953125" style="122" customWidth="1"/>
    <col min="517" max="517" width="16.54296875" style="122" customWidth="1"/>
    <col min="518" max="518" width="15" style="122" customWidth="1"/>
    <col min="519" max="768" width="9.26953125" style="122"/>
    <col min="769" max="769" width="0" style="122" hidden="1" customWidth="1"/>
    <col min="770" max="770" width="31.7265625" style="122" customWidth="1"/>
    <col min="771" max="772" width="15.26953125" style="122" customWidth="1"/>
    <col min="773" max="773" width="16.54296875" style="122" customWidth="1"/>
    <col min="774" max="774" width="15" style="122" customWidth="1"/>
    <col min="775" max="1024" width="9.26953125" style="122"/>
    <col min="1025" max="1025" width="0" style="122" hidden="1" customWidth="1"/>
    <col min="1026" max="1026" width="31.7265625" style="122" customWidth="1"/>
    <col min="1027" max="1028" width="15.26953125" style="122" customWidth="1"/>
    <col min="1029" max="1029" width="16.54296875" style="122" customWidth="1"/>
    <col min="1030" max="1030" width="15" style="122" customWidth="1"/>
    <col min="1031" max="1280" width="9.26953125" style="122"/>
    <col min="1281" max="1281" width="0" style="122" hidden="1" customWidth="1"/>
    <col min="1282" max="1282" width="31.7265625" style="122" customWidth="1"/>
    <col min="1283" max="1284" width="15.26953125" style="122" customWidth="1"/>
    <col min="1285" max="1285" width="16.54296875" style="122" customWidth="1"/>
    <col min="1286" max="1286" width="15" style="122" customWidth="1"/>
    <col min="1287" max="1536" width="9.26953125" style="122"/>
    <col min="1537" max="1537" width="0" style="122" hidden="1" customWidth="1"/>
    <col min="1538" max="1538" width="31.7265625" style="122" customWidth="1"/>
    <col min="1539" max="1540" width="15.26953125" style="122" customWidth="1"/>
    <col min="1541" max="1541" width="16.54296875" style="122" customWidth="1"/>
    <col min="1542" max="1542" width="15" style="122" customWidth="1"/>
    <col min="1543" max="1792" width="9.26953125" style="122"/>
    <col min="1793" max="1793" width="0" style="122" hidden="1" customWidth="1"/>
    <col min="1794" max="1794" width="31.7265625" style="122" customWidth="1"/>
    <col min="1795" max="1796" width="15.26953125" style="122" customWidth="1"/>
    <col min="1797" max="1797" width="16.54296875" style="122" customWidth="1"/>
    <col min="1798" max="1798" width="15" style="122" customWidth="1"/>
    <col min="1799" max="2048" width="9.26953125" style="122"/>
    <col min="2049" max="2049" width="0" style="122" hidden="1" customWidth="1"/>
    <col min="2050" max="2050" width="31.7265625" style="122" customWidth="1"/>
    <col min="2051" max="2052" width="15.26953125" style="122" customWidth="1"/>
    <col min="2053" max="2053" width="16.54296875" style="122" customWidth="1"/>
    <col min="2054" max="2054" width="15" style="122" customWidth="1"/>
    <col min="2055" max="2304" width="9.26953125" style="122"/>
    <col min="2305" max="2305" width="0" style="122" hidden="1" customWidth="1"/>
    <col min="2306" max="2306" width="31.7265625" style="122" customWidth="1"/>
    <col min="2307" max="2308" width="15.26953125" style="122" customWidth="1"/>
    <col min="2309" max="2309" width="16.54296875" style="122" customWidth="1"/>
    <col min="2310" max="2310" width="15" style="122" customWidth="1"/>
    <col min="2311" max="2560" width="9.26953125" style="122"/>
    <col min="2561" max="2561" width="0" style="122" hidden="1" customWidth="1"/>
    <col min="2562" max="2562" width="31.7265625" style="122" customWidth="1"/>
    <col min="2563" max="2564" width="15.26953125" style="122" customWidth="1"/>
    <col min="2565" max="2565" width="16.54296875" style="122" customWidth="1"/>
    <col min="2566" max="2566" width="15" style="122" customWidth="1"/>
    <col min="2567" max="2816" width="9.26953125" style="122"/>
    <col min="2817" max="2817" width="0" style="122" hidden="1" customWidth="1"/>
    <col min="2818" max="2818" width="31.7265625" style="122" customWidth="1"/>
    <col min="2819" max="2820" width="15.26953125" style="122" customWidth="1"/>
    <col min="2821" max="2821" width="16.54296875" style="122" customWidth="1"/>
    <col min="2822" max="2822" width="15" style="122" customWidth="1"/>
    <col min="2823" max="3072" width="9.26953125" style="122"/>
    <col min="3073" max="3073" width="0" style="122" hidden="1" customWidth="1"/>
    <col min="3074" max="3074" width="31.7265625" style="122" customWidth="1"/>
    <col min="3075" max="3076" width="15.26953125" style="122" customWidth="1"/>
    <col min="3077" max="3077" width="16.54296875" style="122" customWidth="1"/>
    <col min="3078" max="3078" width="15" style="122" customWidth="1"/>
    <col min="3079" max="3328" width="9.26953125" style="122"/>
    <col min="3329" max="3329" width="0" style="122" hidden="1" customWidth="1"/>
    <col min="3330" max="3330" width="31.7265625" style="122" customWidth="1"/>
    <col min="3331" max="3332" width="15.26953125" style="122" customWidth="1"/>
    <col min="3333" max="3333" width="16.54296875" style="122" customWidth="1"/>
    <col min="3334" max="3334" width="15" style="122" customWidth="1"/>
    <col min="3335" max="3584" width="9.26953125" style="122"/>
    <col min="3585" max="3585" width="0" style="122" hidden="1" customWidth="1"/>
    <col min="3586" max="3586" width="31.7265625" style="122" customWidth="1"/>
    <col min="3587" max="3588" width="15.26953125" style="122" customWidth="1"/>
    <col min="3589" max="3589" width="16.54296875" style="122" customWidth="1"/>
    <col min="3590" max="3590" width="15" style="122" customWidth="1"/>
    <col min="3591" max="3840" width="9.26953125" style="122"/>
    <col min="3841" max="3841" width="0" style="122" hidden="1" customWidth="1"/>
    <col min="3842" max="3842" width="31.7265625" style="122" customWidth="1"/>
    <col min="3843" max="3844" width="15.26953125" style="122" customWidth="1"/>
    <col min="3845" max="3845" width="16.54296875" style="122" customWidth="1"/>
    <col min="3846" max="3846" width="15" style="122" customWidth="1"/>
    <col min="3847" max="4096" width="9.26953125" style="122"/>
    <col min="4097" max="4097" width="0" style="122" hidden="1" customWidth="1"/>
    <col min="4098" max="4098" width="31.7265625" style="122" customWidth="1"/>
    <col min="4099" max="4100" width="15.26953125" style="122" customWidth="1"/>
    <col min="4101" max="4101" width="16.54296875" style="122" customWidth="1"/>
    <col min="4102" max="4102" width="15" style="122" customWidth="1"/>
    <col min="4103" max="4352" width="9.26953125" style="122"/>
    <col min="4353" max="4353" width="0" style="122" hidden="1" customWidth="1"/>
    <col min="4354" max="4354" width="31.7265625" style="122" customWidth="1"/>
    <col min="4355" max="4356" width="15.26953125" style="122" customWidth="1"/>
    <col min="4357" max="4357" width="16.54296875" style="122" customWidth="1"/>
    <col min="4358" max="4358" width="15" style="122" customWidth="1"/>
    <col min="4359" max="4608" width="9.26953125" style="122"/>
    <col min="4609" max="4609" width="0" style="122" hidden="1" customWidth="1"/>
    <col min="4610" max="4610" width="31.7265625" style="122" customWidth="1"/>
    <col min="4611" max="4612" width="15.26953125" style="122" customWidth="1"/>
    <col min="4613" max="4613" width="16.54296875" style="122" customWidth="1"/>
    <col min="4614" max="4614" width="15" style="122" customWidth="1"/>
    <col min="4615" max="4864" width="9.26953125" style="122"/>
    <col min="4865" max="4865" width="0" style="122" hidden="1" customWidth="1"/>
    <col min="4866" max="4866" width="31.7265625" style="122" customWidth="1"/>
    <col min="4867" max="4868" width="15.26953125" style="122" customWidth="1"/>
    <col min="4869" max="4869" width="16.54296875" style="122" customWidth="1"/>
    <col min="4870" max="4870" width="15" style="122" customWidth="1"/>
    <col min="4871" max="5120" width="9.26953125" style="122"/>
    <col min="5121" max="5121" width="0" style="122" hidden="1" customWidth="1"/>
    <col min="5122" max="5122" width="31.7265625" style="122" customWidth="1"/>
    <col min="5123" max="5124" width="15.26953125" style="122" customWidth="1"/>
    <col min="5125" max="5125" width="16.54296875" style="122" customWidth="1"/>
    <col min="5126" max="5126" width="15" style="122" customWidth="1"/>
    <col min="5127" max="5376" width="9.26953125" style="122"/>
    <col min="5377" max="5377" width="0" style="122" hidden="1" customWidth="1"/>
    <col min="5378" max="5378" width="31.7265625" style="122" customWidth="1"/>
    <col min="5379" max="5380" width="15.26953125" style="122" customWidth="1"/>
    <col min="5381" max="5381" width="16.54296875" style="122" customWidth="1"/>
    <col min="5382" max="5382" width="15" style="122" customWidth="1"/>
    <col min="5383" max="5632" width="9.26953125" style="122"/>
    <col min="5633" max="5633" width="0" style="122" hidden="1" customWidth="1"/>
    <col min="5634" max="5634" width="31.7265625" style="122" customWidth="1"/>
    <col min="5635" max="5636" width="15.26953125" style="122" customWidth="1"/>
    <col min="5637" max="5637" width="16.54296875" style="122" customWidth="1"/>
    <col min="5638" max="5638" width="15" style="122" customWidth="1"/>
    <col min="5639" max="5888" width="9.26953125" style="122"/>
    <col min="5889" max="5889" width="0" style="122" hidden="1" customWidth="1"/>
    <col min="5890" max="5890" width="31.7265625" style="122" customWidth="1"/>
    <col min="5891" max="5892" width="15.26953125" style="122" customWidth="1"/>
    <col min="5893" max="5893" width="16.54296875" style="122" customWidth="1"/>
    <col min="5894" max="5894" width="15" style="122" customWidth="1"/>
    <col min="5895" max="6144" width="9.26953125" style="122"/>
    <col min="6145" max="6145" width="0" style="122" hidden="1" customWidth="1"/>
    <col min="6146" max="6146" width="31.7265625" style="122" customWidth="1"/>
    <col min="6147" max="6148" width="15.26953125" style="122" customWidth="1"/>
    <col min="6149" max="6149" width="16.54296875" style="122" customWidth="1"/>
    <col min="6150" max="6150" width="15" style="122" customWidth="1"/>
    <col min="6151" max="6400" width="9.26953125" style="122"/>
    <col min="6401" max="6401" width="0" style="122" hidden="1" customWidth="1"/>
    <col min="6402" max="6402" width="31.7265625" style="122" customWidth="1"/>
    <col min="6403" max="6404" width="15.26953125" style="122" customWidth="1"/>
    <col min="6405" max="6405" width="16.54296875" style="122" customWidth="1"/>
    <col min="6406" max="6406" width="15" style="122" customWidth="1"/>
    <col min="6407" max="6656" width="9.26953125" style="122"/>
    <col min="6657" max="6657" width="0" style="122" hidden="1" customWidth="1"/>
    <col min="6658" max="6658" width="31.7265625" style="122" customWidth="1"/>
    <col min="6659" max="6660" width="15.26953125" style="122" customWidth="1"/>
    <col min="6661" max="6661" width="16.54296875" style="122" customWidth="1"/>
    <col min="6662" max="6662" width="15" style="122" customWidth="1"/>
    <col min="6663" max="6912" width="9.26953125" style="122"/>
    <col min="6913" max="6913" width="0" style="122" hidden="1" customWidth="1"/>
    <col min="6914" max="6914" width="31.7265625" style="122" customWidth="1"/>
    <col min="6915" max="6916" width="15.26953125" style="122" customWidth="1"/>
    <col min="6917" max="6917" width="16.54296875" style="122" customWidth="1"/>
    <col min="6918" max="6918" width="15" style="122" customWidth="1"/>
    <col min="6919" max="7168" width="9.26953125" style="122"/>
    <col min="7169" max="7169" width="0" style="122" hidden="1" customWidth="1"/>
    <col min="7170" max="7170" width="31.7265625" style="122" customWidth="1"/>
    <col min="7171" max="7172" width="15.26953125" style="122" customWidth="1"/>
    <col min="7173" max="7173" width="16.54296875" style="122" customWidth="1"/>
    <col min="7174" max="7174" width="15" style="122" customWidth="1"/>
    <col min="7175" max="7424" width="9.26953125" style="122"/>
    <col min="7425" max="7425" width="0" style="122" hidden="1" customWidth="1"/>
    <col min="7426" max="7426" width="31.7265625" style="122" customWidth="1"/>
    <col min="7427" max="7428" width="15.26953125" style="122" customWidth="1"/>
    <col min="7429" max="7429" width="16.54296875" style="122" customWidth="1"/>
    <col min="7430" max="7430" width="15" style="122" customWidth="1"/>
    <col min="7431" max="7680" width="9.26953125" style="122"/>
    <col min="7681" max="7681" width="0" style="122" hidden="1" customWidth="1"/>
    <col min="7682" max="7682" width="31.7265625" style="122" customWidth="1"/>
    <col min="7683" max="7684" width="15.26953125" style="122" customWidth="1"/>
    <col min="7685" max="7685" width="16.54296875" style="122" customWidth="1"/>
    <col min="7686" max="7686" width="15" style="122" customWidth="1"/>
    <col min="7687" max="7936" width="9.26953125" style="122"/>
    <col min="7937" max="7937" width="0" style="122" hidden="1" customWidth="1"/>
    <col min="7938" max="7938" width="31.7265625" style="122" customWidth="1"/>
    <col min="7939" max="7940" width="15.26953125" style="122" customWidth="1"/>
    <col min="7941" max="7941" width="16.54296875" style="122" customWidth="1"/>
    <col min="7942" max="7942" width="15" style="122" customWidth="1"/>
    <col min="7943" max="8192" width="9.26953125" style="122"/>
    <col min="8193" max="8193" width="0" style="122" hidden="1" customWidth="1"/>
    <col min="8194" max="8194" width="31.7265625" style="122" customWidth="1"/>
    <col min="8195" max="8196" width="15.26953125" style="122" customWidth="1"/>
    <col min="8197" max="8197" width="16.54296875" style="122" customWidth="1"/>
    <col min="8198" max="8198" width="15" style="122" customWidth="1"/>
    <col min="8199" max="8448" width="9.26953125" style="122"/>
    <col min="8449" max="8449" width="0" style="122" hidden="1" customWidth="1"/>
    <col min="8450" max="8450" width="31.7265625" style="122" customWidth="1"/>
    <col min="8451" max="8452" width="15.26953125" style="122" customWidth="1"/>
    <col min="8453" max="8453" width="16.54296875" style="122" customWidth="1"/>
    <col min="8454" max="8454" width="15" style="122" customWidth="1"/>
    <col min="8455" max="8704" width="9.26953125" style="122"/>
    <col min="8705" max="8705" width="0" style="122" hidden="1" customWidth="1"/>
    <col min="8706" max="8706" width="31.7265625" style="122" customWidth="1"/>
    <col min="8707" max="8708" width="15.26953125" style="122" customWidth="1"/>
    <col min="8709" max="8709" width="16.54296875" style="122" customWidth="1"/>
    <col min="8710" max="8710" width="15" style="122" customWidth="1"/>
    <col min="8711" max="8960" width="9.26953125" style="122"/>
    <col min="8961" max="8961" width="0" style="122" hidden="1" customWidth="1"/>
    <col min="8962" max="8962" width="31.7265625" style="122" customWidth="1"/>
    <col min="8963" max="8964" width="15.26953125" style="122" customWidth="1"/>
    <col min="8965" max="8965" width="16.54296875" style="122" customWidth="1"/>
    <col min="8966" max="8966" width="15" style="122" customWidth="1"/>
    <col min="8967" max="9216" width="9.26953125" style="122"/>
    <col min="9217" max="9217" width="0" style="122" hidden="1" customWidth="1"/>
    <col min="9218" max="9218" width="31.7265625" style="122" customWidth="1"/>
    <col min="9219" max="9220" width="15.26953125" style="122" customWidth="1"/>
    <col min="9221" max="9221" width="16.54296875" style="122" customWidth="1"/>
    <col min="9222" max="9222" width="15" style="122" customWidth="1"/>
    <col min="9223" max="9472" width="9.26953125" style="122"/>
    <col min="9473" max="9473" width="0" style="122" hidden="1" customWidth="1"/>
    <col min="9474" max="9474" width="31.7265625" style="122" customWidth="1"/>
    <col min="9475" max="9476" width="15.26953125" style="122" customWidth="1"/>
    <col min="9477" max="9477" width="16.54296875" style="122" customWidth="1"/>
    <col min="9478" max="9478" width="15" style="122" customWidth="1"/>
    <col min="9479" max="9728" width="9.26953125" style="122"/>
    <col min="9729" max="9729" width="0" style="122" hidden="1" customWidth="1"/>
    <col min="9730" max="9730" width="31.7265625" style="122" customWidth="1"/>
    <col min="9731" max="9732" width="15.26953125" style="122" customWidth="1"/>
    <col min="9733" max="9733" width="16.54296875" style="122" customWidth="1"/>
    <col min="9734" max="9734" width="15" style="122" customWidth="1"/>
    <col min="9735" max="9984" width="9.26953125" style="122"/>
    <col min="9985" max="9985" width="0" style="122" hidden="1" customWidth="1"/>
    <col min="9986" max="9986" width="31.7265625" style="122" customWidth="1"/>
    <col min="9987" max="9988" width="15.26953125" style="122" customWidth="1"/>
    <col min="9989" max="9989" width="16.54296875" style="122" customWidth="1"/>
    <col min="9990" max="9990" width="15" style="122" customWidth="1"/>
    <col min="9991" max="10240" width="9.26953125" style="122"/>
    <col min="10241" max="10241" width="0" style="122" hidden="1" customWidth="1"/>
    <col min="10242" max="10242" width="31.7265625" style="122" customWidth="1"/>
    <col min="10243" max="10244" width="15.26953125" style="122" customWidth="1"/>
    <col min="10245" max="10245" width="16.54296875" style="122" customWidth="1"/>
    <col min="10246" max="10246" width="15" style="122" customWidth="1"/>
    <col min="10247" max="10496" width="9.26953125" style="122"/>
    <col min="10497" max="10497" width="0" style="122" hidden="1" customWidth="1"/>
    <col min="10498" max="10498" width="31.7265625" style="122" customWidth="1"/>
    <col min="10499" max="10500" width="15.26953125" style="122" customWidth="1"/>
    <col min="10501" max="10501" width="16.54296875" style="122" customWidth="1"/>
    <col min="10502" max="10502" width="15" style="122" customWidth="1"/>
    <col min="10503" max="10752" width="9.26953125" style="122"/>
    <col min="10753" max="10753" width="0" style="122" hidden="1" customWidth="1"/>
    <col min="10754" max="10754" width="31.7265625" style="122" customWidth="1"/>
    <col min="10755" max="10756" width="15.26953125" style="122" customWidth="1"/>
    <col min="10757" max="10757" width="16.54296875" style="122" customWidth="1"/>
    <col min="10758" max="10758" width="15" style="122" customWidth="1"/>
    <col min="10759" max="11008" width="9.26953125" style="122"/>
    <col min="11009" max="11009" width="0" style="122" hidden="1" customWidth="1"/>
    <col min="11010" max="11010" width="31.7265625" style="122" customWidth="1"/>
    <col min="11011" max="11012" width="15.26953125" style="122" customWidth="1"/>
    <col min="11013" max="11013" width="16.54296875" style="122" customWidth="1"/>
    <col min="11014" max="11014" width="15" style="122" customWidth="1"/>
    <col min="11015" max="11264" width="9.26953125" style="122"/>
    <col min="11265" max="11265" width="0" style="122" hidden="1" customWidth="1"/>
    <col min="11266" max="11266" width="31.7265625" style="122" customWidth="1"/>
    <col min="11267" max="11268" width="15.26953125" style="122" customWidth="1"/>
    <col min="11269" max="11269" width="16.54296875" style="122" customWidth="1"/>
    <col min="11270" max="11270" width="15" style="122" customWidth="1"/>
    <col min="11271" max="11520" width="9.26953125" style="122"/>
    <col min="11521" max="11521" width="0" style="122" hidden="1" customWidth="1"/>
    <col min="11522" max="11522" width="31.7265625" style="122" customWidth="1"/>
    <col min="11523" max="11524" width="15.26953125" style="122" customWidth="1"/>
    <col min="11525" max="11525" width="16.54296875" style="122" customWidth="1"/>
    <col min="11526" max="11526" width="15" style="122" customWidth="1"/>
    <col min="11527" max="11776" width="9.26953125" style="122"/>
    <col min="11777" max="11777" width="0" style="122" hidden="1" customWidth="1"/>
    <col min="11778" max="11778" width="31.7265625" style="122" customWidth="1"/>
    <col min="11779" max="11780" width="15.26953125" style="122" customWidth="1"/>
    <col min="11781" max="11781" width="16.54296875" style="122" customWidth="1"/>
    <col min="11782" max="11782" width="15" style="122" customWidth="1"/>
    <col min="11783" max="12032" width="9.26953125" style="122"/>
    <col min="12033" max="12033" width="0" style="122" hidden="1" customWidth="1"/>
    <col min="12034" max="12034" width="31.7265625" style="122" customWidth="1"/>
    <col min="12035" max="12036" width="15.26953125" style="122" customWidth="1"/>
    <col min="12037" max="12037" width="16.54296875" style="122" customWidth="1"/>
    <col min="12038" max="12038" width="15" style="122" customWidth="1"/>
    <col min="12039" max="12288" width="9.26953125" style="122"/>
    <col min="12289" max="12289" width="0" style="122" hidden="1" customWidth="1"/>
    <col min="12290" max="12290" width="31.7265625" style="122" customWidth="1"/>
    <col min="12291" max="12292" width="15.26953125" style="122" customWidth="1"/>
    <col min="12293" max="12293" width="16.54296875" style="122" customWidth="1"/>
    <col min="12294" max="12294" width="15" style="122" customWidth="1"/>
    <col min="12295" max="12544" width="9.26953125" style="122"/>
    <col min="12545" max="12545" width="0" style="122" hidden="1" customWidth="1"/>
    <col min="12546" max="12546" width="31.7265625" style="122" customWidth="1"/>
    <col min="12547" max="12548" width="15.26953125" style="122" customWidth="1"/>
    <col min="12549" max="12549" width="16.54296875" style="122" customWidth="1"/>
    <col min="12550" max="12550" width="15" style="122" customWidth="1"/>
    <col min="12551" max="12800" width="9.26953125" style="122"/>
    <col min="12801" max="12801" width="0" style="122" hidden="1" customWidth="1"/>
    <col min="12802" max="12802" width="31.7265625" style="122" customWidth="1"/>
    <col min="12803" max="12804" width="15.26953125" style="122" customWidth="1"/>
    <col min="12805" max="12805" width="16.54296875" style="122" customWidth="1"/>
    <col min="12806" max="12806" width="15" style="122" customWidth="1"/>
    <col min="12807" max="13056" width="9.26953125" style="122"/>
    <col min="13057" max="13057" width="0" style="122" hidden="1" customWidth="1"/>
    <col min="13058" max="13058" width="31.7265625" style="122" customWidth="1"/>
    <col min="13059" max="13060" width="15.26953125" style="122" customWidth="1"/>
    <col min="13061" max="13061" width="16.54296875" style="122" customWidth="1"/>
    <col min="13062" max="13062" width="15" style="122" customWidth="1"/>
    <col min="13063" max="13312" width="9.26953125" style="122"/>
    <col min="13313" max="13313" width="0" style="122" hidden="1" customWidth="1"/>
    <col min="13314" max="13314" width="31.7265625" style="122" customWidth="1"/>
    <col min="13315" max="13316" width="15.26953125" style="122" customWidth="1"/>
    <col min="13317" max="13317" width="16.54296875" style="122" customWidth="1"/>
    <col min="13318" max="13318" width="15" style="122" customWidth="1"/>
    <col min="13319" max="13568" width="9.26953125" style="122"/>
    <col min="13569" max="13569" width="0" style="122" hidden="1" customWidth="1"/>
    <col min="13570" max="13570" width="31.7265625" style="122" customWidth="1"/>
    <col min="13571" max="13572" width="15.26953125" style="122" customWidth="1"/>
    <col min="13573" max="13573" width="16.54296875" style="122" customWidth="1"/>
    <col min="13574" max="13574" width="15" style="122" customWidth="1"/>
    <col min="13575" max="13824" width="9.26953125" style="122"/>
    <col min="13825" max="13825" width="0" style="122" hidden="1" customWidth="1"/>
    <col min="13826" max="13826" width="31.7265625" style="122" customWidth="1"/>
    <col min="13827" max="13828" width="15.26953125" style="122" customWidth="1"/>
    <col min="13829" max="13829" width="16.54296875" style="122" customWidth="1"/>
    <col min="13830" max="13830" width="15" style="122" customWidth="1"/>
    <col min="13831" max="14080" width="9.26953125" style="122"/>
    <col min="14081" max="14081" width="0" style="122" hidden="1" customWidth="1"/>
    <col min="14082" max="14082" width="31.7265625" style="122" customWidth="1"/>
    <col min="14083" max="14084" width="15.26953125" style="122" customWidth="1"/>
    <col min="14085" max="14085" width="16.54296875" style="122" customWidth="1"/>
    <col min="14086" max="14086" width="15" style="122" customWidth="1"/>
    <col min="14087" max="14336" width="9.26953125" style="122"/>
    <col min="14337" max="14337" width="0" style="122" hidden="1" customWidth="1"/>
    <col min="14338" max="14338" width="31.7265625" style="122" customWidth="1"/>
    <col min="14339" max="14340" width="15.26953125" style="122" customWidth="1"/>
    <col min="14341" max="14341" width="16.54296875" style="122" customWidth="1"/>
    <col min="14342" max="14342" width="15" style="122" customWidth="1"/>
    <col min="14343" max="14592" width="9.26953125" style="122"/>
    <col min="14593" max="14593" width="0" style="122" hidden="1" customWidth="1"/>
    <col min="14594" max="14594" width="31.7265625" style="122" customWidth="1"/>
    <col min="14595" max="14596" width="15.26953125" style="122" customWidth="1"/>
    <col min="14597" max="14597" width="16.54296875" style="122" customWidth="1"/>
    <col min="14598" max="14598" width="15" style="122" customWidth="1"/>
    <col min="14599" max="14848" width="9.26953125" style="122"/>
    <col min="14849" max="14849" width="0" style="122" hidden="1" customWidth="1"/>
    <col min="14850" max="14850" width="31.7265625" style="122" customWidth="1"/>
    <col min="14851" max="14852" width="15.26953125" style="122" customWidth="1"/>
    <col min="14853" max="14853" width="16.54296875" style="122" customWidth="1"/>
    <col min="14854" max="14854" width="15" style="122" customWidth="1"/>
    <col min="14855" max="15104" width="9.26953125" style="122"/>
    <col min="15105" max="15105" width="0" style="122" hidden="1" customWidth="1"/>
    <col min="15106" max="15106" width="31.7265625" style="122" customWidth="1"/>
    <col min="15107" max="15108" width="15.26953125" style="122" customWidth="1"/>
    <col min="15109" max="15109" width="16.54296875" style="122" customWidth="1"/>
    <col min="15110" max="15110" width="15" style="122" customWidth="1"/>
    <col min="15111" max="15360" width="9.26953125" style="122"/>
    <col min="15361" max="15361" width="0" style="122" hidden="1" customWidth="1"/>
    <col min="15362" max="15362" width="31.7265625" style="122" customWidth="1"/>
    <col min="15363" max="15364" width="15.26953125" style="122" customWidth="1"/>
    <col min="15365" max="15365" width="16.54296875" style="122" customWidth="1"/>
    <col min="15366" max="15366" width="15" style="122" customWidth="1"/>
    <col min="15367" max="15616" width="9.26953125" style="122"/>
    <col min="15617" max="15617" width="0" style="122" hidden="1" customWidth="1"/>
    <col min="15618" max="15618" width="31.7265625" style="122" customWidth="1"/>
    <col min="15619" max="15620" width="15.26953125" style="122" customWidth="1"/>
    <col min="15621" max="15621" width="16.54296875" style="122" customWidth="1"/>
    <col min="15622" max="15622" width="15" style="122" customWidth="1"/>
    <col min="15623" max="15872" width="9.26953125" style="122"/>
    <col min="15873" max="15873" width="0" style="122" hidden="1" customWidth="1"/>
    <col min="15874" max="15874" width="31.7265625" style="122" customWidth="1"/>
    <col min="15875" max="15876" width="15.26953125" style="122" customWidth="1"/>
    <col min="15877" max="15877" width="16.54296875" style="122" customWidth="1"/>
    <col min="15878" max="15878" width="15" style="122" customWidth="1"/>
    <col min="15879" max="16128" width="9.26953125" style="122"/>
    <col min="16129" max="16129" width="0" style="122" hidden="1" customWidth="1"/>
    <col min="16130" max="16130" width="31.7265625" style="122" customWidth="1"/>
    <col min="16131" max="16132" width="15.26953125" style="122" customWidth="1"/>
    <col min="16133" max="16133" width="16.54296875" style="122" customWidth="1"/>
    <col min="16134" max="16134" width="15" style="122" customWidth="1"/>
    <col min="16135" max="16384" width="9.26953125" style="122"/>
  </cols>
  <sheetData>
    <row r="1" spans="1:6" ht="50.25" customHeight="1" x14ac:dyDescent="0.3">
      <c r="B1" s="312" t="s">
        <v>91</v>
      </c>
      <c r="C1" s="313"/>
      <c r="D1" s="313"/>
      <c r="E1" s="313"/>
      <c r="F1" s="314"/>
    </row>
    <row r="2" spans="1:6" ht="15.75" customHeight="1" x14ac:dyDescent="0.3">
      <c r="C2" s="288" t="s">
        <v>1</v>
      </c>
      <c r="D2" s="290" t="s">
        <v>2</v>
      </c>
      <c r="E2" s="290"/>
      <c r="F2" s="288" t="s">
        <v>5</v>
      </c>
    </row>
    <row r="3" spans="1:6" ht="39" customHeight="1" x14ac:dyDescent="0.3">
      <c r="A3" s="4"/>
      <c r="C3" s="289"/>
      <c r="D3" s="143" t="s">
        <v>3</v>
      </c>
      <c r="E3" s="143" t="s">
        <v>4</v>
      </c>
      <c r="F3" s="289"/>
    </row>
    <row r="4" spans="1:6" ht="28.5" customHeight="1" x14ac:dyDescent="0.3">
      <c r="A4" s="4"/>
      <c r="B4" s="127" t="s">
        <v>6</v>
      </c>
      <c r="C4" s="159">
        <v>770</v>
      </c>
      <c r="D4" s="159">
        <v>140</v>
      </c>
      <c r="E4" s="159">
        <v>11</v>
      </c>
      <c r="F4" s="159">
        <v>0</v>
      </c>
    </row>
    <row r="5" spans="1:6" s="152" customFormat="1" ht="26.25" customHeight="1" x14ac:dyDescent="0.3">
      <c r="A5" s="12"/>
      <c r="B5" s="127" t="s">
        <v>7</v>
      </c>
      <c r="C5" s="146">
        <v>474</v>
      </c>
      <c r="D5" s="146">
        <v>61</v>
      </c>
      <c r="E5" s="146">
        <v>6</v>
      </c>
      <c r="F5" s="146">
        <v>0</v>
      </c>
    </row>
    <row r="6" spans="1:6" x14ac:dyDescent="0.3">
      <c r="A6" s="12">
        <v>51</v>
      </c>
      <c r="B6" s="122" t="s">
        <v>8</v>
      </c>
      <c r="C6" s="147">
        <v>20</v>
      </c>
      <c r="D6" s="147">
        <v>2</v>
      </c>
      <c r="E6" s="147">
        <v>0</v>
      </c>
      <c r="F6" s="147">
        <v>0</v>
      </c>
    </row>
    <row r="7" spans="1:6" x14ac:dyDescent="0.3">
      <c r="A7" s="12">
        <v>52</v>
      </c>
      <c r="B7" s="122" t="s">
        <v>9</v>
      </c>
      <c r="C7" s="147">
        <v>15</v>
      </c>
      <c r="D7" s="147">
        <v>2</v>
      </c>
      <c r="E7" s="147">
        <v>0</v>
      </c>
      <c r="F7" s="147">
        <v>0</v>
      </c>
    </row>
    <row r="8" spans="1:6" x14ac:dyDescent="0.3">
      <c r="A8" s="12">
        <v>86</v>
      </c>
      <c r="B8" s="122" t="s">
        <v>10</v>
      </c>
      <c r="C8" s="147">
        <v>10</v>
      </c>
      <c r="D8" s="147">
        <v>3</v>
      </c>
      <c r="E8" s="147">
        <v>0</v>
      </c>
      <c r="F8" s="147">
        <v>0</v>
      </c>
    </row>
    <row r="9" spans="1:6" x14ac:dyDescent="0.3">
      <c r="A9" s="12">
        <v>53</v>
      </c>
      <c r="B9" s="122" t="s">
        <v>11</v>
      </c>
      <c r="C9" s="147">
        <v>10</v>
      </c>
      <c r="D9" s="147">
        <v>0</v>
      </c>
      <c r="E9" s="147">
        <v>0</v>
      </c>
      <c r="F9" s="147">
        <v>0</v>
      </c>
    </row>
    <row r="10" spans="1:6" x14ac:dyDescent="0.3">
      <c r="A10" s="12">
        <v>54</v>
      </c>
      <c r="B10" s="122" t="s">
        <v>12</v>
      </c>
      <c r="C10" s="147">
        <v>40</v>
      </c>
      <c r="D10" s="147">
        <v>1</v>
      </c>
      <c r="E10" s="147">
        <v>0</v>
      </c>
      <c r="F10" s="147">
        <v>0</v>
      </c>
    </row>
    <row r="11" spans="1:6" x14ac:dyDescent="0.3">
      <c r="A11" s="12">
        <v>55</v>
      </c>
      <c r="B11" s="122" t="s">
        <v>13</v>
      </c>
      <c r="C11" s="147">
        <v>8</v>
      </c>
      <c r="D11" s="147">
        <v>1</v>
      </c>
      <c r="E11" s="147">
        <v>0</v>
      </c>
      <c r="F11" s="147">
        <v>0</v>
      </c>
    </row>
    <row r="12" spans="1:6" x14ac:dyDescent="0.3">
      <c r="A12" s="12">
        <v>56</v>
      </c>
      <c r="B12" s="122" t="s">
        <v>14</v>
      </c>
      <c r="C12" s="147">
        <v>11</v>
      </c>
      <c r="D12" s="147">
        <v>0</v>
      </c>
      <c r="E12" s="147">
        <v>0</v>
      </c>
      <c r="F12" s="147">
        <v>0</v>
      </c>
    </row>
    <row r="13" spans="1:6" x14ac:dyDescent="0.3">
      <c r="A13" s="12">
        <v>57</v>
      </c>
      <c r="B13" s="122" t="s">
        <v>15</v>
      </c>
      <c r="C13" s="147">
        <v>3</v>
      </c>
      <c r="D13" s="147">
        <v>0</v>
      </c>
      <c r="E13" s="147">
        <v>0</v>
      </c>
      <c r="F13" s="147">
        <v>0</v>
      </c>
    </row>
    <row r="14" spans="1:6" x14ac:dyDescent="0.3">
      <c r="A14" s="12">
        <v>59</v>
      </c>
      <c r="B14" s="122" t="s">
        <v>16</v>
      </c>
      <c r="C14" s="147">
        <v>7</v>
      </c>
      <c r="D14" s="147">
        <v>1</v>
      </c>
      <c r="E14" s="147">
        <v>0</v>
      </c>
      <c r="F14" s="147">
        <v>0</v>
      </c>
    </row>
    <row r="15" spans="1:6" x14ac:dyDescent="0.3">
      <c r="A15" s="12">
        <v>60</v>
      </c>
      <c r="B15" s="122" t="s">
        <v>17</v>
      </c>
      <c r="C15" s="147">
        <v>1</v>
      </c>
      <c r="D15" s="147">
        <v>0</v>
      </c>
      <c r="E15" s="147">
        <v>0</v>
      </c>
      <c r="F15" s="147">
        <v>0</v>
      </c>
    </row>
    <row r="16" spans="1:6" x14ac:dyDescent="0.3">
      <c r="A16" s="12">
        <v>61</v>
      </c>
      <c r="B16" s="149" t="s">
        <v>18</v>
      </c>
      <c r="C16" s="147">
        <v>13</v>
      </c>
      <c r="D16" s="147">
        <v>0</v>
      </c>
      <c r="E16" s="147">
        <v>0</v>
      </c>
      <c r="F16" s="147">
        <v>0</v>
      </c>
    </row>
    <row r="17" spans="1:6" s="181" customFormat="1" x14ac:dyDescent="0.3">
      <c r="A17" s="12"/>
      <c r="B17" s="130" t="s">
        <v>122</v>
      </c>
      <c r="C17" s="163">
        <v>15</v>
      </c>
      <c r="D17" s="163">
        <v>1</v>
      </c>
      <c r="E17" s="163">
        <v>0</v>
      </c>
      <c r="F17" s="163">
        <v>0</v>
      </c>
    </row>
    <row r="18" spans="1:6" x14ac:dyDescent="0.3">
      <c r="A18" s="12">
        <v>58</v>
      </c>
      <c r="B18" s="122" t="s">
        <v>20</v>
      </c>
      <c r="C18" s="147">
        <v>5</v>
      </c>
      <c r="D18" s="147">
        <v>2</v>
      </c>
      <c r="E18" s="147">
        <v>0</v>
      </c>
      <c r="F18" s="147">
        <v>0</v>
      </c>
    </row>
    <row r="19" spans="1:6" x14ac:dyDescent="0.3">
      <c r="A19" s="12">
        <v>63</v>
      </c>
      <c r="B19" s="122" t="s">
        <v>21</v>
      </c>
      <c r="C19" s="147">
        <v>19</v>
      </c>
      <c r="D19" s="147">
        <v>1</v>
      </c>
      <c r="E19" s="147">
        <v>0</v>
      </c>
      <c r="F19" s="147">
        <v>0</v>
      </c>
    </row>
    <row r="20" spans="1:6" x14ac:dyDescent="0.3">
      <c r="A20" s="12">
        <v>64</v>
      </c>
      <c r="B20" s="122" t="s">
        <v>22</v>
      </c>
      <c r="C20" s="147">
        <v>45</v>
      </c>
      <c r="D20" s="147">
        <v>16</v>
      </c>
      <c r="E20" s="147">
        <v>2</v>
      </c>
      <c r="F20" s="147">
        <v>0</v>
      </c>
    </row>
    <row r="21" spans="1:6" x14ac:dyDescent="0.3">
      <c r="A21" s="12">
        <v>65</v>
      </c>
      <c r="B21" s="122" t="s">
        <v>23</v>
      </c>
      <c r="C21" s="147">
        <v>10</v>
      </c>
      <c r="D21" s="147">
        <v>0</v>
      </c>
      <c r="E21" s="147">
        <v>0</v>
      </c>
      <c r="F21" s="147">
        <v>0</v>
      </c>
    </row>
    <row r="22" spans="1:6" x14ac:dyDescent="0.3">
      <c r="A22" s="12">
        <v>67</v>
      </c>
      <c r="B22" s="122" t="s">
        <v>24</v>
      </c>
      <c r="C22" s="147">
        <v>10</v>
      </c>
      <c r="D22" s="147">
        <v>3</v>
      </c>
      <c r="E22" s="147">
        <v>2</v>
      </c>
      <c r="F22" s="147">
        <v>0</v>
      </c>
    </row>
    <row r="23" spans="1:6" x14ac:dyDescent="0.3">
      <c r="A23" s="12">
        <v>68</v>
      </c>
      <c r="B23" s="122" t="s">
        <v>25</v>
      </c>
      <c r="C23" s="147">
        <v>18</v>
      </c>
      <c r="D23" s="147">
        <v>2</v>
      </c>
      <c r="E23" s="147">
        <v>0</v>
      </c>
      <c r="F23" s="147">
        <v>0</v>
      </c>
    </row>
    <row r="24" spans="1:6" x14ac:dyDescent="0.3">
      <c r="A24" s="12">
        <v>69</v>
      </c>
      <c r="B24" s="122" t="s">
        <v>26</v>
      </c>
      <c r="C24" s="147">
        <v>13</v>
      </c>
      <c r="D24" s="147">
        <v>1</v>
      </c>
      <c r="E24" s="147">
        <v>0</v>
      </c>
      <c r="F24" s="147">
        <v>0</v>
      </c>
    </row>
    <row r="25" spans="1:6" x14ac:dyDescent="0.3">
      <c r="A25" s="12">
        <v>70</v>
      </c>
      <c r="B25" s="122" t="s">
        <v>27</v>
      </c>
      <c r="C25" s="147">
        <v>20</v>
      </c>
      <c r="D25" s="147">
        <v>1</v>
      </c>
      <c r="E25" s="147">
        <v>0</v>
      </c>
      <c r="F25" s="147">
        <v>0</v>
      </c>
    </row>
    <row r="26" spans="1:6" x14ac:dyDescent="0.3">
      <c r="A26" s="12">
        <v>71</v>
      </c>
      <c r="B26" s="150" t="s">
        <v>28</v>
      </c>
      <c r="C26" s="147">
        <v>2</v>
      </c>
      <c r="D26" s="147">
        <v>0</v>
      </c>
      <c r="E26" s="147">
        <v>0</v>
      </c>
      <c r="F26" s="147">
        <v>0</v>
      </c>
    </row>
    <row r="27" spans="1:6" x14ac:dyDescent="0.3">
      <c r="A27" s="12">
        <v>73</v>
      </c>
      <c r="B27" s="122" t="s">
        <v>29</v>
      </c>
      <c r="C27" s="151">
        <v>18</v>
      </c>
      <c r="D27" s="151">
        <v>1</v>
      </c>
      <c r="E27" s="151">
        <v>0</v>
      </c>
      <c r="F27" s="151">
        <v>0</v>
      </c>
    </row>
    <row r="28" spans="1:6" x14ac:dyDescent="0.3">
      <c r="A28" s="12">
        <v>74</v>
      </c>
      <c r="B28" s="122" t="s">
        <v>30</v>
      </c>
      <c r="C28" s="147">
        <v>8</v>
      </c>
      <c r="D28" s="147">
        <v>2</v>
      </c>
      <c r="E28" s="147">
        <v>0</v>
      </c>
      <c r="F28" s="147">
        <v>0</v>
      </c>
    </row>
    <row r="29" spans="1:6" x14ac:dyDescent="0.3">
      <c r="A29" s="12">
        <v>75</v>
      </c>
      <c r="B29" s="122" t="s">
        <v>31</v>
      </c>
      <c r="C29" s="147">
        <v>11</v>
      </c>
      <c r="D29" s="147">
        <v>4</v>
      </c>
      <c r="E29" s="147">
        <v>0</v>
      </c>
      <c r="F29" s="147">
        <v>0</v>
      </c>
    </row>
    <row r="30" spans="1:6" x14ac:dyDescent="0.3">
      <c r="A30" s="12">
        <v>76</v>
      </c>
      <c r="B30" s="122" t="s">
        <v>32</v>
      </c>
      <c r="C30" s="147">
        <v>7</v>
      </c>
      <c r="D30" s="147">
        <v>0</v>
      </c>
      <c r="E30" s="147">
        <v>0</v>
      </c>
      <c r="F30" s="147">
        <v>0</v>
      </c>
    </row>
    <row r="31" spans="1:6" x14ac:dyDescent="0.3">
      <c r="A31" s="12">
        <v>79</v>
      </c>
      <c r="B31" s="122" t="s">
        <v>33</v>
      </c>
      <c r="C31" s="147">
        <v>16</v>
      </c>
      <c r="D31" s="147">
        <v>2</v>
      </c>
      <c r="E31" s="147">
        <v>0</v>
      </c>
      <c r="F31" s="147">
        <v>0</v>
      </c>
    </row>
    <row r="32" spans="1:6" x14ac:dyDescent="0.3">
      <c r="A32" s="12">
        <v>80</v>
      </c>
      <c r="B32" s="122" t="s">
        <v>34</v>
      </c>
      <c r="C32" s="147">
        <v>11</v>
      </c>
      <c r="D32" s="147">
        <v>1</v>
      </c>
      <c r="E32" s="147">
        <v>0</v>
      </c>
      <c r="F32" s="147">
        <v>0</v>
      </c>
    </row>
    <row r="33" spans="1:6" x14ac:dyDescent="0.3">
      <c r="A33" s="12">
        <v>81</v>
      </c>
      <c r="B33" s="122" t="s">
        <v>35</v>
      </c>
      <c r="C33" s="147">
        <v>12</v>
      </c>
      <c r="D33" s="147">
        <v>2</v>
      </c>
      <c r="E33" s="147">
        <v>0</v>
      </c>
      <c r="F33" s="147">
        <v>0</v>
      </c>
    </row>
    <row r="34" spans="1:6" x14ac:dyDescent="0.3">
      <c r="A34" s="12">
        <v>83</v>
      </c>
      <c r="B34" s="122" t="s">
        <v>36</v>
      </c>
      <c r="C34" s="147">
        <v>11</v>
      </c>
      <c r="D34" s="147">
        <v>2</v>
      </c>
      <c r="E34" s="147">
        <v>0</v>
      </c>
      <c r="F34" s="147">
        <v>0</v>
      </c>
    </row>
    <row r="35" spans="1:6" x14ac:dyDescent="0.3">
      <c r="A35" s="12">
        <v>84</v>
      </c>
      <c r="B35" s="122" t="s">
        <v>37</v>
      </c>
      <c r="C35" s="147">
        <v>11</v>
      </c>
      <c r="D35" s="147">
        <v>1</v>
      </c>
      <c r="E35" s="147">
        <v>0</v>
      </c>
      <c r="F35" s="147">
        <v>0</v>
      </c>
    </row>
    <row r="36" spans="1:6" x14ac:dyDescent="0.3">
      <c r="A36" s="12">
        <v>85</v>
      </c>
      <c r="B36" s="122" t="s">
        <v>38</v>
      </c>
      <c r="C36" s="147">
        <v>8</v>
      </c>
      <c r="D36" s="147">
        <v>1</v>
      </c>
      <c r="E36" s="147">
        <v>1</v>
      </c>
      <c r="F36" s="147">
        <v>0</v>
      </c>
    </row>
    <row r="37" spans="1:6" x14ac:dyDescent="0.3">
      <c r="A37" s="12">
        <v>87</v>
      </c>
      <c r="B37" s="122" t="s">
        <v>39</v>
      </c>
      <c r="C37" s="147">
        <v>9</v>
      </c>
      <c r="D37" s="147">
        <v>0</v>
      </c>
      <c r="E37" s="147">
        <v>0</v>
      </c>
      <c r="F37" s="147">
        <v>0</v>
      </c>
    </row>
    <row r="38" spans="1:6" x14ac:dyDescent="0.3">
      <c r="A38" s="12">
        <v>90</v>
      </c>
      <c r="B38" s="122" t="s">
        <v>40</v>
      </c>
      <c r="C38" s="147">
        <v>9</v>
      </c>
      <c r="D38" s="147">
        <v>1</v>
      </c>
      <c r="E38" s="147">
        <v>0</v>
      </c>
      <c r="F38" s="147">
        <v>0</v>
      </c>
    </row>
    <row r="39" spans="1:6" x14ac:dyDescent="0.3">
      <c r="A39" s="12">
        <v>91</v>
      </c>
      <c r="B39" s="122" t="s">
        <v>41</v>
      </c>
      <c r="C39" s="147">
        <v>7</v>
      </c>
      <c r="D39" s="147">
        <v>0</v>
      </c>
      <c r="E39" s="147">
        <v>0</v>
      </c>
      <c r="F39" s="147">
        <v>0</v>
      </c>
    </row>
    <row r="40" spans="1:6" x14ac:dyDescent="0.3">
      <c r="A40" s="12">
        <v>92</v>
      </c>
      <c r="B40" s="122" t="s">
        <v>42</v>
      </c>
      <c r="C40" s="147">
        <v>19</v>
      </c>
      <c r="D40" s="147">
        <v>1</v>
      </c>
      <c r="E40" s="147">
        <v>0</v>
      </c>
      <c r="F40" s="147">
        <v>0</v>
      </c>
    </row>
    <row r="41" spans="1:6" x14ac:dyDescent="0.3">
      <c r="A41" s="12">
        <v>94</v>
      </c>
      <c r="B41" s="122" t="s">
        <v>43</v>
      </c>
      <c r="C41" s="147">
        <v>5</v>
      </c>
      <c r="D41" s="147">
        <v>1</v>
      </c>
      <c r="E41" s="147">
        <v>0</v>
      </c>
      <c r="F41" s="147">
        <v>0</v>
      </c>
    </row>
    <row r="42" spans="1:6" x14ac:dyDescent="0.3">
      <c r="A42" s="12">
        <v>96</v>
      </c>
      <c r="B42" s="122" t="s">
        <v>44</v>
      </c>
      <c r="C42" s="147">
        <v>17</v>
      </c>
      <c r="D42" s="147">
        <v>5</v>
      </c>
      <c r="E42" s="147">
        <v>1</v>
      </c>
      <c r="F42" s="147">
        <v>0</v>
      </c>
    </row>
    <row r="43" spans="1:6" x14ac:dyDescent="0.3">
      <c r="A43" s="12">
        <v>72</v>
      </c>
      <c r="B43" s="150" t="s">
        <v>46</v>
      </c>
      <c r="C43" s="147">
        <v>0</v>
      </c>
      <c r="D43" s="147">
        <v>0</v>
      </c>
      <c r="E43" s="147">
        <v>0</v>
      </c>
      <c r="F43" s="147">
        <v>0</v>
      </c>
    </row>
    <row r="44" spans="1:6" s="152" customFormat="1" ht="26.25" customHeight="1" x14ac:dyDescent="0.3">
      <c r="A44" s="1"/>
      <c r="B44" s="127" t="s">
        <v>47</v>
      </c>
      <c r="C44" s="146">
        <v>296</v>
      </c>
      <c r="D44" s="146">
        <v>79</v>
      </c>
      <c r="E44" s="146">
        <v>5</v>
      </c>
      <c r="F44" s="146">
        <v>0</v>
      </c>
    </row>
    <row r="45" spans="1:6" x14ac:dyDescent="0.3">
      <c r="A45" s="12">
        <v>66</v>
      </c>
      <c r="B45" s="122" t="s">
        <v>48</v>
      </c>
      <c r="C45" s="147">
        <v>19</v>
      </c>
      <c r="D45" s="147">
        <v>8</v>
      </c>
      <c r="E45" s="147">
        <v>4</v>
      </c>
      <c r="F45" s="147">
        <v>0</v>
      </c>
    </row>
    <row r="46" spans="1:6" x14ac:dyDescent="0.3">
      <c r="A46" s="12">
        <v>78</v>
      </c>
      <c r="B46" s="122" t="s">
        <v>49</v>
      </c>
      <c r="C46" s="148">
        <v>16</v>
      </c>
      <c r="D46" s="148">
        <v>5</v>
      </c>
      <c r="E46" s="148">
        <v>0</v>
      </c>
      <c r="F46" s="148">
        <v>0</v>
      </c>
    </row>
    <row r="47" spans="1:6" x14ac:dyDescent="0.3">
      <c r="A47" s="12">
        <v>89</v>
      </c>
      <c r="B47" s="122" t="s">
        <v>50</v>
      </c>
      <c r="C47" s="148">
        <v>25</v>
      </c>
      <c r="D47" s="148">
        <v>1</v>
      </c>
      <c r="E47" s="148">
        <v>0</v>
      </c>
      <c r="F47" s="148">
        <v>0</v>
      </c>
    </row>
    <row r="48" spans="1:6" x14ac:dyDescent="0.3">
      <c r="A48" s="12">
        <v>93</v>
      </c>
      <c r="B48" s="122" t="s">
        <v>51</v>
      </c>
      <c r="C48" s="148">
        <v>15</v>
      </c>
      <c r="D48" s="148">
        <v>4</v>
      </c>
      <c r="E48" s="148">
        <v>1</v>
      </c>
      <c r="F48" s="148">
        <v>0</v>
      </c>
    </row>
    <row r="49" spans="1:6" x14ac:dyDescent="0.3">
      <c r="A49" s="12">
        <v>95</v>
      </c>
      <c r="B49" s="122" t="s">
        <v>52</v>
      </c>
      <c r="C49" s="148">
        <v>24</v>
      </c>
      <c r="D49" s="148">
        <v>2</v>
      </c>
      <c r="E49" s="148">
        <v>0</v>
      </c>
      <c r="F49" s="148">
        <v>0</v>
      </c>
    </row>
    <row r="50" spans="1:6" x14ac:dyDescent="0.3">
      <c r="A50" s="12">
        <v>97</v>
      </c>
      <c r="B50" s="122" t="s">
        <v>53</v>
      </c>
      <c r="C50" s="148">
        <v>33</v>
      </c>
      <c r="D50" s="148">
        <v>7</v>
      </c>
      <c r="E50" s="148">
        <v>0</v>
      </c>
      <c r="F50" s="148">
        <v>0</v>
      </c>
    </row>
    <row r="51" spans="1:6" x14ac:dyDescent="0.3">
      <c r="A51" s="12">
        <v>77</v>
      </c>
      <c r="B51" s="154" t="s">
        <v>54</v>
      </c>
      <c r="C51" s="156">
        <v>164</v>
      </c>
      <c r="D51" s="156">
        <v>52</v>
      </c>
      <c r="E51" s="156">
        <v>0</v>
      </c>
      <c r="F51" s="156">
        <v>0</v>
      </c>
    </row>
    <row r="52" spans="1:6" x14ac:dyDescent="0.3">
      <c r="C52" s="139"/>
      <c r="D52" s="139"/>
      <c r="E52" s="139"/>
      <c r="F52" s="139"/>
    </row>
    <row r="53" spans="1:6" x14ac:dyDescent="0.3">
      <c r="B53" s="12" t="s">
        <v>55</v>
      </c>
    </row>
    <row r="54" spans="1:6" ht="23.25" customHeight="1" x14ac:dyDescent="0.3">
      <c r="B54" s="291" t="s">
        <v>65</v>
      </c>
      <c r="C54" s="292"/>
      <c r="D54" s="292"/>
      <c r="E54" s="292"/>
      <c r="F54" s="292"/>
    </row>
    <row r="55" spans="1:6" ht="15" customHeight="1" x14ac:dyDescent="0.3">
      <c r="B55" s="292"/>
      <c r="C55" s="292"/>
      <c r="D55" s="292"/>
      <c r="E55" s="292"/>
      <c r="F55" s="292"/>
    </row>
    <row r="56" spans="1:6" ht="13.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5.75" customHeight="1" x14ac:dyDescent="0.3">
      <c r="B58" s="292"/>
      <c r="C58" s="292"/>
      <c r="D58" s="292"/>
      <c r="E58" s="292"/>
      <c r="F58" s="292"/>
    </row>
    <row r="59" spans="1:6" ht="39" customHeight="1" x14ac:dyDescent="0.3">
      <c r="B59" s="292"/>
      <c r="C59" s="292"/>
      <c r="D59" s="292"/>
      <c r="E59" s="292"/>
      <c r="F59" s="292"/>
    </row>
    <row r="60" spans="1:6" ht="15" customHeight="1" x14ac:dyDescent="0.3">
      <c r="B60" s="57"/>
      <c r="C60" s="57"/>
      <c r="D60" s="57"/>
      <c r="E60" s="57"/>
      <c r="F60" s="57"/>
    </row>
    <row r="61" spans="1:6" x14ac:dyDescent="0.3">
      <c r="B61" s="138" t="s">
        <v>57</v>
      </c>
    </row>
    <row r="63" spans="1:6" x14ac:dyDescent="0.3">
      <c r="B63" s="141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FF0000"/>
  </sheetPr>
  <dimension ref="A1:K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2" customWidth="1"/>
    <col min="3" max="4" width="20" style="2" customWidth="1"/>
    <col min="5" max="5" width="15.26953125" style="2" customWidth="1"/>
    <col min="6" max="6" width="17.7265625" style="2" customWidth="1"/>
    <col min="7" max="256" width="9.26953125" style="2"/>
    <col min="257" max="257" width="0" style="2" hidden="1" customWidth="1"/>
    <col min="258" max="258" width="28.7265625" style="2" customWidth="1"/>
    <col min="259" max="260" width="20" style="2" customWidth="1"/>
    <col min="261" max="261" width="15.26953125" style="2" customWidth="1"/>
    <col min="262" max="262" width="17.7265625" style="2" customWidth="1"/>
    <col min="263" max="512" width="9.26953125" style="2"/>
    <col min="513" max="513" width="0" style="2" hidden="1" customWidth="1"/>
    <col min="514" max="514" width="28.7265625" style="2" customWidth="1"/>
    <col min="515" max="516" width="20" style="2" customWidth="1"/>
    <col min="517" max="517" width="15.26953125" style="2" customWidth="1"/>
    <col min="518" max="518" width="17.7265625" style="2" customWidth="1"/>
    <col min="519" max="768" width="9.26953125" style="2"/>
    <col min="769" max="769" width="0" style="2" hidden="1" customWidth="1"/>
    <col min="770" max="770" width="28.7265625" style="2" customWidth="1"/>
    <col min="771" max="772" width="20" style="2" customWidth="1"/>
    <col min="773" max="773" width="15.26953125" style="2" customWidth="1"/>
    <col min="774" max="774" width="17.7265625" style="2" customWidth="1"/>
    <col min="775" max="1024" width="9.26953125" style="2"/>
    <col min="1025" max="1025" width="0" style="2" hidden="1" customWidth="1"/>
    <col min="1026" max="1026" width="28.7265625" style="2" customWidth="1"/>
    <col min="1027" max="1028" width="20" style="2" customWidth="1"/>
    <col min="1029" max="1029" width="15.26953125" style="2" customWidth="1"/>
    <col min="1030" max="1030" width="17.7265625" style="2" customWidth="1"/>
    <col min="1031" max="1280" width="9.26953125" style="2"/>
    <col min="1281" max="1281" width="0" style="2" hidden="1" customWidth="1"/>
    <col min="1282" max="1282" width="28.7265625" style="2" customWidth="1"/>
    <col min="1283" max="1284" width="20" style="2" customWidth="1"/>
    <col min="1285" max="1285" width="15.26953125" style="2" customWidth="1"/>
    <col min="1286" max="1286" width="17.7265625" style="2" customWidth="1"/>
    <col min="1287" max="1536" width="9.26953125" style="2"/>
    <col min="1537" max="1537" width="0" style="2" hidden="1" customWidth="1"/>
    <col min="1538" max="1538" width="28.7265625" style="2" customWidth="1"/>
    <col min="1539" max="1540" width="20" style="2" customWidth="1"/>
    <col min="1541" max="1541" width="15.26953125" style="2" customWidth="1"/>
    <col min="1542" max="1542" width="17.7265625" style="2" customWidth="1"/>
    <col min="1543" max="1792" width="9.26953125" style="2"/>
    <col min="1793" max="1793" width="0" style="2" hidden="1" customWidth="1"/>
    <col min="1794" max="1794" width="28.7265625" style="2" customWidth="1"/>
    <col min="1795" max="1796" width="20" style="2" customWidth="1"/>
    <col min="1797" max="1797" width="15.26953125" style="2" customWidth="1"/>
    <col min="1798" max="1798" width="17.7265625" style="2" customWidth="1"/>
    <col min="1799" max="2048" width="9.26953125" style="2"/>
    <col min="2049" max="2049" width="0" style="2" hidden="1" customWidth="1"/>
    <col min="2050" max="2050" width="28.7265625" style="2" customWidth="1"/>
    <col min="2051" max="2052" width="20" style="2" customWidth="1"/>
    <col min="2053" max="2053" width="15.26953125" style="2" customWidth="1"/>
    <col min="2054" max="2054" width="17.7265625" style="2" customWidth="1"/>
    <col min="2055" max="2304" width="9.26953125" style="2"/>
    <col min="2305" max="2305" width="0" style="2" hidden="1" customWidth="1"/>
    <col min="2306" max="2306" width="28.7265625" style="2" customWidth="1"/>
    <col min="2307" max="2308" width="20" style="2" customWidth="1"/>
    <col min="2309" max="2309" width="15.26953125" style="2" customWidth="1"/>
    <col min="2310" max="2310" width="17.7265625" style="2" customWidth="1"/>
    <col min="2311" max="2560" width="9.26953125" style="2"/>
    <col min="2561" max="2561" width="0" style="2" hidden="1" customWidth="1"/>
    <col min="2562" max="2562" width="28.7265625" style="2" customWidth="1"/>
    <col min="2563" max="2564" width="20" style="2" customWidth="1"/>
    <col min="2565" max="2565" width="15.26953125" style="2" customWidth="1"/>
    <col min="2566" max="2566" width="17.7265625" style="2" customWidth="1"/>
    <col min="2567" max="2816" width="9.26953125" style="2"/>
    <col min="2817" max="2817" width="0" style="2" hidden="1" customWidth="1"/>
    <col min="2818" max="2818" width="28.7265625" style="2" customWidth="1"/>
    <col min="2819" max="2820" width="20" style="2" customWidth="1"/>
    <col min="2821" max="2821" width="15.26953125" style="2" customWidth="1"/>
    <col min="2822" max="2822" width="17.7265625" style="2" customWidth="1"/>
    <col min="2823" max="3072" width="9.26953125" style="2"/>
    <col min="3073" max="3073" width="0" style="2" hidden="1" customWidth="1"/>
    <col min="3074" max="3074" width="28.7265625" style="2" customWidth="1"/>
    <col min="3075" max="3076" width="20" style="2" customWidth="1"/>
    <col min="3077" max="3077" width="15.26953125" style="2" customWidth="1"/>
    <col min="3078" max="3078" width="17.7265625" style="2" customWidth="1"/>
    <col min="3079" max="3328" width="9.26953125" style="2"/>
    <col min="3329" max="3329" width="0" style="2" hidden="1" customWidth="1"/>
    <col min="3330" max="3330" width="28.7265625" style="2" customWidth="1"/>
    <col min="3331" max="3332" width="20" style="2" customWidth="1"/>
    <col min="3333" max="3333" width="15.26953125" style="2" customWidth="1"/>
    <col min="3334" max="3334" width="17.7265625" style="2" customWidth="1"/>
    <col min="3335" max="3584" width="9.26953125" style="2"/>
    <col min="3585" max="3585" width="0" style="2" hidden="1" customWidth="1"/>
    <col min="3586" max="3586" width="28.7265625" style="2" customWidth="1"/>
    <col min="3587" max="3588" width="20" style="2" customWidth="1"/>
    <col min="3589" max="3589" width="15.26953125" style="2" customWidth="1"/>
    <col min="3590" max="3590" width="17.7265625" style="2" customWidth="1"/>
    <col min="3591" max="3840" width="9.26953125" style="2"/>
    <col min="3841" max="3841" width="0" style="2" hidden="1" customWidth="1"/>
    <col min="3842" max="3842" width="28.7265625" style="2" customWidth="1"/>
    <col min="3843" max="3844" width="20" style="2" customWidth="1"/>
    <col min="3845" max="3845" width="15.26953125" style="2" customWidth="1"/>
    <col min="3846" max="3846" width="17.7265625" style="2" customWidth="1"/>
    <col min="3847" max="4096" width="9.26953125" style="2"/>
    <col min="4097" max="4097" width="0" style="2" hidden="1" customWidth="1"/>
    <col min="4098" max="4098" width="28.7265625" style="2" customWidth="1"/>
    <col min="4099" max="4100" width="20" style="2" customWidth="1"/>
    <col min="4101" max="4101" width="15.26953125" style="2" customWidth="1"/>
    <col min="4102" max="4102" width="17.7265625" style="2" customWidth="1"/>
    <col min="4103" max="4352" width="9.26953125" style="2"/>
    <col min="4353" max="4353" width="0" style="2" hidden="1" customWidth="1"/>
    <col min="4354" max="4354" width="28.7265625" style="2" customWidth="1"/>
    <col min="4355" max="4356" width="20" style="2" customWidth="1"/>
    <col min="4357" max="4357" width="15.26953125" style="2" customWidth="1"/>
    <col min="4358" max="4358" width="17.7265625" style="2" customWidth="1"/>
    <col min="4359" max="4608" width="9.26953125" style="2"/>
    <col min="4609" max="4609" width="0" style="2" hidden="1" customWidth="1"/>
    <col min="4610" max="4610" width="28.7265625" style="2" customWidth="1"/>
    <col min="4611" max="4612" width="20" style="2" customWidth="1"/>
    <col min="4613" max="4613" width="15.26953125" style="2" customWidth="1"/>
    <col min="4614" max="4614" width="17.7265625" style="2" customWidth="1"/>
    <col min="4615" max="4864" width="9.26953125" style="2"/>
    <col min="4865" max="4865" width="0" style="2" hidden="1" customWidth="1"/>
    <col min="4866" max="4866" width="28.7265625" style="2" customWidth="1"/>
    <col min="4867" max="4868" width="20" style="2" customWidth="1"/>
    <col min="4869" max="4869" width="15.26953125" style="2" customWidth="1"/>
    <col min="4870" max="4870" width="17.7265625" style="2" customWidth="1"/>
    <col min="4871" max="5120" width="9.26953125" style="2"/>
    <col min="5121" max="5121" width="0" style="2" hidden="1" customWidth="1"/>
    <col min="5122" max="5122" width="28.7265625" style="2" customWidth="1"/>
    <col min="5123" max="5124" width="20" style="2" customWidth="1"/>
    <col min="5125" max="5125" width="15.26953125" style="2" customWidth="1"/>
    <col min="5126" max="5126" width="17.7265625" style="2" customWidth="1"/>
    <col min="5127" max="5376" width="9.26953125" style="2"/>
    <col min="5377" max="5377" width="0" style="2" hidden="1" customWidth="1"/>
    <col min="5378" max="5378" width="28.7265625" style="2" customWidth="1"/>
    <col min="5379" max="5380" width="20" style="2" customWidth="1"/>
    <col min="5381" max="5381" width="15.26953125" style="2" customWidth="1"/>
    <col min="5382" max="5382" width="17.7265625" style="2" customWidth="1"/>
    <col min="5383" max="5632" width="9.26953125" style="2"/>
    <col min="5633" max="5633" width="0" style="2" hidden="1" customWidth="1"/>
    <col min="5634" max="5634" width="28.7265625" style="2" customWidth="1"/>
    <col min="5635" max="5636" width="20" style="2" customWidth="1"/>
    <col min="5637" max="5637" width="15.26953125" style="2" customWidth="1"/>
    <col min="5638" max="5638" width="17.7265625" style="2" customWidth="1"/>
    <col min="5639" max="5888" width="9.26953125" style="2"/>
    <col min="5889" max="5889" width="0" style="2" hidden="1" customWidth="1"/>
    <col min="5890" max="5890" width="28.7265625" style="2" customWidth="1"/>
    <col min="5891" max="5892" width="20" style="2" customWidth="1"/>
    <col min="5893" max="5893" width="15.26953125" style="2" customWidth="1"/>
    <col min="5894" max="5894" width="17.7265625" style="2" customWidth="1"/>
    <col min="5895" max="6144" width="9.26953125" style="2"/>
    <col min="6145" max="6145" width="0" style="2" hidden="1" customWidth="1"/>
    <col min="6146" max="6146" width="28.7265625" style="2" customWidth="1"/>
    <col min="6147" max="6148" width="20" style="2" customWidth="1"/>
    <col min="6149" max="6149" width="15.26953125" style="2" customWidth="1"/>
    <col min="6150" max="6150" width="17.7265625" style="2" customWidth="1"/>
    <col min="6151" max="6400" width="9.26953125" style="2"/>
    <col min="6401" max="6401" width="0" style="2" hidden="1" customWidth="1"/>
    <col min="6402" max="6402" width="28.7265625" style="2" customWidth="1"/>
    <col min="6403" max="6404" width="20" style="2" customWidth="1"/>
    <col min="6405" max="6405" width="15.26953125" style="2" customWidth="1"/>
    <col min="6406" max="6406" width="17.7265625" style="2" customWidth="1"/>
    <col min="6407" max="6656" width="9.26953125" style="2"/>
    <col min="6657" max="6657" width="0" style="2" hidden="1" customWidth="1"/>
    <col min="6658" max="6658" width="28.7265625" style="2" customWidth="1"/>
    <col min="6659" max="6660" width="20" style="2" customWidth="1"/>
    <col min="6661" max="6661" width="15.26953125" style="2" customWidth="1"/>
    <col min="6662" max="6662" width="17.7265625" style="2" customWidth="1"/>
    <col min="6663" max="6912" width="9.26953125" style="2"/>
    <col min="6913" max="6913" width="0" style="2" hidden="1" customWidth="1"/>
    <col min="6914" max="6914" width="28.7265625" style="2" customWidth="1"/>
    <col min="6915" max="6916" width="20" style="2" customWidth="1"/>
    <col min="6917" max="6917" width="15.26953125" style="2" customWidth="1"/>
    <col min="6918" max="6918" width="17.7265625" style="2" customWidth="1"/>
    <col min="6919" max="7168" width="9.26953125" style="2"/>
    <col min="7169" max="7169" width="0" style="2" hidden="1" customWidth="1"/>
    <col min="7170" max="7170" width="28.7265625" style="2" customWidth="1"/>
    <col min="7171" max="7172" width="20" style="2" customWidth="1"/>
    <col min="7173" max="7173" width="15.26953125" style="2" customWidth="1"/>
    <col min="7174" max="7174" width="17.7265625" style="2" customWidth="1"/>
    <col min="7175" max="7424" width="9.26953125" style="2"/>
    <col min="7425" max="7425" width="0" style="2" hidden="1" customWidth="1"/>
    <col min="7426" max="7426" width="28.7265625" style="2" customWidth="1"/>
    <col min="7427" max="7428" width="20" style="2" customWidth="1"/>
    <col min="7429" max="7429" width="15.26953125" style="2" customWidth="1"/>
    <col min="7430" max="7430" width="17.7265625" style="2" customWidth="1"/>
    <col min="7431" max="7680" width="9.26953125" style="2"/>
    <col min="7681" max="7681" width="0" style="2" hidden="1" customWidth="1"/>
    <col min="7682" max="7682" width="28.7265625" style="2" customWidth="1"/>
    <col min="7683" max="7684" width="20" style="2" customWidth="1"/>
    <col min="7685" max="7685" width="15.26953125" style="2" customWidth="1"/>
    <col min="7686" max="7686" width="17.7265625" style="2" customWidth="1"/>
    <col min="7687" max="7936" width="9.26953125" style="2"/>
    <col min="7937" max="7937" width="0" style="2" hidden="1" customWidth="1"/>
    <col min="7938" max="7938" width="28.7265625" style="2" customWidth="1"/>
    <col min="7939" max="7940" width="20" style="2" customWidth="1"/>
    <col min="7941" max="7941" width="15.26953125" style="2" customWidth="1"/>
    <col min="7942" max="7942" width="17.7265625" style="2" customWidth="1"/>
    <col min="7943" max="8192" width="9.26953125" style="2"/>
    <col min="8193" max="8193" width="0" style="2" hidden="1" customWidth="1"/>
    <col min="8194" max="8194" width="28.7265625" style="2" customWidth="1"/>
    <col min="8195" max="8196" width="20" style="2" customWidth="1"/>
    <col min="8197" max="8197" width="15.26953125" style="2" customWidth="1"/>
    <col min="8198" max="8198" width="17.7265625" style="2" customWidth="1"/>
    <col min="8199" max="8448" width="9.26953125" style="2"/>
    <col min="8449" max="8449" width="0" style="2" hidden="1" customWidth="1"/>
    <col min="8450" max="8450" width="28.7265625" style="2" customWidth="1"/>
    <col min="8451" max="8452" width="20" style="2" customWidth="1"/>
    <col min="8453" max="8453" width="15.26953125" style="2" customWidth="1"/>
    <col min="8454" max="8454" width="17.7265625" style="2" customWidth="1"/>
    <col min="8455" max="8704" width="9.26953125" style="2"/>
    <col min="8705" max="8705" width="0" style="2" hidden="1" customWidth="1"/>
    <col min="8706" max="8706" width="28.7265625" style="2" customWidth="1"/>
    <col min="8707" max="8708" width="20" style="2" customWidth="1"/>
    <col min="8709" max="8709" width="15.26953125" style="2" customWidth="1"/>
    <col min="8710" max="8710" width="17.7265625" style="2" customWidth="1"/>
    <col min="8711" max="8960" width="9.26953125" style="2"/>
    <col min="8961" max="8961" width="0" style="2" hidden="1" customWidth="1"/>
    <col min="8962" max="8962" width="28.7265625" style="2" customWidth="1"/>
    <col min="8963" max="8964" width="20" style="2" customWidth="1"/>
    <col min="8965" max="8965" width="15.26953125" style="2" customWidth="1"/>
    <col min="8966" max="8966" width="17.7265625" style="2" customWidth="1"/>
    <col min="8967" max="9216" width="9.26953125" style="2"/>
    <col min="9217" max="9217" width="0" style="2" hidden="1" customWidth="1"/>
    <col min="9218" max="9218" width="28.7265625" style="2" customWidth="1"/>
    <col min="9219" max="9220" width="20" style="2" customWidth="1"/>
    <col min="9221" max="9221" width="15.26953125" style="2" customWidth="1"/>
    <col min="9222" max="9222" width="17.7265625" style="2" customWidth="1"/>
    <col min="9223" max="9472" width="9.26953125" style="2"/>
    <col min="9473" max="9473" width="0" style="2" hidden="1" customWidth="1"/>
    <col min="9474" max="9474" width="28.7265625" style="2" customWidth="1"/>
    <col min="9475" max="9476" width="20" style="2" customWidth="1"/>
    <col min="9477" max="9477" width="15.26953125" style="2" customWidth="1"/>
    <col min="9478" max="9478" width="17.7265625" style="2" customWidth="1"/>
    <col min="9479" max="9728" width="9.26953125" style="2"/>
    <col min="9729" max="9729" width="0" style="2" hidden="1" customWidth="1"/>
    <col min="9730" max="9730" width="28.7265625" style="2" customWidth="1"/>
    <col min="9731" max="9732" width="20" style="2" customWidth="1"/>
    <col min="9733" max="9733" width="15.26953125" style="2" customWidth="1"/>
    <col min="9734" max="9734" width="17.7265625" style="2" customWidth="1"/>
    <col min="9735" max="9984" width="9.26953125" style="2"/>
    <col min="9985" max="9985" width="0" style="2" hidden="1" customWidth="1"/>
    <col min="9986" max="9986" width="28.7265625" style="2" customWidth="1"/>
    <col min="9987" max="9988" width="20" style="2" customWidth="1"/>
    <col min="9989" max="9989" width="15.26953125" style="2" customWidth="1"/>
    <col min="9990" max="9990" width="17.7265625" style="2" customWidth="1"/>
    <col min="9991" max="10240" width="9.26953125" style="2"/>
    <col min="10241" max="10241" width="0" style="2" hidden="1" customWidth="1"/>
    <col min="10242" max="10242" width="28.7265625" style="2" customWidth="1"/>
    <col min="10243" max="10244" width="20" style="2" customWidth="1"/>
    <col min="10245" max="10245" width="15.26953125" style="2" customWidth="1"/>
    <col min="10246" max="10246" width="17.7265625" style="2" customWidth="1"/>
    <col min="10247" max="10496" width="9.26953125" style="2"/>
    <col min="10497" max="10497" width="0" style="2" hidden="1" customWidth="1"/>
    <col min="10498" max="10498" width="28.7265625" style="2" customWidth="1"/>
    <col min="10499" max="10500" width="20" style="2" customWidth="1"/>
    <col min="10501" max="10501" width="15.26953125" style="2" customWidth="1"/>
    <col min="10502" max="10502" width="17.7265625" style="2" customWidth="1"/>
    <col min="10503" max="10752" width="9.26953125" style="2"/>
    <col min="10753" max="10753" width="0" style="2" hidden="1" customWidth="1"/>
    <col min="10754" max="10754" width="28.7265625" style="2" customWidth="1"/>
    <col min="10755" max="10756" width="20" style="2" customWidth="1"/>
    <col min="10757" max="10757" width="15.26953125" style="2" customWidth="1"/>
    <col min="10758" max="10758" width="17.7265625" style="2" customWidth="1"/>
    <col min="10759" max="11008" width="9.26953125" style="2"/>
    <col min="11009" max="11009" width="0" style="2" hidden="1" customWidth="1"/>
    <col min="11010" max="11010" width="28.7265625" style="2" customWidth="1"/>
    <col min="11011" max="11012" width="20" style="2" customWidth="1"/>
    <col min="11013" max="11013" width="15.26953125" style="2" customWidth="1"/>
    <col min="11014" max="11014" width="17.7265625" style="2" customWidth="1"/>
    <col min="11015" max="11264" width="9.26953125" style="2"/>
    <col min="11265" max="11265" width="0" style="2" hidden="1" customWidth="1"/>
    <col min="11266" max="11266" width="28.7265625" style="2" customWidth="1"/>
    <col min="11267" max="11268" width="20" style="2" customWidth="1"/>
    <col min="11269" max="11269" width="15.26953125" style="2" customWidth="1"/>
    <col min="11270" max="11270" width="17.7265625" style="2" customWidth="1"/>
    <col min="11271" max="11520" width="9.26953125" style="2"/>
    <col min="11521" max="11521" width="0" style="2" hidden="1" customWidth="1"/>
    <col min="11522" max="11522" width="28.7265625" style="2" customWidth="1"/>
    <col min="11523" max="11524" width="20" style="2" customWidth="1"/>
    <col min="11525" max="11525" width="15.26953125" style="2" customWidth="1"/>
    <col min="11526" max="11526" width="17.7265625" style="2" customWidth="1"/>
    <col min="11527" max="11776" width="9.26953125" style="2"/>
    <col min="11777" max="11777" width="0" style="2" hidden="1" customWidth="1"/>
    <col min="11778" max="11778" width="28.7265625" style="2" customWidth="1"/>
    <col min="11779" max="11780" width="20" style="2" customWidth="1"/>
    <col min="11781" max="11781" width="15.26953125" style="2" customWidth="1"/>
    <col min="11782" max="11782" width="17.7265625" style="2" customWidth="1"/>
    <col min="11783" max="12032" width="9.26953125" style="2"/>
    <col min="12033" max="12033" width="0" style="2" hidden="1" customWidth="1"/>
    <col min="12034" max="12034" width="28.7265625" style="2" customWidth="1"/>
    <col min="12035" max="12036" width="20" style="2" customWidth="1"/>
    <col min="12037" max="12037" width="15.26953125" style="2" customWidth="1"/>
    <col min="12038" max="12038" width="17.7265625" style="2" customWidth="1"/>
    <col min="12039" max="12288" width="9.26953125" style="2"/>
    <col min="12289" max="12289" width="0" style="2" hidden="1" customWidth="1"/>
    <col min="12290" max="12290" width="28.7265625" style="2" customWidth="1"/>
    <col min="12291" max="12292" width="20" style="2" customWidth="1"/>
    <col min="12293" max="12293" width="15.26953125" style="2" customWidth="1"/>
    <col min="12294" max="12294" width="17.7265625" style="2" customWidth="1"/>
    <col min="12295" max="12544" width="9.26953125" style="2"/>
    <col min="12545" max="12545" width="0" style="2" hidden="1" customWidth="1"/>
    <col min="12546" max="12546" width="28.7265625" style="2" customWidth="1"/>
    <col min="12547" max="12548" width="20" style="2" customWidth="1"/>
    <col min="12549" max="12549" width="15.26953125" style="2" customWidth="1"/>
    <col min="12550" max="12550" width="17.7265625" style="2" customWidth="1"/>
    <col min="12551" max="12800" width="9.26953125" style="2"/>
    <col min="12801" max="12801" width="0" style="2" hidden="1" customWidth="1"/>
    <col min="12802" max="12802" width="28.7265625" style="2" customWidth="1"/>
    <col min="12803" max="12804" width="20" style="2" customWidth="1"/>
    <col min="12805" max="12805" width="15.26953125" style="2" customWidth="1"/>
    <col min="12806" max="12806" width="17.7265625" style="2" customWidth="1"/>
    <col min="12807" max="13056" width="9.26953125" style="2"/>
    <col min="13057" max="13057" width="0" style="2" hidden="1" customWidth="1"/>
    <col min="13058" max="13058" width="28.7265625" style="2" customWidth="1"/>
    <col min="13059" max="13060" width="20" style="2" customWidth="1"/>
    <col min="13061" max="13061" width="15.26953125" style="2" customWidth="1"/>
    <col min="13062" max="13062" width="17.7265625" style="2" customWidth="1"/>
    <col min="13063" max="13312" width="9.26953125" style="2"/>
    <col min="13313" max="13313" width="0" style="2" hidden="1" customWidth="1"/>
    <col min="13314" max="13314" width="28.7265625" style="2" customWidth="1"/>
    <col min="13315" max="13316" width="20" style="2" customWidth="1"/>
    <col min="13317" max="13317" width="15.26953125" style="2" customWidth="1"/>
    <col min="13318" max="13318" width="17.7265625" style="2" customWidth="1"/>
    <col min="13319" max="13568" width="9.26953125" style="2"/>
    <col min="13569" max="13569" width="0" style="2" hidden="1" customWidth="1"/>
    <col min="13570" max="13570" width="28.7265625" style="2" customWidth="1"/>
    <col min="13571" max="13572" width="20" style="2" customWidth="1"/>
    <col min="13573" max="13573" width="15.26953125" style="2" customWidth="1"/>
    <col min="13574" max="13574" width="17.7265625" style="2" customWidth="1"/>
    <col min="13575" max="13824" width="9.26953125" style="2"/>
    <col min="13825" max="13825" width="0" style="2" hidden="1" customWidth="1"/>
    <col min="13826" max="13826" width="28.7265625" style="2" customWidth="1"/>
    <col min="13827" max="13828" width="20" style="2" customWidth="1"/>
    <col min="13829" max="13829" width="15.26953125" style="2" customWidth="1"/>
    <col min="13830" max="13830" width="17.7265625" style="2" customWidth="1"/>
    <col min="13831" max="14080" width="9.26953125" style="2"/>
    <col min="14081" max="14081" width="0" style="2" hidden="1" customWidth="1"/>
    <col min="14082" max="14082" width="28.7265625" style="2" customWidth="1"/>
    <col min="14083" max="14084" width="20" style="2" customWidth="1"/>
    <col min="14085" max="14085" width="15.26953125" style="2" customWidth="1"/>
    <col min="14086" max="14086" width="17.7265625" style="2" customWidth="1"/>
    <col min="14087" max="14336" width="9.26953125" style="2"/>
    <col min="14337" max="14337" width="0" style="2" hidden="1" customWidth="1"/>
    <col min="14338" max="14338" width="28.7265625" style="2" customWidth="1"/>
    <col min="14339" max="14340" width="20" style="2" customWidth="1"/>
    <col min="14341" max="14341" width="15.26953125" style="2" customWidth="1"/>
    <col min="14342" max="14342" width="17.7265625" style="2" customWidth="1"/>
    <col min="14343" max="14592" width="9.26953125" style="2"/>
    <col min="14593" max="14593" width="0" style="2" hidden="1" customWidth="1"/>
    <col min="14594" max="14594" width="28.7265625" style="2" customWidth="1"/>
    <col min="14595" max="14596" width="20" style="2" customWidth="1"/>
    <col min="14597" max="14597" width="15.26953125" style="2" customWidth="1"/>
    <col min="14598" max="14598" width="17.7265625" style="2" customWidth="1"/>
    <col min="14599" max="14848" width="9.26953125" style="2"/>
    <col min="14849" max="14849" width="0" style="2" hidden="1" customWidth="1"/>
    <col min="14850" max="14850" width="28.7265625" style="2" customWidth="1"/>
    <col min="14851" max="14852" width="20" style="2" customWidth="1"/>
    <col min="14853" max="14853" width="15.26953125" style="2" customWidth="1"/>
    <col min="14854" max="14854" width="17.7265625" style="2" customWidth="1"/>
    <col min="14855" max="15104" width="9.26953125" style="2"/>
    <col min="15105" max="15105" width="0" style="2" hidden="1" customWidth="1"/>
    <col min="15106" max="15106" width="28.7265625" style="2" customWidth="1"/>
    <col min="15107" max="15108" width="20" style="2" customWidth="1"/>
    <col min="15109" max="15109" width="15.26953125" style="2" customWidth="1"/>
    <col min="15110" max="15110" width="17.7265625" style="2" customWidth="1"/>
    <col min="15111" max="15360" width="9.26953125" style="2"/>
    <col min="15361" max="15361" width="0" style="2" hidden="1" customWidth="1"/>
    <col min="15362" max="15362" width="28.7265625" style="2" customWidth="1"/>
    <col min="15363" max="15364" width="20" style="2" customWidth="1"/>
    <col min="15365" max="15365" width="15.26953125" style="2" customWidth="1"/>
    <col min="15366" max="15366" width="17.7265625" style="2" customWidth="1"/>
    <col min="15367" max="15616" width="9.26953125" style="2"/>
    <col min="15617" max="15617" width="0" style="2" hidden="1" customWidth="1"/>
    <col min="15618" max="15618" width="28.7265625" style="2" customWidth="1"/>
    <col min="15619" max="15620" width="20" style="2" customWidth="1"/>
    <col min="15621" max="15621" width="15.26953125" style="2" customWidth="1"/>
    <col min="15622" max="15622" width="17.7265625" style="2" customWidth="1"/>
    <col min="15623" max="15872" width="9.26953125" style="2"/>
    <col min="15873" max="15873" width="0" style="2" hidden="1" customWidth="1"/>
    <col min="15874" max="15874" width="28.7265625" style="2" customWidth="1"/>
    <col min="15875" max="15876" width="20" style="2" customWidth="1"/>
    <col min="15877" max="15877" width="15.26953125" style="2" customWidth="1"/>
    <col min="15878" max="15878" width="17.7265625" style="2" customWidth="1"/>
    <col min="15879" max="16128" width="9.26953125" style="2"/>
    <col min="16129" max="16129" width="0" style="2" hidden="1" customWidth="1"/>
    <col min="16130" max="16130" width="28.7265625" style="2" customWidth="1"/>
    <col min="16131" max="16132" width="20" style="2" customWidth="1"/>
    <col min="16133" max="16133" width="15.26953125" style="2" customWidth="1"/>
    <col min="16134" max="16134" width="17.7265625" style="2" customWidth="1"/>
    <col min="16135" max="16384" width="9.26953125" style="2"/>
  </cols>
  <sheetData>
    <row r="1" spans="1:11" ht="60" customHeight="1" x14ac:dyDescent="0.3">
      <c r="B1" s="316" t="s">
        <v>0</v>
      </c>
      <c r="C1" s="317"/>
      <c r="D1" s="317"/>
      <c r="E1" s="317"/>
      <c r="F1" s="318"/>
    </row>
    <row r="2" spans="1:11" ht="14.5" x14ac:dyDescent="0.3">
      <c r="B2" s="299"/>
      <c r="C2" s="300" t="s">
        <v>1</v>
      </c>
      <c r="D2" s="302" t="s">
        <v>2</v>
      </c>
      <c r="E2" s="302"/>
    </row>
    <row r="3" spans="1:11" ht="27" x14ac:dyDescent="0.3">
      <c r="A3" s="4"/>
      <c r="B3" s="299"/>
      <c r="C3" s="301"/>
      <c r="D3" s="5" t="s">
        <v>3</v>
      </c>
      <c r="E3" s="5" t="s">
        <v>4</v>
      </c>
      <c r="F3" s="5" t="s">
        <v>5</v>
      </c>
    </row>
    <row r="4" spans="1:11" ht="24" customHeight="1" x14ac:dyDescent="0.3">
      <c r="A4" s="4"/>
      <c r="B4" s="6" t="s">
        <v>6</v>
      </c>
      <c r="C4" s="7">
        <v>2627</v>
      </c>
      <c r="D4" s="7">
        <v>493</v>
      </c>
      <c r="E4" s="7">
        <v>81</v>
      </c>
      <c r="F4" s="7">
        <v>0</v>
      </c>
      <c r="H4" s="8"/>
      <c r="I4" s="8"/>
      <c r="J4" s="8"/>
      <c r="K4" s="8"/>
    </row>
    <row r="5" spans="1:11" s="11" customFormat="1" ht="25.5" customHeight="1" x14ac:dyDescent="0.3">
      <c r="A5" s="9"/>
      <c r="B5" s="10" t="s">
        <v>7</v>
      </c>
      <c r="C5" s="7">
        <v>1900</v>
      </c>
      <c r="D5" s="7">
        <v>307</v>
      </c>
      <c r="E5" s="7">
        <v>59</v>
      </c>
      <c r="F5" s="7">
        <v>0</v>
      </c>
      <c r="H5" s="8"/>
      <c r="I5" s="8"/>
      <c r="J5" s="8"/>
      <c r="K5" s="8"/>
    </row>
    <row r="6" spans="1:11" ht="12.75" customHeight="1" x14ac:dyDescent="0.3">
      <c r="A6" s="12">
        <v>51</v>
      </c>
      <c r="B6" s="13" t="s">
        <v>8</v>
      </c>
      <c r="C6" s="14">
        <v>60</v>
      </c>
      <c r="D6" s="14">
        <v>13</v>
      </c>
      <c r="E6" s="14">
        <v>6</v>
      </c>
      <c r="F6" s="14">
        <v>0</v>
      </c>
      <c r="H6" s="8"/>
      <c r="I6" s="8"/>
      <c r="J6" s="8"/>
      <c r="K6" s="8"/>
    </row>
    <row r="7" spans="1:11" ht="12.75" customHeight="1" x14ac:dyDescent="0.3">
      <c r="A7" s="12">
        <v>52</v>
      </c>
      <c r="B7" s="13" t="s">
        <v>9</v>
      </c>
      <c r="C7" s="14">
        <v>59</v>
      </c>
      <c r="D7" s="14">
        <v>7</v>
      </c>
      <c r="E7" s="14">
        <v>0</v>
      </c>
      <c r="F7" s="14">
        <v>0</v>
      </c>
      <c r="H7" s="8"/>
      <c r="I7" s="8"/>
      <c r="J7" s="8"/>
      <c r="K7" s="8"/>
    </row>
    <row r="8" spans="1:11" x14ac:dyDescent="0.3">
      <c r="A8" s="12">
        <v>86</v>
      </c>
      <c r="B8" s="13" t="s">
        <v>10</v>
      </c>
      <c r="C8" s="14">
        <v>68</v>
      </c>
      <c r="D8" s="14">
        <v>10</v>
      </c>
      <c r="E8" s="14">
        <v>1</v>
      </c>
      <c r="F8" s="14">
        <v>0</v>
      </c>
      <c r="H8" s="8"/>
      <c r="I8" s="8"/>
      <c r="J8" s="8"/>
      <c r="K8" s="8"/>
    </row>
    <row r="9" spans="1:11" ht="12.75" customHeight="1" x14ac:dyDescent="0.3">
      <c r="A9" s="12">
        <v>53</v>
      </c>
      <c r="B9" s="13" t="s">
        <v>11</v>
      </c>
      <c r="C9" s="14">
        <v>22</v>
      </c>
      <c r="D9" s="14">
        <v>2</v>
      </c>
      <c r="E9" s="14">
        <v>0</v>
      </c>
      <c r="F9" s="14">
        <v>0</v>
      </c>
      <c r="H9" s="8"/>
      <c r="I9" s="8"/>
      <c r="J9" s="8"/>
      <c r="K9" s="8"/>
    </row>
    <row r="10" spans="1:11" ht="12.75" customHeight="1" x14ac:dyDescent="0.3">
      <c r="A10" s="12">
        <v>54</v>
      </c>
      <c r="B10" s="13" t="s">
        <v>12</v>
      </c>
      <c r="C10" s="14">
        <v>89</v>
      </c>
      <c r="D10" s="14">
        <v>20</v>
      </c>
      <c r="E10" s="14">
        <v>13</v>
      </c>
      <c r="F10" s="14">
        <v>0</v>
      </c>
      <c r="H10" s="8"/>
      <c r="I10" s="8"/>
      <c r="J10" s="8"/>
      <c r="K10" s="8"/>
    </row>
    <row r="11" spans="1:11" ht="12.75" customHeight="1" x14ac:dyDescent="0.3">
      <c r="A11" s="12">
        <v>55</v>
      </c>
      <c r="B11" s="13" t="s">
        <v>13</v>
      </c>
      <c r="C11" s="14">
        <v>26</v>
      </c>
      <c r="D11" s="14">
        <v>5</v>
      </c>
      <c r="E11" s="14">
        <v>0</v>
      </c>
      <c r="F11" s="14">
        <v>0</v>
      </c>
      <c r="H11" s="8"/>
      <c r="I11" s="8"/>
      <c r="J11" s="8"/>
      <c r="K11" s="8"/>
    </row>
    <row r="12" spans="1:11" ht="12.75" customHeight="1" x14ac:dyDescent="0.3">
      <c r="A12" s="12">
        <v>56</v>
      </c>
      <c r="B12" s="13" t="s">
        <v>14</v>
      </c>
      <c r="C12" s="14">
        <v>31</v>
      </c>
      <c r="D12" s="14">
        <v>0</v>
      </c>
      <c r="E12" s="14">
        <v>4</v>
      </c>
      <c r="F12" s="14">
        <v>0</v>
      </c>
      <c r="H12" s="8"/>
      <c r="I12" s="8"/>
      <c r="J12" s="8"/>
      <c r="K12" s="8"/>
    </row>
    <row r="13" spans="1:11" ht="12.75" customHeight="1" x14ac:dyDescent="0.3">
      <c r="A13" s="12">
        <v>57</v>
      </c>
      <c r="B13" s="13" t="s">
        <v>15</v>
      </c>
      <c r="C13" s="14">
        <v>32</v>
      </c>
      <c r="D13" s="14">
        <v>6</v>
      </c>
      <c r="E13" s="14">
        <v>2</v>
      </c>
      <c r="F13" s="14">
        <v>0</v>
      </c>
      <c r="H13" s="8"/>
      <c r="I13" s="8"/>
      <c r="J13" s="8"/>
      <c r="K13" s="8"/>
    </row>
    <row r="14" spans="1:11" ht="12.75" customHeight="1" x14ac:dyDescent="0.3">
      <c r="A14" s="12">
        <v>59</v>
      </c>
      <c r="B14" s="13" t="s">
        <v>16</v>
      </c>
      <c r="C14" s="14">
        <v>27</v>
      </c>
      <c r="D14" s="14">
        <v>5</v>
      </c>
      <c r="E14" s="14">
        <v>0</v>
      </c>
      <c r="F14" s="14">
        <v>0</v>
      </c>
      <c r="H14" s="8"/>
      <c r="I14" s="8"/>
      <c r="J14" s="8"/>
      <c r="K14" s="8"/>
    </row>
    <row r="15" spans="1:11" ht="12.75" customHeight="1" x14ac:dyDescent="0.3">
      <c r="A15" s="12">
        <v>60</v>
      </c>
      <c r="B15" s="13" t="s">
        <v>17</v>
      </c>
      <c r="C15" s="14">
        <v>37</v>
      </c>
      <c r="D15" s="14">
        <v>4</v>
      </c>
      <c r="E15" s="14">
        <v>0</v>
      </c>
      <c r="F15" s="14">
        <v>0</v>
      </c>
      <c r="H15" s="8"/>
      <c r="I15" s="8"/>
      <c r="J15" s="8"/>
      <c r="K15" s="8"/>
    </row>
    <row r="16" spans="1:11" ht="12.75" customHeight="1" x14ac:dyDescent="0.3">
      <c r="A16" s="12">
        <v>61</v>
      </c>
      <c r="B16" s="15" t="s">
        <v>18</v>
      </c>
      <c r="C16" s="14">
        <v>51</v>
      </c>
      <c r="D16" s="14">
        <v>12</v>
      </c>
      <c r="E16" s="14">
        <v>2</v>
      </c>
      <c r="F16" s="14">
        <v>0</v>
      </c>
      <c r="H16" s="8"/>
      <c r="I16" s="8"/>
      <c r="J16" s="8"/>
      <c r="K16" s="8"/>
    </row>
    <row r="17" spans="1:11" s="183" customFormat="1" ht="12.75" customHeight="1" x14ac:dyDescent="0.3">
      <c r="A17" s="12"/>
      <c r="B17" s="130" t="s">
        <v>122</v>
      </c>
      <c r="C17" s="163">
        <v>91</v>
      </c>
      <c r="D17" s="163">
        <v>15</v>
      </c>
      <c r="E17" s="163">
        <v>2</v>
      </c>
      <c r="F17" s="163">
        <v>0</v>
      </c>
      <c r="H17" s="8"/>
      <c r="I17" s="8"/>
      <c r="J17" s="8"/>
      <c r="K17" s="8"/>
    </row>
    <row r="18" spans="1:11" ht="12.75" customHeight="1" x14ac:dyDescent="0.3">
      <c r="A18" s="12">
        <v>58</v>
      </c>
      <c r="B18" s="13" t="s">
        <v>20</v>
      </c>
      <c r="C18" s="14">
        <v>12</v>
      </c>
      <c r="D18" s="14">
        <v>5</v>
      </c>
      <c r="E18" s="14">
        <v>0</v>
      </c>
      <c r="F18" s="14">
        <v>0</v>
      </c>
      <c r="H18" s="8"/>
      <c r="I18" s="8"/>
      <c r="J18" s="8"/>
      <c r="K18" s="8"/>
    </row>
    <row r="19" spans="1:11" ht="12.75" customHeight="1" x14ac:dyDescent="0.3">
      <c r="A19" s="12">
        <v>63</v>
      </c>
      <c r="B19" s="13" t="s">
        <v>21</v>
      </c>
      <c r="C19" s="14">
        <v>61</v>
      </c>
      <c r="D19" s="14">
        <v>2</v>
      </c>
      <c r="E19" s="14">
        <v>6</v>
      </c>
      <c r="F19" s="14">
        <v>0</v>
      </c>
      <c r="H19" s="8"/>
      <c r="I19" s="8"/>
      <c r="J19" s="8"/>
      <c r="K19" s="8"/>
    </row>
    <row r="20" spans="1:11" ht="12.75" customHeight="1" x14ac:dyDescent="0.3">
      <c r="A20" s="12">
        <v>64</v>
      </c>
      <c r="B20" s="13" t="s">
        <v>22</v>
      </c>
      <c r="C20" s="14">
        <v>100</v>
      </c>
      <c r="D20" s="14">
        <v>14</v>
      </c>
      <c r="E20" s="14">
        <v>3</v>
      </c>
      <c r="F20" s="14">
        <v>0</v>
      </c>
      <c r="H20" s="8"/>
      <c r="I20" s="8"/>
      <c r="J20" s="8"/>
      <c r="K20" s="8"/>
    </row>
    <row r="21" spans="1:11" x14ac:dyDescent="0.3">
      <c r="A21" s="12">
        <v>65</v>
      </c>
      <c r="B21" s="13" t="s">
        <v>23</v>
      </c>
      <c r="C21" s="14">
        <v>50</v>
      </c>
      <c r="D21" s="14">
        <v>16</v>
      </c>
      <c r="E21" s="14">
        <v>1</v>
      </c>
      <c r="F21" s="14">
        <v>0</v>
      </c>
      <c r="H21" s="8"/>
      <c r="I21" s="8"/>
      <c r="J21" s="8"/>
      <c r="K21" s="8"/>
    </row>
    <row r="22" spans="1:11" ht="12.75" customHeight="1" x14ac:dyDescent="0.3">
      <c r="A22" s="12">
        <v>67</v>
      </c>
      <c r="B22" s="13" t="s">
        <v>24</v>
      </c>
      <c r="C22" s="14">
        <v>91</v>
      </c>
      <c r="D22" s="14">
        <v>18</v>
      </c>
      <c r="E22" s="14">
        <v>4</v>
      </c>
      <c r="F22" s="14">
        <v>0</v>
      </c>
      <c r="H22" s="8"/>
      <c r="I22" s="8"/>
      <c r="J22" s="8"/>
      <c r="K22" s="8"/>
    </row>
    <row r="23" spans="1:11" x14ac:dyDescent="0.3">
      <c r="A23" s="12">
        <v>68</v>
      </c>
      <c r="B23" s="13" t="s">
        <v>25</v>
      </c>
      <c r="C23" s="14">
        <v>48</v>
      </c>
      <c r="D23" s="14">
        <v>7</v>
      </c>
      <c r="E23" s="14">
        <v>1</v>
      </c>
      <c r="F23" s="14">
        <v>0</v>
      </c>
      <c r="H23" s="8"/>
      <c r="I23" s="8"/>
      <c r="J23" s="8"/>
      <c r="K23" s="8"/>
    </row>
    <row r="24" spans="1:11" x14ac:dyDescent="0.3">
      <c r="A24" s="12">
        <v>69</v>
      </c>
      <c r="B24" s="13" t="s">
        <v>26</v>
      </c>
      <c r="C24" s="14">
        <v>45</v>
      </c>
      <c r="D24" s="14">
        <v>10</v>
      </c>
      <c r="E24" s="14">
        <v>2</v>
      </c>
      <c r="F24" s="14">
        <v>0</v>
      </c>
      <c r="H24" s="8"/>
      <c r="I24" s="8"/>
      <c r="J24" s="8"/>
      <c r="K24" s="8"/>
    </row>
    <row r="25" spans="1:11" x14ac:dyDescent="0.3">
      <c r="A25" s="12">
        <v>70</v>
      </c>
      <c r="B25" s="13" t="s">
        <v>27</v>
      </c>
      <c r="C25" s="14">
        <v>112</v>
      </c>
      <c r="D25" s="14">
        <v>9</v>
      </c>
      <c r="E25" s="14">
        <v>0</v>
      </c>
      <c r="F25" s="14">
        <v>0</v>
      </c>
      <c r="H25" s="8"/>
      <c r="I25" s="8"/>
      <c r="J25" s="8"/>
      <c r="K25" s="8"/>
    </row>
    <row r="26" spans="1:11" x14ac:dyDescent="0.3">
      <c r="A26" s="12">
        <v>71</v>
      </c>
      <c r="B26" s="16" t="s">
        <v>28</v>
      </c>
      <c r="C26" s="14">
        <v>7</v>
      </c>
      <c r="D26" s="14">
        <v>2</v>
      </c>
      <c r="E26" s="14">
        <v>0</v>
      </c>
      <c r="F26" s="14">
        <v>0</v>
      </c>
      <c r="H26" s="8"/>
      <c r="I26" s="8"/>
      <c r="J26" s="8"/>
      <c r="K26" s="8"/>
    </row>
    <row r="27" spans="1:11" x14ac:dyDescent="0.3">
      <c r="A27" s="12">
        <v>73</v>
      </c>
      <c r="B27" s="13" t="s">
        <v>29</v>
      </c>
      <c r="C27" s="17">
        <v>56</v>
      </c>
      <c r="D27" s="17">
        <v>13</v>
      </c>
      <c r="E27" s="17">
        <v>3</v>
      </c>
      <c r="F27" s="17">
        <v>0</v>
      </c>
      <c r="H27" s="8"/>
      <c r="I27" s="8"/>
      <c r="J27" s="8"/>
      <c r="K27" s="8"/>
    </row>
    <row r="28" spans="1:11" x14ac:dyDescent="0.3">
      <c r="A28" s="12">
        <v>74</v>
      </c>
      <c r="B28" s="13" t="s">
        <v>30</v>
      </c>
      <c r="C28" s="14">
        <v>50</v>
      </c>
      <c r="D28" s="14">
        <v>10</v>
      </c>
      <c r="E28" s="14">
        <v>0</v>
      </c>
      <c r="F28" s="14">
        <v>0</v>
      </c>
      <c r="H28" s="8"/>
      <c r="I28" s="8"/>
      <c r="J28" s="8"/>
      <c r="K28" s="8"/>
    </row>
    <row r="29" spans="1:11" x14ac:dyDescent="0.3">
      <c r="A29" s="12">
        <v>75</v>
      </c>
      <c r="B29" s="13" t="s">
        <v>31</v>
      </c>
      <c r="C29" s="14">
        <v>58</v>
      </c>
      <c r="D29" s="14">
        <v>9</v>
      </c>
      <c r="E29" s="14">
        <v>1</v>
      </c>
      <c r="F29" s="14">
        <v>0</v>
      </c>
      <c r="H29" s="8"/>
      <c r="I29" s="8"/>
      <c r="J29" s="8"/>
      <c r="K29" s="8"/>
    </row>
    <row r="30" spans="1:11" x14ac:dyDescent="0.3">
      <c r="A30" s="12">
        <v>76</v>
      </c>
      <c r="B30" s="13" t="s">
        <v>32</v>
      </c>
      <c r="C30" s="14">
        <v>47</v>
      </c>
      <c r="D30" s="14">
        <v>4</v>
      </c>
      <c r="E30" s="14">
        <v>0</v>
      </c>
      <c r="F30" s="14">
        <v>0</v>
      </c>
      <c r="H30" s="8"/>
      <c r="I30" s="8"/>
      <c r="J30" s="8"/>
      <c r="K30" s="8"/>
    </row>
    <row r="31" spans="1:11" x14ac:dyDescent="0.3">
      <c r="A31" s="12">
        <v>79</v>
      </c>
      <c r="B31" s="13" t="s">
        <v>33</v>
      </c>
      <c r="C31" s="14">
        <v>77</v>
      </c>
      <c r="D31" s="14">
        <v>12</v>
      </c>
      <c r="E31" s="14">
        <v>0</v>
      </c>
      <c r="F31" s="14">
        <v>0</v>
      </c>
      <c r="H31" s="8"/>
      <c r="I31" s="8"/>
      <c r="J31" s="8"/>
      <c r="K31" s="8"/>
    </row>
    <row r="32" spans="1:11" x14ac:dyDescent="0.3">
      <c r="A32" s="12">
        <v>80</v>
      </c>
      <c r="B32" s="13" t="s">
        <v>34</v>
      </c>
      <c r="C32" s="14">
        <v>55</v>
      </c>
      <c r="D32" s="14">
        <v>8</v>
      </c>
      <c r="E32" s="14">
        <v>0</v>
      </c>
      <c r="F32" s="14">
        <v>0</v>
      </c>
      <c r="H32" s="8"/>
      <c r="I32" s="8"/>
      <c r="J32" s="8"/>
      <c r="K32" s="8"/>
    </row>
    <row r="33" spans="1:11" x14ac:dyDescent="0.3">
      <c r="A33" s="12">
        <v>81</v>
      </c>
      <c r="B33" s="13" t="s">
        <v>35</v>
      </c>
      <c r="C33" s="14">
        <v>49</v>
      </c>
      <c r="D33" s="14">
        <v>8</v>
      </c>
      <c r="E33" s="14">
        <v>6</v>
      </c>
      <c r="F33" s="14">
        <v>0</v>
      </c>
      <c r="H33" s="8"/>
      <c r="I33" s="8"/>
      <c r="J33" s="8"/>
      <c r="K33" s="8"/>
    </row>
    <row r="34" spans="1:11" x14ac:dyDescent="0.3">
      <c r="A34" s="12">
        <v>83</v>
      </c>
      <c r="B34" s="13" t="s">
        <v>36</v>
      </c>
      <c r="C34" s="14">
        <v>23</v>
      </c>
      <c r="D34" s="14">
        <v>3</v>
      </c>
      <c r="E34" s="14">
        <v>0</v>
      </c>
      <c r="F34" s="14">
        <v>0</v>
      </c>
      <c r="H34" s="8"/>
      <c r="I34" s="8"/>
      <c r="J34" s="8"/>
      <c r="K34" s="8"/>
    </row>
    <row r="35" spans="1:11" x14ac:dyDescent="0.3">
      <c r="A35" s="12">
        <v>84</v>
      </c>
      <c r="B35" s="13" t="s">
        <v>37</v>
      </c>
      <c r="C35" s="14">
        <v>43</v>
      </c>
      <c r="D35" s="14">
        <v>10</v>
      </c>
      <c r="E35" s="14">
        <v>0</v>
      </c>
      <c r="F35" s="14">
        <v>0</v>
      </c>
      <c r="H35" s="8"/>
      <c r="I35" s="8"/>
      <c r="J35" s="8"/>
      <c r="K35" s="8"/>
    </row>
    <row r="36" spans="1:11" x14ac:dyDescent="0.3">
      <c r="A36" s="12">
        <v>85</v>
      </c>
      <c r="B36" s="13" t="s">
        <v>38</v>
      </c>
      <c r="C36" s="14">
        <v>40</v>
      </c>
      <c r="D36" s="14">
        <v>8</v>
      </c>
      <c r="E36" s="14">
        <v>0</v>
      </c>
      <c r="F36" s="14">
        <v>0</v>
      </c>
      <c r="H36" s="8"/>
      <c r="I36" s="8"/>
      <c r="J36" s="8"/>
      <c r="K36" s="8"/>
    </row>
    <row r="37" spans="1:11" x14ac:dyDescent="0.3">
      <c r="A37" s="12">
        <v>87</v>
      </c>
      <c r="B37" s="13" t="s">
        <v>39</v>
      </c>
      <c r="C37" s="14">
        <v>29</v>
      </c>
      <c r="D37" s="14">
        <v>3</v>
      </c>
      <c r="E37" s="14">
        <v>0</v>
      </c>
      <c r="F37" s="14">
        <v>0</v>
      </c>
      <c r="H37" s="8"/>
      <c r="I37" s="8"/>
      <c r="J37" s="8"/>
      <c r="K37" s="8"/>
    </row>
    <row r="38" spans="1:11" x14ac:dyDescent="0.3">
      <c r="A38" s="12">
        <v>90</v>
      </c>
      <c r="B38" s="13" t="s">
        <v>40</v>
      </c>
      <c r="C38" s="14">
        <v>56</v>
      </c>
      <c r="D38" s="14">
        <v>11</v>
      </c>
      <c r="E38" s="14">
        <v>0</v>
      </c>
      <c r="F38" s="14">
        <v>0</v>
      </c>
      <c r="H38" s="8"/>
      <c r="I38" s="8"/>
      <c r="J38" s="8"/>
      <c r="K38" s="8"/>
    </row>
    <row r="39" spans="1:11" x14ac:dyDescent="0.3">
      <c r="A39" s="12">
        <v>91</v>
      </c>
      <c r="B39" s="13" t="s">
        <v>41</v>
      </c>
      <c r="C39" s="14">
        <v>67</v>
      </c>
      <c r="D39" s="14">
        <v>7</v>
      </c>
      <c r="E39" s="14">
        <v>1</v>
      </c>
      <c r="F39" s="14">
        <v>0</v>
      </c>
      <c r="H39" s="8"/>
      <c r="I39" s="8"/>
      <c r="J39" s="8"/>
      <c r="K39" s="8"/>
    </row>
    <row r="40" spans="1:11" x14ac:dyDescent="0.3">
      <c r="A40" s="12">
        <v>92</v>
      </c>
      <c r="B40" s="13" t="s">
        <v>42</v>
      </c>
      <c r="C40" s="14">
        <v>53</v>
      </c>
      <c r="D40" s="14">
        <v>5</v>
      </c>
      <c r="E40" s="14">
        <v>0</v>
      </c>
      <c r="F40" s="14">
        <v>0</v>
      </c>
      <c r="H40" s="8"/>
      <c r="I40" s="8"/>
      <c r="J40" s="8"/>
      <c r="K40" s="8"/>
    </row>
    <row r="41" spans="1:11" x14ac:dyDescent="0.3">
      <c r="A41" s="12">
        <v>94</v>
      </c>
      <c r="B41" s="13" t="s">
        <v>43</v>
      </c>
      <c r="C41" s="14">
        <v>45</v>
      </c>
      <c r="D41" s="14">
        <v>11</v>
      </c>
      <c r="E41" s="14">
        <v>0</v>
      </c>
      <c r="F41" s="14">
        <v>0</v>
      </c>
      <c r="H41" s="8"/>
      <c r="I41" s="8"/>
      <c r="J41" s="8"/>
      <c r="K41" s="8"/>
    </row>
    <row r="42" spans="1:11" x14ac:dyDescent="0.3">
      <c r="A42" s="12">
        <v>96</v>
      </c>
      <c r="B42" s="13" t="s">
        <v>44</v>
      </c>
      <c r="C42" s="14">
        <v>33</v>
      </c>
      <c r="D42" s="14">
        <v>3</v>
      </c>
      <c r="E42" s="14">
        <v>1</v>
      </c>
      <c r="F42" s="14">
        <v>0</v>
      </c>
      <c r="H42" s="8"/>
      <c r="I42" s="8"/>
      <c r="J42" s="8"/>
      <c r="K42" s="8"/>
    </row>
    <row r="43" spans="1:11" x14ac:dyDescent="0.3">
      <c r="A43" s="12">
        <v>72</v>
      </c>
      <c r="B43" s="16" t="s">
        <v>46</v>
      </c>
      <c r="C43" s="14">
        <v>0</v>
      </c>
      <c r="D43" s="14">
        <v>0</v>
      </c>
      <c r="E43" s="14">
        <v>0</v>
      </c>
      <c r="F43" s="14">
        <v>0</v>
      </c>
      <c r="H43" s="8"/>
      <c r="I43" s="8"/>
      <c r="J43" s="8"/>
      <c r="K43" s="8"/>
    </row>
    <row r="44" spans="1:11" s="11" customFormat="1" ht="25.5" customHeight="1" x14ac:dyDescent="0.3">
      <c r="B44" s="6" t="s">
        <v>47</v>
      </c>
      <c r="C44" s="18">
        <v>727</v>
      </c>
      <c r="D44" s="18">
        <v>186</v>
      </c>
      <c r="E44" s="18">
        <v>22</v>
      </c>
      <c r="F44" s="18">
        <v>0</v>
      </c>
      <c r="H44" s="8"/>
      <c r="I44" s="8"/>
      <c r="J44" s="8"/>
      <c r="K44" s="8"/>
    </row>
    <row r="45" spans="1:11" ht="12.75" customHeight="1" x14ac:dyDescent="0.3">
      <c r="A45" s="12">
        <v>66</v>
      </c>
      <c r="B45" s="19" t="s">
        <v>48</v>
      </c>
      <c r="C45" s="14">
        <v>91</v>
      </c>
      <c r="D45" s="14">
        <v>13</v>
      </c>
      <c r="E45" s="14">
        <v>1</v>
      </c>
      <c r="F45" s="14">
        <v>0</v>
      </c>
      <c r="H45" s="8"/>
      <c r="I45" s="8"/>
      <c r="J45" s="8"/>
      <c r="K45" s="8"/>
    </row>
    <row r="46" spans="1:11" ht="12.75" customHeight="1" x14ac:dyDescent="0.3">
      <c r="A46" s="12">
        <v>78</v>
      </c>
      <c r="B46" s="13" t="s">
        <v>49</v>
      </c>
      <c r="C46" s="14">
        <v>39</v>
      </c>
      <c r="D46" s="14">
        <v>8</v>
      </c>
      <c r="E46" s="14">
        <v>1</v>
      </c>
      <c r="F46" s="14">
        <v>0</v>
      </c>
      <c r="H46" s="8"/>
      <c r="I46" s="8"/>
      <c r="J46" s="8"/>
      <c r="K46" s="8"/>
    </row>
    <row r="47" spans="1:11" ht="12.75" customHeight="1" x14ac:dyDescent="0.3">
      <c r="A47" s="12">
        <v>89</v>
      </c>
      <c r="B47" s="13" t="s">
        <v>50</v>
      </c>
      <c r="C47" s="14">
        <v>63</v>
      </c>
      <c r="D47" s="14">
        <v>4</v>
      </c>
      <c r="E47" s="14">
        <v>9</v>
      </c>
      <c r="F47" s="14">
        <v>0</v>
      </c>
      <c r="H47" s="8"/>
      <c r="I47" s="8"/>
      <c r="J47" s="8"/>
      <c r="K47" s="8"/>
    </row>
    <row r="48" spans="1:11" ht="12.75" customHeight="1" x14ac:dyDescent="0.3">
      <c r="A48" s="12">
        <v>93</v>
      </c>
      <c r="B48" s="13" t="s">
        <v>51</v>
      </c>
      <c r="C48" s="14">
        <v>48</v>
      </c>
      <c r="D48" s="14">
        <v>10</v>
      </c>
      <c r="E48" s="14">
        <v>6</v>
      </c>
      <c r="F48" s="14">
        <v>0</v>
      </c>
      <c r="H48" s="8"/>
      <c r="I48" s="8"/>
      <c r="J48" s="8"/>
      <c r="K48" s="8"/>
    </row>
    <row r="49" spans="1:11" ht="12.75" customHeight="1" x14ac:dyDescent="0.3">
      <c r="A49" s="12">
        <v>95</v>
      </c>
      <c r="B49" s="13" t="s">
        <v>52</v>
      </c>
      <c r="C49" s="14">
        <v>126</v>
      </c>
      <c r="D49" s="14">
        <v>18</v>
      </c>
      <c r="E49" s="14">
        <v>1</v>
      </c>
      <c r="F49" s="14">
        <v>0</v>
      </c>
      <c r="H49" s="8"/>
      <c r="I49" s="8"/>
      <c r="J49" s="8"/>
      <c r="K49" s="8"/>
    </row>
    <row r="50" spans="1:11" ht="12.75" customHeight="1" x14ac:dyDescent="0.3">
      <c r="A50" s="12">
        <v>97</v>
      </c>
      <c r="B50" s="13" t="s">
        <v>53</v>
      </c>
      <c r="C50" s="14">
        <v>111</v>
      </c>
      <c r="D50" s="14">
        <v>24</v>
      </c>
      <c r="E50" s="14">
        <v>1</v>
      </c>
      <c r="F50" s="14">
        <v>0</v>
      </c>
      <c r="H50" s="8"/>
      <c r="I50" s="8"/>
      <c r="J50" s="8"/>
      <c r="K50" s="8"/>
    </row>
    <row r="51" spans="1:11" ht="12.75" customHeight="1" x14ac:dyDescent="0.3">
      <c r="A51" s="12">
        <v>77</v>
      </c>
      <c r="B51" s="20" t="s">
        <v>54</v>
      </c>
      <c r="C51" s="21">
        <v>249</v>
      </c>
      <c r="D51" s="21">
        <v>109</v>
      </c>
      <c r="E51" s="21">
        <v>3</v>
      </c>
      <c r="F51" s="21">
        <v>0</v>
      </c>
      <c r="H51" s="8"/>
      <c r="I51" s="8"/>
      <c r="J51" s="8"/>
      <c r="K51" s="8"/>
    </row>
    <row r="53" spans="1:11" ht="12.75" customHeight="1" x14ac:dyDescent="0.3">
      <c r="B53" s="12" t="s">
        <v>55</v>
      </c>
      <c r="C53" s="22"/>
    </row>
    <row r="54" spans="1:11" ht="12.75" customHeight="1" x14ac:dyDescent="0.3">
      <c r="B54" s="291" t="s">
        <v>56</v>
      </c>
      <c r="C54" s="292"/>
      <c r="D54" s="292"/>
      <c r="E54" s="292"/>
      <c r="F54" s="292"/>
    </row>
    <row r="55" spans="1:11" ht="12.75" customHeight="1" x14ac:dyDescent="0.3">
      <c r="B55" s="292"/>
      <c r="C55" s="292"/>
      <c r="D55" s="292"/>
      <c r="E55" s="292"/>
      <c r="F55" s="292"/>
    </row>
    <row r="56" spans="1:11" ht="12.75" customHeight="1" x14ac:dyDescent="0.3">
      <c r="B56" s="292"/>
      <c r="C56" s="292"/>
      <c r="D56" s="292"/>
      <c r="E56" s="292"/>
      <c r="F56" s="292"/>
    </row>
    <row r="57" spans="1:11" ht="12.75" customHeight="1" x14ac:dyDescent="0.3">
      <c r="B57" s="292"/>
      <c r="C57" s="292"/>
      <c r="D57" s="292"/>
      <c r="E57" s="292"/>
      <c r="F57" s="292"/>
    </row>
    <row r="58" spans="1:11" ht="12.75" customHeight="1" x14ac:dyDescent="0.3">
      <c r="B58" s="292"/>
      <c r="C58" s="292"/>
      <c r="D58" s="292"/>
      <c r="E58" s="292"/>
      <c r="F58" s="292"/>
    </row>
    <row r="59" spans="1:11" ht="12.75" customHeight="1" x14ac:dyDescent="0.3">
      <c r="B59" s="292"/>
      <c r="C59" s="292"/>
      <c r="D59" s="292"/>
      <c r="E59" s="292"/>
      <c r="F59" s="292"/>
    </row>
    <row r="60" spans="1:11" ht="39" customHeight="1" x14ac:dyDescent="0.3">
      <c r="B60" s="292"/>
      <c r="C60" s="292"/>
      <c r="D60" s="292"/>
      <c r="E60" s="292"/>
      <c r="F60" s="292"/>
    </row>
    <row r="61" spans="1:11" ht="12.75" customHeight="1" x14ac:dyDescent="0.3">
      <c r="B61" s="23"/>
      <c r="C61" s="23"/>
      <c r="D61" s="23"/>
      <c r="E61" s="23"/>
      <c r="F61" s="23"/>
    </row>
    <row r="62" spans="1:11" ht="12.75" customHeight="1" x14ac:dyDescent="0.3">
      <c r="B62" s="24" t="s">
        <v>57</v>
      </c>
      <c r="C62" s="25"/>
      <c r="D62" s="25"/>
      <c r="E62" s="25"/>
    </row>
    <row r="63" spans="1:11" x14ac:dyDescent="0.3">
      <c r="B63" s="26"/>
      <c r="C63" s="25"/>
      <c r="D63" s="25"/>
      <c r="E63" s="25"/>
    </row>
    <row r="64" spans="1:11" x14ac:dyDescent="0.3">
      <c r="C64" s="25"/>
      <c r="D64" s="25"/>
      <c r="E64" s="25"/>
    </row>
    <row r="65" spans="2:5" x14ac:dyDescent="0.3">
      <c r="B65" s="27"/>
      <c r="C65" s="25"/>
      <c r="D65" s="25"/>
      <c r="E65" s="25"/>
    </row>
    <row r="66" spans="2:5" x14ac:dyDescent="0.3">
      <c r="C66" s="25"/>
      <c r="D66" s="25"/>
      <c r="E66" s="25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FF0000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28" hidden="1" customWidth="1"/>
    <col min="2" max="2" width="24.7265625" style="2" customWidth="1"/>
    <col min="3" max="3" width="11" style="2" customWidth="1"/>
    <col min="4" max="4" width="11.7265625" style="2" customWidth="1"/>
    <col min="5" max="10" width="11" style="2" customWidth="1"/>
    <col min="11" max="256" width="9.26953125" style="2"/>
    <col min="257" max="257" width="0" style="2" hidden="1" customWidth="1"/>
    <col min="258" max="258" width="24.7265625" style="2" customWidth="1"/>
    <col min="259" max="259" width="11" style="2" customWidth="1"/>
    <col min="260" max="260" width="11.7265625" style="2" customWidth="1"/>
    <col min="261" max="266" width="11" style="2" customWidth="1"/>
    <col min="267" max="512" width="9.26953125" style="2"/>
    <col min="513" max="513" width="0" style="2" hidden="1" customWidth="1"/>
    <col min="514" max="514" width="24.7265625" style="2" customWidth="1"/>
    <col min="515" max="515" width="11" style="2" customWidth="1"/>
    <col min="516" max="516" width="11.7265625" style="2" customWidth="1"/>
    <col min="517" max="522" width="11" style="2" customWidth="1"/>
    <col min="523" max="768" width="9.26953125" style="2"/>
    <col min="769" max="769" width="0" style="2" hidden="1" customWidth="1"/>
    <col min="770" max="770" width="24.7265625" style="2" customWidth="1"/>
    <col min="771" max="771" width="11" style="2" customWidth="1"/>
    <col min="772" max="772" width="11.7265625" style="2" customWidth="1"/>
    <col min="773" max="778" width="11" style="2" customWidth="1"/>
    <col min="779" max="1024" width="9.26953125" style="2"/>
    <col min="1025" max="1025" width="0" style="2" hidden="1" customWidth="1"/>
    <col min="1026" max="1026" width="24.7265625" style="2" customWidth="1"/>
    <col min="1027" max="1027" width="11" style="2" customWidth="1"/>
    <col min="1028" max="1028" width="11.7265625" style="2" customWidth="1"/>
    <col min="1029" max="1034" width="11" style="2" customWidth="1"/>
    <col min="1035" max="1280" width="9.26953125" style="2"/>
    <col min="1281" max="1281" width="0" style="2" hidden="1" customWidth="1"/>
    <col min="1282" max="1282" width="24.7265625" style="2" customWidth="1"/>
    <col min="1283" max="1283" width="11" style="2" customWidth="1"/>
    <col min="1284" max="1284" width="11.7265625" style="2" customWidth="1"/>
    <col min="1285" max="1290" width="11" style="2" customWidth="1"/>
    <col min="1291" max="1536" width="9.26953125" style="2"/>
    <col min="1537" max="1537" width="0" style="2" hidden="1" customWidth="1"/>
    <col min="1538" max="1538" width="24.7265625" style="2" customWidth="1"/>
    <col min="1539" max="1539" width="11" style="2" customWidth="1"/>
    <col min="1540" max="1540" width="11.7265625" style="2" customWidth="1"/>
    <col min="1541" max="1546" width="11" style="2" customWidth="1"/>
    <col min="1547" max="1792" width="9.26953125" style="2"/>
    <col min="1793" max="1793" width="0" style="2" hidden="1" customWidth="1"/>
    <col min="1794" max="1794" width="24.7265625" style="2" customWidth="1"/>
    <col min="1795" max="1795" width="11" style="2" customWidth="1"/>
    <col min="1796" max="1796" width="11.7265625" style="2" customWidth="1"/>
    <col min="1797" max="1802" width="11" style="2" customWidth="1"/>
    <col min="1803" max="2048" width="9.26953125" style="2"/>
    <col min="2049" max="2049" width="0" style="2" hidden="1" customWidth="1"/>
    <col min="2050" max="2050" width="24.7265625" style="2" customWidth="1"/>
    <col min="2051" max="2051" width="11" style="2" customWidth="1"/>
    <col min="2052" max="2052" width="11.7265625" style="2" customWidth="1"/>
    <col min="2053" max="2058" width="11" style="2" customWidth="1"/>
    <col min="2059" max="2304" width="9.26953125" style="2"/>
    <col min="2305" max="2305" width="0" style="2" hidden="1" customWidth="1"/>
    <col min="2306" max="2306" width="24.7265625" style="2" customWidth="1"/>
    <col min="2307" max="2307" width="11" style="2" customWidth="1"/>
    <col min="2308" max="2308" width="11.7265625" style="2" customWidth="1"/>
    <col min="2309" max="2314" width="11" style="2" customWidth="1"/>
    <col min="2315" max="2560" width="9.26953125" style="2"/>
    <col min="2561" max="2561" width="0" style="2" hidden="1" customWidth="1"/>
    <col min="2562" max="2562" width="24.7265625" style="2" customWidth="1"/>
    <col min="2563" max="2563" width="11" style="2" customWidth="1"/>
    <col min="2564" max="2564" width="11.7265625" style="2" customWidth="1"/>
    <col min="2565" max="2570" width="11" style="2" customWidth="1"/>
    <col min="2571" max="2816" width="9.26953125" style="2"/>
    <col min="2817" max="2817" width="0" style="2" hidden="1" customWidth="1"/>
    <col min="2818" max="2818" width="24.7265625" style="2" customWidth="1"/>
    <col min="2819" max="2819" width="11" style="2" customWidth="1"/>
    <col min="2820" max="2820" width="11.7265625" style="2" customWidth="1"/>
    <col min="2821" max="2826" width="11" style="2" customWidth="1"/>
    <col min="2827" max="3072" width="9.26953125" style="2"/>
    <col min="3073" max="3073" width="0" style="2" hidden="1" customWidth="1"/>
    <col min="3074" max="3074" width="24.7265625" style="2" customWidth="1"/>
    <col min="3075" max="3075" width="11" style="2" customWidth="1"/>
    <col min="3076" max="3076" width="11.7265625" style="2" customWidth="1"/>
    <col min="3077" max="3082" width="11" style="2" customWidth="1"/>
    <col min="3083" max="3328" width="9.26953125" style="2"/>
    <col min="3329" max="3329" width="0" style="2" hidden="1" customWidth="1"/>
    <col min="3330" max="3330" width="24.7265625" style="2" customWidth="1"/>
    <col min="3331" max="3331" width="11" style="2" customWidth="1"/>
    <col min="3332" max="3332" width="11.7265625" style="2" customWidth="1"/>
    <col min="3333" max="3338" width="11" style="2" customWidth="1"/>
    <col min="3339" max="3584" width="9.26953125" style="2"/>
    <col min="3585" max="3585" width="0" style="2" hidden="1" customWidth="1"/>
    <col min="3586" max="3586" width="24.7265625" style="2" customWidth="1"/>
    <col min="3587" max="3587" width="11" style="2" customWidth="1"/>
    <col min="3588" max="3588" width="11.7265625" style="2" customWidth="1"/>
    <col min="3589" max="3594" width="11" style="2" customWidth="1"/>
    <col min="3595" max="3840" width="9.26953125" style="2"/>
    <col min="3841" max="3841" width="0" style="2" hidden="1" customWidth="1"/>
    <col min="3842" max="3842" width="24.7265625" style="2" customWidth="1"/>
    <col min="3843" max="3843" width="11" style="2" customWidth="1"/>
    <col min="3844" max="3844" width="11.7265625" style="2" customWidth="1"/>
    <col min="3845" max="3850" width="11" style="2" customWidth="1"/>
    <col min="3851" max="4096" width="9.26953125" style="2"/>
    <col min="4097" max="4097" width="0" style="2" hidden="1" customWidth="1"/>
    <col min="4098" max="4098" width="24.7265625" style="2" customWidth="1"/>
    <col min="4099" max="4099" width="11" style="2" customWidth="1"/>
    <col min="4100" max="4100" width="11.7265625" style="2" customWidth="1"/>
    <col min="4101" max="4106" width="11" style="2" customWidth="1"/>
    <col min="4107" max="4352" width="9.26953125" style="2"/>
    <col min="4353" max="4353" width="0" style="2" hidden="1" customWidth="1"/>
    <col min="4354" max="4354" width="24.7265625" style="2" customWidth="1"/>
    <col min="4355" max="4355" width="11" style="2" customWidth="1"/>
    <col min="4356" max="4356" width="11.7265625" style="2" customWidth="1"/>
    <col min="4357" max="4362" width="11" style="2" customWidth="1"/>
    <col min="4363" max="4608" width="9.26953125" style="2"/>
    <col min="4609" max="4609" width="0" style="2" hidden="1" customWidth="1"/>
    <col min="4610" max="4610" width="24.7265625" style="2" customWidth="1"/>
    <col min="4611" max="4611" width="11" style="2" customWidth="1"/>
    <col min="4612" max="4612" width="11.7265625" style="2" customWidth="1"/>
    <col min="4613" max="4618" width="11" style="2" customWidth="1"/>
    <col min="4619" max="4864" width="9.26953125" style="2"/>
    <col min="4865" max="4865" width="0" style="2" hidden="1" customWidth="1"/>
    <col min="4866" max="4866" width="24.7265625" style="2" customWidth="1"/>
    <col min="4867" max="4867" width="11" style="2" customWidth="1"/>
    <col min="4868" max="4868" width="11.7265625" style="2" customWidth="1"/>
    <col min="4869" max="4874" width="11" style="2" customWidth="1"/>
    <col min="4875" max="5120" width="9.26953125" style="2"/>
    <col min="5121" max="5121" width="0" style="2" hidden="1" customWidth="1"/>
    <col min="5122" max="5122" width="24.7265625" style="2" customWidth="1"/>
    <col min="5123" max="5123" width="11" style="2" customWidth="1"/>
    <col min="5124" max="5124" width="11.7265625" style="2" customWidth="1"/>
    <col min="5125" max="5130" width="11" style="2" customWidth="1"/>
    <col min="5131" max="5376" width="9.26953125" style="2"/>
    <col min="5377" max="5377" width="0" style="2" hidden="1" customWidth="1"/>
    <col min="5378" max="5378" width="24.7265625" style="2" customWidth="1"/>
    <col min="5379" max="5379" width="11" style="2" customWidth="1"/>
    <col min="5380" max="5380" width="11.7265625" style="2" customWidth="1"/>
    <col min="5381" max="5386" width="11" style="2" customWidth="1"/>
    <col min="5387" max="5632" width="9.26953125" style="2"/>
    <col min="5633" max="5633" width="0" style="2" hidden="1" customWidth="1"/>
    <col min="5634" max="5634" width="24.7265625" style="2" customWidth="1"/>
    <col min="5635" max="5635" width="11" style="2" customWidth="1"/>
    <col min="5636" max="5636" width="11.7265625" style="2" customWidth="1"/>
    <col min="5637" max="5642" width="11" style="2" customWidth="1"/>
    <col min="5643" max="5888" width="9.26953125" style="2"/>
    <col min="5889" max="5889" width="0" style="2" hidden="1" customWidth="1"/>
    <col min="5890" max="5890" width="24.7265625" style="2" customWidth="1"/>
    <col min="5891" max="5891" width="11" style="2" customWidth="1"/>
    <col min="5892" max="5892" width="11.7265625" style="2" customWidth="1"/>
    <col min="5893" max="5898" width="11" style="2" customWidth="1"/>
    <col min="5899" max="6144" width="9.26953125" style="2"/>
    <col min="6145" max="6145" width="0" style="2" hidden="1" customWidth="1"/>
    <col min="6146" max="6146" width="24.7265625" style="2" customWidth="1"/>
    <col min="6147" max="6147" width="11" style="2" customWidth="1"/>
    <col min="6148" max="6148" width="11.7265625" style="2" customWidth="1"/>
    <col min="6149" max="6154" width="11" style="2" customWidth="1"/>
    <col min="6155" max="6400" width="9.26953125" style="2"/>
    <col min="6401" max="6401" width="0" style="2" hidden="1" customWidth="1"/>
    <col min="6402" max="6402" width="24.7265625" style="2" customWidth="1"/>
    <col min="6403" max="6403" width="11" style="2" customWidth="1"/>
    <col min="6404" max="6404" width="11.7265625" style="2" customWidth="1"/>
    <col min="6405" max="6410" width="11" style="2" customWidth="1"/>
    <col min="6411" max="6656" width="9.26953125" style="2"/>
    <col min="6657" max="6657" width="0" style="2" hidden="1" customWidth="1"/>
    <col min="6658" max="6658" width="24.7265625" style="2" customWidth="1"/>
    <col min="6659" max="6659" width="11" style="2" customWidth="1"/>
    <col min="6660" max="6660" width="11.7265625" style="2" customWidth="1"/>
    <col min="6661" max="6666" width="11" style="2" customWidth="1"/>
    <col min="6667" max="6912" width="9.26953125" style="2"/>
    <col min="6913" max="6913" width="0" style="2" hidden="1" customWidth="1"/>
    <col min="6914" max="6914" width="24.7265625" style="2" customWidth="1"/>
    <col min="6915" max="6915" width="11" style="2" customWidth="1"/>
    <col min="6916" max="6916" width="11.7265625" style="2" customWidth="1"/>
    <col min="6917" max="6922" width="11" style="2" customWidth="1"/>
    <col min="6923" max="7168" width="9.26953125" style="2"/>
    <col min="7169" max="7169" width="0" style="2" hidden="1" customWidth="1"/>
    <col min="7170" max="7170" width="24.7265625" style="2" customWidth="1"/>
    <col min="7171" max="7171" width="11" style="2" customWidth="1"/>
    <col min="7172" max="7172" width="11.7265625" style="2" customWidth="1"/>
    <col min="7173" max="7178" width="11" style="2" customWidth="1"/>
    <col min="7179" max="7424" width="9.26953125" style="2"/>
    <col min="7425" max="7425" width="0" style="2" hidden="1" customWidth="1"/>
    <col min="7426" max="7426" width="24.7265625" style="2" customWidth="1"/>
    <col min="7427" max="7427" width="11" style="2" customWidth="1"/>
    <col min="7428" max="7428" width="11.7265625" style="2" customWidth="1"/>
    <col min="7429" max="7434" width="11" style="2" customWidth="1"/>
    <col min="7435" max="7680" width="9.26953125" style="2"/>
    <col min="7681" max="7681" width="0" style="2" hidden="1" customWidth="1"/>
    <col min="7682" max="7682" width="24.7265625" style="2" customWidth="1"/>
    <col min="7683" max="7683" width="11" style="2" customWidth="1"/>
    <col min="7684" max="7684" width="11.7265625" style="2" customWidth="1"/>
    <col min="7685" max="7690" width="11" style="2" customWidth="1"/>
    <col min="7691" max="7936" width="9.26953125" style="2"/>
    <col min="7937" max="7937" width="0" style="2" hidden="1" customWidth="1"/>
    <col min="7938" max="7938" width="24.7265625" style="2" customWidth="1"/>
    <col min="7939" max="7939" width="11" style="2" customWidth="1"/>
    <col min="7940" max="7940" width="11.7265625" style="2" customWidth="1"/>
    <col min="7941" max="7946" width="11" style="2" customWidth="1"/>
    <col min="7947" max="8192" width="9.26953125" style="2"/>
    <col min="8193" max="8193" width="0" style="2" hidden="1" customWidth="1"/>
    <col min="8194" max="8194" width="24.7265625" style="2" customWidth="1"/>
    <col min="8195" max="8195" width="11" style="2" customWidth="1"/>
    <col min="8196" max="8196" width="11.7265625" style="2" customWidth="1"/>
    <col min="8197" max="8202" width="11" style="2" customWidth="1"/>
    <col min="8203" max="8448" width="9.26953125" style="2"/>
    <col min="8449" max="8449" width="0" style="2" hidden="1" customWidth="1"/>
    <col min="8450" max="8450" width="24.7265625" style="2" customWidth="1"/>
    <col min="8451" max="8451" width="11" style="2" customWidth="1"/>
    <col min="8452" max="8452" width="11.7265625" style="2" customWidth="1"/>
    <col min="8453" max="8458" width="11" style="2" customWidth="1"/>
    <col min="8459" max="8704" width="9.26953125" style="2"/>
    <col min="8705" max="8705" width="0" style="2" hidden="1" customWidth="1"/>
    <col min="8706" max="8706" width="24.7265625" style="2" customWidth="1"/>
    <col min="8707" max="8707" width="11" style="2" customWidth="1"/>
    <col min="8708" max="8708" width="11.7265625" style="2" customWidth="1"/>
    <col min="8709" max="8714" width="11" style="2" customWidth="1"/>
    <col min="8715" max="8960" width="9.26953125" style="2"/>
    <col min="8961" max="8961" width="0" style="2" hidden="1" customWidth="1"/>
    <col min="8962" max="8962" width="24.7265625" style="2" customWidth="1"/>
    <col min="8963" max="8963" width="11" style="2" customWidth="1"/>
    <col min="8964" max="8964" width="11.7265625" style="2" customWidth="1"/>
    <col min="8965" max="8970" width="11" style="2" customWidth="1"/>
    <col min="8971" max="9216" width="9.26953125" style="2"/>
    <col min="9217" max="9217" width="0" style="2" hidden="1" customWidth="1"/>
    <col min="9218" max="9218" width="24.7265625" style="2" customWidth="1"/>
    <col min="9219" max="9219" width="11" style="2" customWidth="1"/>
    <col min="9220" max="9220" width="11.7265625" style="2" customWidth="1"/>
    <col min="9221" max="9226" width="11" style="2" customWidth="1"/>
    <col min="9227" max="9472" width="9.26953125" style="2"/>
    <col min="9473" max="9473" width="0" style="2" hidden="1" customWidth="1"/>
    <col min="9474" max="9474" width="24.7265625" style="2" customWidth="1"/>
    <col min="9475" max="9475" width="11" style="2" customWidth="1"/>
    <col min="9476" max="9476" width="11.7265625" style="2" customWidth="1"/>
    <col min="9477" max="9482" width="11" style="2" customWidth="1"/>
    <col min="9483" max="9728" width="9.26953125" style="2"/>
    <col min="9729" max="9729" width="0" style="2" hidden="1" customWidth="1"/>
    <col min="9730" max="9730" width="24.7265625" style="2" customWidth="1"/>
    <col min="9731" max="9731" width="11" style="2" customWidth="1"/>
    <col min="9732" max="9732" width="11.7265625" style="2" customWidth="1"/>
    <col min="9733" max="9738" width="11" style="2" customWidth="1"/>
    <col min="9739" max="9984" width="9.26953125" style="2"/>
    <col min="9985" max="9985" width="0" style="2" hidden="1" customWidth="1"/>
    <col min="9986" max="9986" width="24.7265625" style="2" customWidth="1"/>
    <col min="9987" max="9987" width="11" style="2" customWidth="1"/>
    <col min="9988" max="9988" width="11.7265625" style="2" customWidth="1"/>
    <col min="9989" max="9994" width="11" style="2" customWidth="1"/>
    <col min="9995" max="10240" width="9.26953125" style="2"/>
    <col min="10241" max="10241" width="0" style="2" hidden="1" customWidth="1"/>
    <col min="10242" max="10242" width="24.7265625" style="2" customWidth="1"/>
    <col min="10243" max="10243" width="11" style="2" customWidth="1"/>
    <col min="10244" max="10244" width="11.7265625" style="2" customWidth="1"/>
    <col min="10245" max="10250" width="11" style="2" customWidth="1"/>
    <col min="10251" max="10496" width="9.26953125" style="2"/>
    <col min="10497" max="10497" width="0" style="2" hidden="1" customWidth="1"/>
    <col min="10498" max="10498" width="24.7265625" style="2" customWidth="1"/>
    <col min="10499" max="10499" width="11" style="2" customWidth="1"/>
    <col min="10500" max="10500" width="11.7265625" style="2" customWidth="1"/>
    <col min="10501" max="10506" width="11" style="2" customWidth="1"/>
    <col min="10507" max="10752" width="9.26953125" style="2"/>
    <col min="10753" max="10753" width="0" style="2" hidden="1" customWidth="1"/>
    <col min="10754" max="10754" width="24.7265625" style="2" customWidth="1"/>
    <col min="10755" max="10755" width="11" style="2" customWidth="1"/>
    <col min="10756" max="10756" width="11.7265625" style="2" customWidth="1"/>
    <col min="10757" max="10762" width="11" style="2" customWidth="1"/>
    <col min="10763" max="11008" width="9.26953125" style="2"/>
    <col min="11009" max="11009" width="0" style="2" hidden="1" customWidth="1"/>
    <col min="11010" max="11010" width="24.7265625" style="2" customWidth="1"/>
    <col min="11011" max="11011" width="11" style="2" customWidth="1"/>
    <col min="11012" max="11012" width="11.7265625" style="2" customWidth="1"/>
    <col min="11013" max="11018" width="11" style="2" customWidth="1"/>
    <col min="11019" max="11264" width="9.26953125" style="2"/>
    <col min="11265" max="11265" width="0" style="2" hidden="1" customWidth="1"/>
    <col min="11266" max="11266" width="24.7265625" style="2" customWidth="1"/>
    <col min="11267" max="11267" width="11" style="2" customWidth="1"/>
    <col min="11268" max="11268" width="11.7265625" style="2" customWidth="1"/>
    <col min="11269" max="11274" width="11" style="2" customWidth="1"/>
    <col min="11275" max="11520" width="9.26953125" style="2"/>
    <col min="11521" max="11521" width="0" style="2" hidden="1" customWidth="1"/>
    <col min="11522" max="11522" width="24.7265625" style="2" customWidth="1"/>
    <col min="11523" max="11523" width="11" style="2" customWidth="1"/>
    <col min="11524" max="11524" width="11.7265625" style="2" customWidth="1"/>
    <col min="11525" max="11530" width="11" style="2" customWidth="1"/>
    <col min="11531" max="11776" width="9.26953125" style="2"/>
    <col min="11777" max="11777" width="0" style="2" hidden="1" customWidth="1"/>
    <col min="11778" max="11778" width="24.7265625" style="2" customWidth="1"/>
    <col min="11779" max="11779" width="11" style="2" customWidth="1"/>
    <col min="11780" max="11780" width="11.7265625" style="2" customWidth="1"/>
    <col min="11781" max="11786" width="11" style="2" customWidth="1"/>
    <col min="11787" max="12032" width="9.26953125" style="2"/>
    <col min="12033" max="12033" width="0" style="2" hidden="1" customWidth="1"/>
    <col min="12034" max="12034" width="24.7265625" style="2" customWidth="1"/>
    <col min="12035" max="12035" width="11" style="2" customWidth="1"/>
    <col min="12036" max="12036" width="11.7265625" style="2" customWidth="1"/>
    <col min="12037" max="12042" width="11" style="2" customWidth="1"/>
    <col min="12043" max="12288" width="9.26953125" style="2"/>
    <col min="12289" max="12289" width="0" style="2" hidden="1" customWidth="1"/>
    <col min="12290" max="12290" width="24.7265625" style="2" customWidth="1"/>
    <col min="12291" max="12291" width="11" style="2" customWidth="1"/>
    <col min="12292" max="12292" width="11.7265625" style="2" customWidth="1"/>
    <col min="12293" max="12298" width="11" style="2" customWidth="1"/>
    <col min="12299" max="12544" width="9.26953125" style="2"/>
    <col min="12545" max="12545" width="0" style="2" hidden="1" customWidth="1"/>
    <col min="12546" max="12546" width="24.7265625" style="2" customWidth="1"/>
    <col min="12547" max="12547" width="11" style="2" customWidth="1"/>
    <col min="12548" max="12548" width="11.7265625" style="2" customWidth="1"/>
    <col min="12549" max="12554" width="11" style="2" customWidth="1"/>
    <col min="12555" max="12800" width="9.26953125" style="2"/>
    <col min="12801" max="12801" width="0" style="2" hidden="1" customWidth="1"/>
    <col min="12802" max="12802" width="24.7265625" style="2" customWidth="1"/>
    <col min="12803" max="12803" width="11" style="2" customWidth="1"/>
    <col min="12804" max="12804" width="11.7265625" style="2" customWidth="1"/>
    <col min="12805" max="12810" width="11" style="2" customWidth="1"/>
    <col min="12811" max="13056" width="9.26953125" style="2"/>
    <col min="13057" max="13057" width="0" style="2" hidden="1" customWidth="1"/>
    <col min="13058" max="13058" width="24.7265625" style="2" customWidth="1"/>
    <col min="13059" max="13059" width="11" style="2" customWidth="1"/>
    <col min="13060" max="13060" width="11.7265625" style="2" customWidth="1"/>
    <col min="13061" max="13066" width="11" style="2" customWidth="1"/>
    <col min="13067" max="13312" width="9.26953125" style="2"/>
    <col min="13313" max="13313" width="0" style="2" hidden="1" customWidth="1"/>
    <col min="13314" max="13314" width="24.7265625" style="2" customWidth="1"/>
    <col min="13315" max="13315" width="11" style="2" customWidth="1"/>
    <col min="13316" max="13316" width="11.7265625" style="2" customWidth="1"/>
    <col min="13317" max="13322" width="11" style="2" customWidth="1"/>
    <col min="13323" max="13568" width="9.26953125" style="2"/>
    <col min="13569" max="13569" width="0" style="2" hidden="1" customWidth="1"/>
    <col min="13570" max="13570" width="24.7265625" style="2" customWidth="1"/>
    <col min="13571" max="13571" width="11" style="2" customWidth="1"/>
    <col min="13572" max="13572" width="11.7265625" style="2" customWidth="1"/>
    <col min="13573" max="13578" width="11" style="2" customWidth="1"/>
    <col min="13579" max="13824" width="9.26953125" style="2"/>
    <col min="13825" max="13825" width="0" style="2" hidden="1" customWidth="1"/>
    <col min="13826" max="13826" width="24.7265625" style="2" customWidth="1"/>
    <col min="13827" max="13827" width="11" style="2" customWidth="1"/>
    <col min="13828" max="13828" width="11.7265625" style="2" customWidth="1"/>
    <col min="13829" max="13834" width="11" style="2" customWidth="1"/>
    <col min="13835" max="14080" width="9.26953125" style="2"/>
    <col min="14081" max="14081" width="0" style="2" hidden="1" customWidth="1"/>
    <col min="14082" max="14082" width="24.7265625" style="2" customWidth="1"/>
    <col min="14083" max="14083" width="11" style="2" customWidth="1"/>
    <col min="14084" max="14084" width="11.7265625" style="2" customWidth="1"/>
    <col min="14085" max="14090" width="11" style="2" customWidth="1"/>
    <col min="14091" max="14336" width="9.26953125" style="2"/>
    <col min="14337" max="14337" width="0" style="2" hidden="1" customWidth="1"/>
    <col min="14338" max="14338" width="24.7265625" style="2" customWidth="1"/>
    <col min="14339" max="14339" width="11" style="2" customWidth="1"/>
    <col min="14340" max="14340" width="11.7265625" style="2" customWidth="1"/>
    <col min="14341" max="14346" width="11" style="2" customWidth="1"/>
    <col min="14347" max="14592" width="9.26953125" style="2"/>
    <col min="14593" max="14593" width="0" style="2" hidden="1" customWidth="1"/>
    <col min="14594" max="14594" width="24.7265625" style="2" customWidth="1"/>
    <col min="14595" max="14595" width="11" style="2" customWidth="1"/>
    <col min="14596" max="14596" width="11.7265625" style="2" customWidth="1"/>
    <col min="14597" max="14602" width="11" style="2" customWidth="1"/>
    <col min="14603" max="14848" width="9.26953125" style="2"/>
    <col min="14849" max="14849" width="0" style="2" hidden="1" customWidth="1"/>
    <col min="14850" max="14850" width="24.7265625" style="2" customWidth="1"/>
    <col min="14851" max="14851" width="11" style="2" customWidth="1"/>
    <col min="14852" max="14852" width="11.7265625" style="2" customWidth="1"/>
    <col min="14853" max="14858" width="11" style="2" customWidth="1"/>
    <col min="14859" max="15104" width="9.26953125" style="2"/>
    <col min="15105" max="15105" width="0" style="2" hidden="1" customWidth="1"/>
    <col min="15106" max="15106" width="24.7265625" style="2" customWidth="1"/>
    <col min="15107" max="15107" width="11" style="2" customWidth="1"/>
    <col min="15108" max="15108" width="11.7265625" style="2" customWidth="1"/>
    <col min="15109" max="15114" width="11" style="2" customWidth="1"/>
    <col min="15115" max="15360" width="9.26953125" style="2"/>
    <col min="15361" max="15361" width="0" style="2" hidden="1" customWidth="1"/>
    <col min="15362" max="15362" width="24.7265625" style="2" customWidth="1"/>
    <col min="15363" max="15363" width="11" style="2" customWidth="1"/>
    <col min="15364" max="15364" width="11.7265625" style="2" customWidth="1"/>
    <col min="15365" max="15370" width="11" style="2" customWidth="1"/>
    <col min="15371" max="15616" width="9.26953125" style="2"/>
    <col min="15617" max="15617" width="0" style="2" hidden="1" customWidth="1"/>
    <col min="15618" max="15618" width="24.7265625" style="2" customWidth="1"/>
    <col min="15619" max="15619" width="11" style="2" customWidth="1"/>
    <col min="15620" max="15620" width="11.7265625" style="2" customWidth="1"/>
    <col min="15621" max="15626" width="11" style="2" customWidth="1"/>
    <col min="15627" max="15872" width="9.26953125" style="2"/>
    <col min="15873" max="15873" width="0" style="2" hidden="1" customWidth="1"/>
    <col min="15874" max="15874" width="24.7265625" style="2" customWidth="1"/>
    <col min="15875" max="15875" width="11" style="2" customWidth="1"/>
    <col min="15876" max="15876" width="11.7265625" style="2" customWidth="1"/>
    <col min="15877" max="15882" width="11" style="2" customWidth="1"/>
    <col min="15883" max="16128" width="9.26953125" style="2"/>
    <col min="16129" max="16129" width="0" style="2" hidden="1" customWidth="1"/>
    <col min="16130" max="16130" width="24.7265625" style="2" customWidth="1"/>
    <col min="16131" max="16131" width="11" style="2" customWidth="1"/>
    <col min="16132" max="16132" width="11.7265625" style="2" customWidth="1"/>
    <col min="16133" max="16138" width="11" style="2" customWidth="1"/>
    <col min="16139" max="16384" width="9.26953125" style="2"/>
  </cols>
  <sheetData>
    <row r="1" spans="1:12" ht="48" customHeight="1" x14ac:dyDescent="0.3">
      <c r="B1" s="298" t="s">
        <v>58</v>
      </c>
      <c r="C1" s="298"/>
      <c r="D1" s="298"/>
      <c r="E1" s="298"/>
      <c r="F1" s="298"/>
      <c r="G1" s="298"/>
      <c r="H1" s="298"/>
      <c r="I1" s="298"/>
      <c r="J1" s="298"/>
    </row>
    <row r="2" spans="1:12" ht="12.75" customHeight="1" x14ac:dyDescent="0.3">
      <c r="B2" s="299"/>
      <c r="C2" s="304" t="s">
        <v>1</v>
      </c>
      <c r="D2" s="304"/>
      <c r="E2" s="306" t="s">
        <v>2</v>
      </c>
      <c r="F2" s="306"/>
      <c r="G2" s="306"/>
      <c r="H2" s="306"/>
      <c r="I2" s="307" t="s">
        <v>5</v>
      </c>
      <c r="J2" s="307"/>
    </row>
    <row r="3" spans="1:12" ht="30" customHeight="1" x14ac:dyDescent="0.3">
      <c r="A3" s="29"/>
      <c r="B3" s="299"/>
      <c r="C3" s="305"/>
      <c r="D3" s="305"/>
      <c r="E3" s="30" t="s">
        <v>3</v>
      </c>
      <c r="F3" s="30"/>
      <c r="G3" s="30" t="s">
        <v>4</v>
      </c>
      <c r="H3" s="30"/>
      <c r="I3" s="305"/>
      <c r="J3" s="305"/>
    </row>
    <row r="4" spans="1:12" ht="45.75" customHeight="1" x14ac:dyDescent="0.3">
      <c r="B4" s="303"/>
      <c r="C4" s="31" t="s">
        <v>59</v>
      </c>
      <c r="D4" s="32" t="s">
        <v>60</v>
      </c>
      <c r="E4" s="31" t="s">
        <v>59</v>
      </c>
      <c r="F4" s="32" t="s">
        <v>60</v>
      </c>
      <c r="G4" s="31" t="s">
        <v>59</v>
      </c>
      <c r="H4" s="32" t="s">
        <v>60</v>
      </c>
      <c r="I4" s="31" t="s">
        <v>59</v>
      </c>
      <c r="J4" s="32" t="s">
        <v>60</v>
      </c>
    </row>
    <row r="5" spans="1:12" ht="30" customHeight="1" x14ac:dyDescent="0.3">
      <c r="B5" s="11" t="s">
        <v>6</v>
      </c>
      <c r="C5" s="18">
        <v>743</v>
      </c>
      <c r="D5" s="18">
        <v>294</v>
      </c>
      <c r="E5" s="18">
        <v>158</v>
      </c>
      <c r="F5" s="18">
        <v>65</v>
      </c>
      <c r="G5" s="18">
        <v>24</v>
      </c>
      <c r="H5" s="18">
        <v>9</v>
      </c>
      <c r="I5" s="18">
        <v>0</v>
      </c>
      <c r="J5" s="18">
        <v>0</v>
      </c>
      <c r="L5" s="8"/>
    </row>
    <row r="6" spans="1:12" s="11" customFormat="1" ht="25.5" customHeight="1" x14ac:dyDescent="0.3">
      <c r="A6" s="33"/>
      <c r="B6" s="11" t="s">
        <v>7</v>
      </c>
      <c r="C6" s="34">
        <v>496</v>
      </c>
      <c r="D6" s="34">
        <v>218</v>
      </c>
      <c r="E6" s="34">
        <v>82</v>
      </c>
      <c r="F6" s="34">
        <v>36</v>
      </c>
      <c r="G6" s="34">
        <v>15</v>
      </c>
      <c r="H6" s="34">
        <v>6</v>
      </c>
      <c r="I6" s="34">
        <v>0</v>
      </c>
      <c r="J6" s="34">
        <v>0</v>
      </c>
    </row>
    <row r="7" spans="1:12" ht="12.75" customHeight="1" x14ac:dyDescent="0.3">
      <c r="A7" s="35">
        <v>51</v>
      </c>
      <c r="B7" s="2" t="s">
        <v>8</v>
      </c>
      <c r="C7" s="36">
        <v>14</v>
      </c>
      <c r="D7" s="36">
        <v>7</v>
      </c>
      <c r="E7" s="36">
        <v>5</v>
      </c>
      <c r="F7" s="36">
        <v>2</v>
      </c>
      <c r="G7" s="36">
        <v>2</v>
      </c>
      <c r="H7" s="37">
        <v>0</v>
      </c>
      <c r="I7" s="37">
        <v>0</v>
      </c>
      <c r="J7" s="37">
        <v>0</v>
      </c>
    </row>
    <row r="8" spans="1:12" ht="12.75" customHeight="1" x14ac:dyDescent="0.3">
      <c r="A8" s="35">
        <v>52</v>
      </c>
      <c r="B8" s="2" t="s">
        <v>9</v>
      </c>
      <c r="C8" s="36">
        <v>7</v>
      </c>
      <c r="D8" s="36">
        <v>13</v>
      </c>
      <c r="E8" s="36">
        <v>1</v>
      </c>
      <c r="F8" s="36">
        <v>1</v>
      </c>
      <c r="G8" s="36">
        <v>0</v>
      </c>
      <c r="H8" s="37">
        <v>0</v>
      </c>
      <c r="I8" s="37">
        <v>0</v>
      </c>
      <c r="J8" s="37">
        <v>0</v>
      </c>
    </row>
    <row r="9" spans="1:12" ht="12.75" customHeight="1" x14ac:dyDescent="0.3">
      <c r="A9" s="35">
        <v>86</v>
      </c>
      <c r="B9" s="2" t="s">
        <v>10</v>
      </c>
      <c r="C9" s="37">
        <v>23</v>
      </c>
      <c r="D9" s="37">
        <v>4</v>
      </c>
      <c r="E9" s="37">
        <v>5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</row>
    <row r="10" spans="1:12" ht="12.75" customHeight="1" x14ac:dyDescent="0.3">
      <c r="A10" s="35">
        <v>53</v>
      </c>
      <c r="B10" s="2" t="s">
        <v>11</v>
      </c>
      <c r="C10" s="36">
        <v>7</v>
      </c>
      <c r="D10" s="36">
        <v>3</v>
      </c>
      <c r="E10" s="36">
        <v>2</v>
      </c>
      <c r="F10" s="36">
        <v>0</v>
      </c>
      <c r="G10" s="36">
        <v>0</v>
      </c>
      <c r="H10" s="37">
        <v>0</v>
      </c>
      <c r="I10" s="37">
        <v>0</v>
      </c>
      <c r="J10" s="37">
        <v>0</v>
      </c>
    </row>
    <row r="11" spans="1:12" ht="12.75" customHeight="1" x14ac:dyDescent="0.3">
      <c r="A11" s="35">
        <v>54</v>
      </c>
      <c r="B11" s="2" t="s">
        <v>12</v>
      </c>
      <c r="C11" s="36">
        <v>29</v>
      </c>
      <c r="D11" s="36">
        <v>15</v>
      </c>
      <c r="E11" s="36">
        <v>3</v>
      </c>
      <c r="F11" s="36">
        <v>2</v>
      </c>
      <c r="G11" s="36">
        <v>3</v>
      </c>
      <c r="H11" s="37">
        <v>2</v>
      </c>
      <c r="I11" s="37">
        <v>0</v>
      </c>
      <c r="J11" s="37">
        <v>0</v>
      </c>
    </row>
    <row r="12" spans="1:12" ht="12.75" customHeight="1" x14ac:dyDescent="0.3">
      <c r="A12" s="35">
        <v>55</v>
      </c>
      <c r="B12" s="2" t="s">
        <v>13</v>
      </c>
      <c r="C12" s="36">
        <v>4</v>
      </c>
      <c r="D12" s="36">
        <v>2</v>
      </c>
      <c r="E12" s="36">
        <v>0</v>
      </c>
      <c r="F12" s="36">
        <v>1</v>
      </c>
      <c r="G12" s="36">
        <v>0</v>
      </c>
      <c r="H12" s="37">
        <v>0</v>
      </c>
      <c r="I12" s="37">
        <v>0</v>
      </c>
      <c r="J12" s="37">
        <v>0</v>
      </c>
    </row>
    <row r="13" spans="1:12" ht="12.75" customHeight="1" x14ac:dyDescent="0.3">
      <c r="A13" s="35">
        <v>56</v>
      </c>
      <c r="B13" s="2" t="s">
        <v>14</v>
      </c>
      <c r="C13" s="36">
        <v>5</v>
      </c>
      <c r="D13" s="36">
        <v>1</v>
      </c>
      <c r="E13" s="36">
        <v>0</v>
      </c>
      <c r="F13" s="36">
        <v>0</v>
      </c>
      <c r="G13" s="36">
        <v>2</v>
      </c>
      <c r="H13" s="37">
        <v>0</v>
      </c>
      <c r="I13" s="37">
        <v>0</v>
      </c>
      <c r="J13" s="37">
        <v>0</v>
      </c>
    </row>
    <row r="14" spans="1:12" ht="12.75" customHeight="1" x14ac:dyDescent="0.3">
      <c r="A14" s="35">
        <v>57</v>
      </c>
      <c r="B14" s="2" t="s">
        <v>15</v>
      </c>
      <c r="C14" s="36">
        <v>7</v>
      </c>
      <c r="D14" s="36">
        <v>15</v>
      </c>
      <c r="E14" s="36">
        <v>3</v>
      </c>
      <c r="F14" s="36">
        <v>2</v>
      </c>
      <c r="G14" s="36">
        <v>1</v>
      </c>
      <c r="H14" s="37">
        <v>0</v>
      </c>
      <c r="I14" s="37">
        <v>0</v>
      </c>
      <c r="J14" s="37">
        <v>0</v>
      </c>
    </row>
    <row r="15" spans="1:12" ht="12.75" customHeight="1" x14ac:dyDescent="0.3">
      <c r="A15" s="35">
        <v>59</v>
      </c>
      <c r="B15" s="2" t="s">
        <v>16</v>
      </c>
      <c r="C15" s="36">
        <v>9</v>
      </c>
      <c r="D15" s="36">
        <v>2</v>
      </c>
      <c r="E15" s="36">
        <v>2</v>
      </c>
      <c r="F15" s="36">
        <v>1</v>
      </c>
      <c r="G15" s="36">
        <v>0</v>
      </c>
      <c r="H15" s="37">
        <v>0</v>
      </c>
      <c r="I15" s="37">
        <v>0</v>
      </c>
      <c r="J15" s="37">
        <v>0</v>
      </c>
    </row>
    <row r="16" spans="1:12" ht="12.75" customHeight="1" x14ac:dyDescent="0.3">
      <c r="A16" s="35">
        <v>60</v>
      </c>
      <c r="B16" s="2" t="s">
        <v>17</v>
      </c>
      <c r="C16" s="36">
        <v>3</v>
      </c>
      <c r="D16" s="36">
        <v>6</v>
      </c>
      <c r="E16" s="36">
        <v>0</v>
      </c>
      <c r="F16" s="36">
        <v>0</v>
      </c>
      <c r="G16" s="36">
        <v>0</v>
      </c>
      <c r="H16" s="37">
        <v>0</v>
      </c>
      <c r="I16" s="37">
        <v>0</v>
      </c>
      <c r="J16" s="37">
        <v>0</v>
      </c>
    </row>
    <row r="17" spans="1:10" ht="12.75" customHeight="1" x14ac:dyDescent="0.3">
      <c r="A17" s="35">
        <v>61</v>
      </c>
      <c r="B17" s="38" t="s">
        <v>18</v>
      </c>
      <c r="C17" s="36">
        <v>19</v>
      </c>
      <c r="D17" s="36">
        <v>6</v>
      </c>
      <c r="E17" s="36">
        <v>5</v>
      </c>
      <c r="F17" s="36">
        <v>2</v>
      </c>
      <c r="G17" s="36">
        <v>0</v>
      </c>
      <c r="H17" s="37">
        <v>0</v>
      </c>
      <c r="I17" s="37">
        <v>0</v>
      </c>
      <c r="J17" s="37">
        <v>0</v>
      </c>
    </row>
    <row r="18" spans="1:10" s="183" customFormat="1" ht="12.75" customHeight="1" x14ac:dyDescent="0.3">
      <c r="A18" s="35"/>
      <c r="B18" s="130" t="s">
        <v>122</v>
      </c>
      <c r="C18" s="163">
        <v>29</v>
      </c>
      <c r="D18" s="163">
        <v>10</v>
      </c>
      <c r="E18" s="163">
        <v>7</v>
      </c>
      <c r="F18" s="163">
        <v>0</v>
      </c>
      <c r="G18" s="163">
        <v>1</v>
      </c>
      <c r="H18" s="163">
        <v>0</v>
      </c>
      <c r="I18" s="163">
        <v>0</v>
      </c>
      <c r="J18" s="163">
        <v>0</v>
      </c>
    </row>
    <row r="19" spans="1:10" ht="12.75" customHeight="1" x14ac:dyDescent="0.3">
      <c r="A19" s="35">
        <v>58</v>
      </c>
      <c r="B19" s="2" t="s">
        <v>20</v>
      </c>
      <c r="C19" s="36">
        <v>3</v>
      </c>
      <c r="D19" s="36">
        <v>3</v>
      </c>
      <c r="E19" s="36">
        <v>2</v>
      </c>
      <c r="F19" s="36">
        <v>1</v>
      </c>
      <c r="G19" s="36">
        <v>0</v>
      </c>
      <c r="H19" s="37">
        <v>0</v>
      </c>
      <c r="I19" s="37">
        <v>0</v>
      </c>
      <c r="J19" s="37">
        <v>0</v>
      </c>
    </row>
    <row r="20" spans="1:10" ht="12.75" customHeight="1" x14ac:dyDescent="0.3">
      <c r="A20" s="35">
        <v>63</v>
      </c>
      <c r="B20" s="2" t="s">
        <v>21</v>
      </c>
      <c r="C20" s="36">
        <v>20</v>
      </c>
      <c r="D20" s="36">
        <v>4</v>
      </c>
      <c r="E20" s="36">
        <v>0</v>
      </c>
      <c r="F20" s="36">
        <v>1</v>
      </c>
      <c r="G20" s="36">
        <v>3</v>
      </c>
      <c r="H20" s="37">
        <v>1</v>
      </c>
      <c r="I20" s="37">
        <v>0</v>
      </c>
      <c r="J20" s="37">
        <v>0</v>
      </c>
    </row>
    <row r="21" spans="1:10" ht="12.75" customHeight="1" x14ac:dyDescent="0.3">
      <c r="A21" s="35">
        <v>64</v>
      </c>
      <c r="B21" s="2" t="s">
        <v>22</v>
      </c>
      <c r="C21" s="36">
        <v>25</v>
      </c>
      <c r="D21" s="36">
        <v>20</v>
      </c>
      <c r="E21" s="36">
        <v>3</v>
      </c>
      <c r="F21" s="36">
        <v>2</v>
      </c>
      <c r="G21" s="36">
        <v>0</v>
      </c>
      <c r="H21" s="37">
        <v>0</v>
      </c>
      <c r="I21" s="37">
        <v>0</v>
      </c>
      <c r="J21" s="37">
        <v>0</v>
      </c>
    </row>
    <row r="22" spans="1:10" ht="12.75" customHeight="1" x14ac:dyDescent="0.3">
      <c r="A22" s="35">
        <v>65</v>
      </c>
      <c r="B22" s="2" t="s">
        <v>23</v>
      </c>
      <c r="C22" s="36">
        <v>13</v>
      </c>
      <c r="D22" s="36">
        <v>3</v>
      </c>
      <c r="E22" s="36">
        <v>7</v>
      </c>
      <c r="F22" s="36">
        <v>0</v>
      </c>
      <c r="G22" s="36">
        <v>0</v>
      </c>
      <c r="H22" s="37">
        <v>0</v>
      </c>
      <c r="I22" s="37">
        <v>0</v>
      </c>
      <c r="J22" s="37">
        <v>0</v>
      </c>
    </row>
    <row r="23" spans="1:10" ht="12.75" customHeight="1" x14ac:dyDescent="0.3">
      <c r="A23" s="35">
        <v>67</v>
      </c>
      <c r="B23" s="2" t="s">
        <v>24</v>
      </c>
      <c r="C23" s="36">
        <v>25</v>
      </c>
      <c r="D23" s="36">
        <v>6</v>
      </c>
      <c r="E23" s="36">
        <v>9</v>
      </c>
      <c r="F23" s="36">
        <v>1</v>
      </c>
      <c r="G23" s="36">
        <v>0</v>
      </c>
      <c r="H23" s="37">
        <v>0</v>
      </c>
      <c r="I23" s="37">
        <v>0</v>
      </c>
      <c r="J23" s="37">
        <v>0</v>
      </c>
    </row>
    <row r="24" spans="1:10" ht="12.75" customHeight="1" x14ac:dyDescent="0.3">
      <c r="A24" s="35">
        <v>68</v>
      </c>
      <c r="B24" s="2" t="s">
        <v>25</v>
      </c>
      <c r="C24" s="36">
        <v>10</v>
      </c>
      <c r="D24" s="36">
        <v>3</v>
      </c>
      <c r="E24" s="36">
        <v>2</v>
      </c>
      <c r="F24" s="36">
        <v>1</v>
      </c>
      <c r="G24" s="36">
        <v>0</v>
      </c>
      <c r="H24" s="37">
        <v>0</v>
      </c>
      <c r="I24" s="37">
        <v>0</v>
      </c>
      <c r="J24" s="37">
        <v>0</v>
      </c>
    </row>
    <row r="25" spans="1:10" ht="12.75" customHeight="1" x14ac:dyDescent="0.3">
      <c r="A25" s="35">
        <v>69</v>
      </c>
      <c r="B25" s="2" t="s">
        <v>26</v>
      </c>
      <c r="C25" s="36">
        <v>5</v>
      </c>
      <c r="D25" s="36">
        <v>5</v>
      </c>
      <c r="E25" s="36">
        <v>2</v>
      </c>
      <c r="F25" s="36">
        <v>0</v>
      </c>
      <c r="G25" s="36">
        <v>0</v>
      </c>
      <c r="H25" s="37">
        <v>0</v>
      </c>
      <c r="I25" s="37">
        <v>0</v>
      </c>
      <c r="J25" s="37">
        <v>0</v>
      </c>
    </row>
    <row r="26" spans="1:10" ht="12.75" customHeight="1" x14ac:dyDescent="0.3">
      <c r="A26" s="35">
        <v>70</v>
      </c>
      <c r="B26" s="2" t="s">
        <v>27</v>
      </c>
      <c r="C26" s="36">
        <v>32</v>
      </c>
      <c r="D26" s="36">
        <v>5</v>
      </c>
      <c r="E26" s="36">
        <v>1</v>
      </c>
      <c r="F26" s="36">
        <v>0</v>
      </c>
      <c r="G26" s="36">
        <v>0</v>
      </c>
      <c r="H26" s="37">
        <v>0</v>
      </c>
      <c r="I26" s="37">
        <v>0</v>
      </c>
      <c r="J26" s="37">
        <v>0</v>
      </c>
    </row>
    <row r="27" spans="1:10" ht="12.75" customHeight="1" x14ac:dyDescent="0.3">
      <c r="A27" s="35">
        <v>71</v>
      </c>
      <c r="B27" s="39" t="s">
        <v>28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7">
        <v>0</v>
      </c>
      <c r="J27" s="37">
        <v>0</v>
      </c>
    </row>
    <row r="28" spans="1:10" ht="12.75" customHeight="1" x14ac:dyDescent="0.3">
      <c r="A28" s="35">
        <v>73</v>
      </c>
      <c r="B28" s="2" t="s">
        <v>29</v>
      </c>
      <c r="C28" s="40">
        <v>21</v>
      </c>
      <c r="D28" s="40">
        <v>9</v>
      </c>
      <c r="E28" s="40">
        <v>2</v>
      </c>
      <c r="F28" s="40">
        <v>3</v>
      </c>
      <c r="G28" s="40">
        <v>1</v>
      </c>
      <c r="H28" s="40">
        <v>1</v>
      </c>
      <c r="I28" s="40">
        <v>0</v>
      </c>
      <c r="J28" s="40">
        <v>0</v>
      </c>
    </row>
    <row r="29" spans="1:10" ht="12.75" customHeight="1" x14ac:dyDescent="0.3">
      <c r="A29" s="35">
        <v>74</v>
      </c>
      <c r="B29" s="2" t="s">
        <v>30</v>
      </c>
      <c r="C29" s="36">
        <v>15</v>
      </c>
      <c r="D29" s="36">
        <v>3</v>
      </c>
      <c r="E29" s="36">
        <v>2</v>
      </c>
      <c r="F29" s="36">
        <v>3</v>
      </c>
      <c r="G29" s="36">
        <v>0</v>
      </c>
      <c r="H29" s="37">
        <v>0</v>
      </c>
      <c r="I29" s="37">
        <v>0</v>
      </c>
      <c r="J29" s="37">
        <v>0</v>
      </c>
    </row>
    <row r="30" spans="1:10" ht="12.75" customHeight="1" x14ac:dyDescent="0.3">
      <c r="A30" s="35">
        <v>75</v>
      </c>
      <c r="B30" s="2" t="s">
        <v>31</v>
      </c>
      <c r="C30" s="36">
        <v>12</v>
      </c>
      <c r="D30" s="36">
        <v>3</v>
      </c>
      <c r="E30" s="36">
        <v>1</v>
      </c>
      <c r="F30" s="36">
        <v>0</v>
      </c>
      <c r="G30" s="36">
        <v>0</v>
      </c>
      <c r="H30" s="37">
        <v>0</v>
      </c>
      <c r="I30" s="37">
        <v>0</v>
      </c>
      <c r="J30" s="37">
        <v>0</v>
      </c>
    </row>
    <row r="31" spans="1:10" ht="12.75" customHeight="1" x14ac:dyDescent="0.3">
      <c r="A31" s="35">
        <v>76</v>
      </c>
      <c r="B31" s="2" t="s">
        <v>32</v>
      </c>
      <c r="C31" s="37">
        <v>9</v>
      </c>
      <c r="D31" s="37">
        <v>4</v>
      </c>
      <c r="E31" s="37">
        <v>1</v>
      </c>
      <c r="F31" s="37">
        <v>1</v>
      </c>
      <c r="G31" s="37">
        <v>0</v>
      </c>
      <c r="H31" s="37">
        <v>0</v>
      </c>
      <c r="I31" s="37">
        <v>0</v>
      </c>
      <c r="J31" s="37">
        <v>0</v>
      </c>
    </row>
    <row r="32" spans="1:10" ht="12.75" customHeight="1" x14ac:dyDescent="0.3">
      <c r="A32" s="35">
        <v>79</v>
      </c>
      <c r="B32" s="2" t="s">
        <v>33</v>
      </c>
      <c r="C32" s="37">
        <v>11</v>
      </c>
      <c r="D32" s="37">
        <v>11</v>
      </c>
      <c r="E32" s="37">
        <v>1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</row>
    <row r="33" spans="1:12" ht="12.75" customHeight="1" x14ac:dyDescent="0.3">
      <c r="A33" s="35">
        <v>80</v>
      </c>
      <c r="B33" s="2" t="s">
        <v>34</v>
      </c>
      <c r="C33" s="37">
        <v>12</v>
      </c>
      <c r="D33" s="37">
        <v>9</v>
      </c>
      <c r="E33" s="37">
        <v>1</v>
      </c>
      <c r="F33" s="37">
        <v>1</v>
      </c>
      <c r="G33" s="37">
        <v>0</v>
      </c>
      <c r="H33" s="37">
        <v>0</v>
      </c>
      <c r="I33" s="37">
        <v>0</v>
      </c>
      <c r="J33" s="37">
        <v>0</v>
      </c>
    </row>
    <row r="34" spans="1:12" ht="12.75" customHeight="1" x14ac:dyDescent="0.3">
      <c r="A34" s="35">
        <v>81</v>
      </c>
      <c r="B34" s="2" t="s">
        <v>35</v>
      </c>
      <c r="C34" s="37">
        <v>19</v>
      </c>
      <c r="D34" s="37">
        <v>3</v>
      </c>
      <c r="E34" s="37">
        <v>2</v>
      </c>
      <c r="F34" s="37">
        <v>2</v>
      </c>
      <c r="G34" s="37">
        <v>0</v>
      </c>
      <c r="H34" s="37">
        <v>2</v>
      </c>
      <c r="I34" s="37">
        <v>0</v>
      </c>
      <c r="J34" s="37">
        <v>0</v>
      </c>
    </row>
    <row r="35" spans="1:12" ht="12.75" customHeight="1" x14ac:dyDescent="0.3">
      <c r="A35" s="35">
        <v>83</v>
      </c>
      <c r="B35" s="2" t="s">
        <v>36</v>
      </c>
      <c r="C35" s="37">
        <v>10</v>
      </c>
      <c r="D35" s="37">
        <v>2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</row>
    <row r="36" spans="1:12" ht="12.75" customHeight="1" x14ac:dyDescent="0.3">
      <c r="A36" s="35">
        <v>84</v>
      </c>
      <c r="B36" s="2" t="s">
        <v>37</v>
      </c>
      <c r="C36" s="37">
        <v>13</v>
      </c>
      <c r="D36" s="37">
        <v>6</v>
      </c>
      <c r="E36" s="37">
        <v>2</v>
      </c>
      <c r="F36" s="37">
        <v>1</v>
      </c>
      <c r="G36" s="37">
        <v>0</v>
      </c>
      <c r="H36" s="37">
        <v>0</v>
      </c>
      <c r="I36" s="37">
        <v>0</v>
      </c>
      <c r="J36" s="37">
        <v>0</v>
      </c>
    </row>
    <row r="37" spans="1:12" ht="12.75" customHeight="1" x14ac:dyDescent="0.3">
      <c r="A37" s="35">
        <v>85</v>
      </c>
      <c r="B37" s="2" t="s">
        <v>38</v>
      </c>
      <c r="C37" s="37">
        <v>11</v>
      </c>
      <c r="D37" s="37">
        <v>1</v>
      </c>
      <c r="E37" s="37">
        <v>2</v>
      </c>
      <c r="F37" s="37">
        <v>1</v>
      </c>
      <c r="G37" s="37">
        <v>0</v>
      </c>
      <c r="H37" s="37">
        <v>0</v>
      </c>
      <c r="I37" s="37">
        <v>0</v>
      </c>
      <c r="J37" s="37">
        <v>0</v>
      </c>
    </row>
    <row r="38" spans="1:12" ht="12.75" customHeight="1" x14ac:dyDescent="0.3">
      <c r="A38" s="35">
        <v>87</v>
      </c>
      <c r="B38" s="2" t="s">
        <v>39</v>
      </c>
      <c r="C38" s="37">
        <v>6</v>
      </c>
      <c r="D38" s="37">
        <v>6</v>
      </c>
      <c r="E38" s="37">
        <v>0</v>
      </c>
      <c r="F38" s="37">
        <v>1</v>
      </c>
      <c r="G38" s="37">
        <v>0</v>
      </c>
      <c r="H38" s="37">
        <v>0</v>
      </c>
      <c r="I38" s="37">
        <v>0</v>
      </c>
      <c r="J38" s="37">
        <v>0</v>
      </c>
    </row>
    <row r="39" spans="1:12" ht="12.75" customHeight="1" x14ac:dyDescent="0.3">
      <c r="A39" s="35">
        <v>90</v>
      </c>
      <c r="B39" s="2" t="s">
        <v>40</v>
      </c>
      <c r="C39" s="37">
        <v>13</v>
      </c>
      <c r="D39" s="37">
        <v>5</v>
      </c>
      <c r="E39" s="37">
        <v>3</v>
      </c>
      <c r="F39" s="37">
        <v>1</v>
      </c>
      <c r="G39" s="37">
        <v>0</v>
      </c>
      <c r="H39" s="37">
        <v>0</v>
      </c>
      <c r="I39" s="37">
        <v>0</v>
      </c>
      <c r="J39" s="37">
        <v>0</v>
      </c>
    </row>
    <row r="40" spans="1:12" ht="12.75" customHeight="1" x14ac:dyDescent="0.3">
      <c r="A40" s="35">
        <v>91</v>
      </c>
      <c r="B40" s="2" t="s">
        <v>41</v>
      </c>
      <c r="C40" s="37">
        <v>18</v>
      </c>
      <c r="D40" s="37">
        <v>13</v>
      </c>
      <c r="E40" s="37">
        <v>1</v>
      </c>
      <c r="F40" s="37">
        <v>1</v>
      </c>
      <c r="G40" s="37">
        <v>1</v>
      </c>
      <c r="H40" s="37">
        <v>0</v>
      </c>
      <c r="I40" s="37">
        <v>0</v>
      </c>
      <c r="J40" s="37">
        <v>0</v>
      </c>
      <c r="K40" s="11"/>
    </row>
    <row r="41" spans="1:12" ht="12.75" customHeight="1" x14ac:dyDescent="0.3">
      <c r="A41" s="35">
        <v>92</v>
      </c>
      <c r="B41" s="2" t="s">
        <v>42</v>
      </c>
      <c r="C41" s="37">
        <v>13</v>
      </c>
      <c r="D41" s="37">
        <v>2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</row>
    <row r="42" spans="1:12" ht="12.75" customHeight="1" x14ac:dyDescent="0.3">
      <c r="A42" s="35">
        <v>94</v>
      </c>
      <c r="B42" s="2" t="s">
        <v>43</v>
      </c>
      <c r="C42" s="37">
        <v>17</v>
      </c>
      <c r="D42" s="37">
        <v>6</v>
      </c>
      <c r="E42" s="37">
        <v>2</v>
      </c>
      <c r="F42" s="37">
        <v>3</v>
      </c>
      <c r="G42" s="37">
        <v>0</v>
      </c>
      <c r="H42" s="37">
        <v>0</v>
      </c>
      <c r="I42" s="37">
        <v>0</v>
      </c>
      <c r="J42" s="37">
        <v>0</v>
      </c>
    </row>
    <row r="43" spans="1:12" ht="12.75" customHeight="1" x14ac:dyDescent="0.3">
      <c r="A43" s="35">
        <v>96</v>
      </c>
      <c r="B43" s="2" t="s">
        <v>44</v>
      </c>
      <c r="C43" s="37">
        <v>5</v>
      </c>
      <c r="D43" s="37">
        <v>2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L43" s="11"/>
    </row>
    <row r="44" spans="1:12" ht="12.75" customHeight="1" x14ac:dyDescent="0.3">
      <c r="A44" s="35">
        <v>72</v>
      </c>
      <c r="B44" s="39" t="s">
        <v>46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7">
        <v>0</v>
      </c>
      <c r="I44" s="37">
        <v>0</v>
      </c>
      <c r="J44" s="37">
        <v>0</v>
      </c>
    </row>
    <row r="45" spans="1:12" s="11" customFormat="1" ht="25.5" customHeight="1" x14ac:dyDescent="0.3">
      <c r="B45" s="11" t="s">
        <v>47</v>
      </c>
      <c r="C45" s="42">
        <v>247</v>
      </c>
      <c r="D45" s="42">
        <v>76</v>
      </c>
      <c r="E45" s="42">
        <v>76</v>
      </c>
      <c r="F45" s="42">
        <v>29</v>
      </c>
      <c r="G45" s="42">
        <v>9</v>
      </c>
      <c r="H45" s="42">
        <v>3</v>
      </c>
      <c r="I45" s="42">
        <v>0</v>
      </c>
      <c r="J45" s="42">
        <v>0</v>
      </c>
    </row>
    <row r="46" spans="1:12" ht="12.75" customHeight="1" x14ac:dyDescent="0.3">
      <c r="A46" s="35">
        <v>66</v>
      </c>
      <c r="B46" s="2" t="s">
        <v>48</v>
      </c>
      <c r="C46" s="36">
        <v>48</v>
      </c>
      <c r="D46" s="36">
        <v>0</v>
      </c>
      <c r="E46" s="36">
        <v>9</v>
      </c>
      <c r="F46" s="36">
        <v>0</v>
      </c>
      <c r="G46" s="36">
        <v>1</v>
      </c>
      <c r="H46" s="37">
        <v>0</v>
      </c>
      <c r="I46" s="37">
        <v>0</v>
      </c>
      <c r="J46" s="37">
        <v>0</v>
      </c>
    </row>
    <row r="47" spans="1:12" ht="12.75" customHeight="1" x14ac:dyDescent="0.3">
      <c r="A47" s="35">
        <v>78</v>
      </c>
      <c r="B47" s="2" t="s">
        <v>49</v>
      </c>
      <c r="C47" s="36">
        <v>17</v>
      </c>
      <c r="D47" s="36">
        <v>1</v>
      </c>
      <c r="E47" s="36">
        <v>4</v>
      </c>
      <c r="F47" s="36">
        <v>0</v>
      </c>
      <c r="G47" s="36">
        <v>1</v>
      </c>
      <c r="H47" s="37">
        <v>0</v>
      </c>
      <c r="I47" s="37">
        <v>0</v>
      </c>
      <c r="J47" s="37">
        <v>0</v>
      </c>
    </row>
    <row r="48" spans="1:12" ht="12.75" customHeight="1" x14ac:dyDescent="0.3">
      <c r="A48" s="35">
        <v>89</v>
      </c>
      <c r="B48" s="2" t="s">
        <v>50</v>
      </c>
      <c r="C48" s="36">
        <v>5</v>
      </c>
      <c r="D48" s="36">
        <v>10</v>
      </c>
      <c r="E48" s="36">
        <v>0</v>
      </c>
      <c r="F48" s="36">
        <v>0</v>
      </c>
      <c r="G48" s="36">
        <v>0</v>
      </c>
      <c r="H48" s="37">
        <v>3</v>
      </c>
      <c r="I48" s="37">
        <v>0</v>
      </c>
      <c r="J48" s="37">
        <v>0</v>
      </c>
    </row>
    <row r="49" spans="1:12" ht="12.75" customHeight="1" x14ac:dyDescent="0.3">
      <c r="A49" s="35">
        <v>93</v>
      </c>
      <c r="B49" s="2" t="s">
        <v>51</v>
      </c>
      <c r="C49" s="36">
        <v>7</v>
      </c>
      <c r="D49" s="36">
        <v>4</v>
      </c>
      <c r="E49" s="36">
        <v>0</v>
      </c>
      <c r="F49" s="36">
        <v>1</v>
      </c>
      <c r="G49" s="36">
        <v>3</v>
      </c>
      <c r="H49" s="37">
        <v>0</v>
      </c>
      <c r="I49" s="37">
        <v>0</v>
      </c>
      <c r="J49" s="37">
        <v>0</v>
      </c>
    </row>
    <row r="50" spans="1:12" ht="12.75" customHeight="1" x14ac:dyDescent="0.3">
      <c r="A50" s="35">
        <v>95</v>
      </c>
      <c r="B50" s="2" t="s">
        <v>52</v>
      </c>
      <c r="C50" s="36">
        <v>34</v>
      </c>
      <c r="D50" s="36">
        <v>15</v>
      </c>
      <c r="E50" s="36">
        <v>5</v>
      </c>
      <c r="F50" s="36">
        <v>2</v>
      </c>
      <c r="G50" s="36">
        <v>0</v>
      </c>
      <c r="H50" s="37">
        <v>0</v>
      </c>
      <c r="I50" s="37">
        <v>0</v>
      </c>
      <c r="J50" s="37">
        <v>0</v>
      </c>
    </row>
    <row r="51" spans="1:12" ht="12.75" customHeight="1" x14ac:dyDescent="0.3">
      <c r="A51" s="35">
        <v>97</v>
      </c>
      <c r="B51" s="2" t="s">
        <v>53</v>
      </c>
      <c r="C51" s="36">
        <v>29</v>
      </c>
      <c r="D51" s="36">
        <v>2</v>
      </c>
      <c r="E51" s="36">
        <v>5</v>
      </c>
      <c r="F51" s="36">
        <v>1</v>
      </c>
      <c r="G51" s="36">
        <v>1</v>
      </c>
      <c r="H51" s="37">
        <v>0</v>
      </c>
      <c r="I51" s="37">
        <v>0</v>
      </c>
      <c r="J51" s="37">
        <v>0</v>
      </c>
    </row>
    <row r="52" spans="1:12" ht="12.75" customHeight="1" x14ac:dyDescent="0.3">
      <c r="A52" s="35">
        <v>77</v>
      </c>
      <c r="B52" s="43" t="s">
        <v>54</v>
      </c>
      <c r="C52" s="44">
        <v>107</v>
      </c>
      <c r="D52" s="44">
        <v>44</v>
      </c>
      <c r="E52" s="44">
        <v>53</v>
      </c>
      <c r="F52" s="44">
        <v>25</v>
      </c>
      <c r="G52" s="44">
        <v>3</v>
      </c>
      <c r="H52" s="45">
        <v>0</v>
      </c>
      <c r="I52" s="45">
        <v>0</v>
      </c>
      <c r="J52" s="45">
        <v>0</v>
      </c>
    </row>
    <row r="53" spans="1:12" s="41" customFormat="1" ht="13.5" customHeight="1" x14ac:dyDescent="0.3">
      <c r="A53" s="28"/>
      <c r="C53" s="46"/>
      <c r="D53" s="47"/>
      <c r="E53" s="46"/>
      <c r="F53" s="46"/>
      <c r="G53" s="46"/>
      <c r="H53" s="46"/>
      <c r="I53" s="46"/>
      <c r="J53" s="46"/>
      <c r="K53" s="2"/>
      <c r="L53" s="2"/>
    </row>
    <row r="54" spans="1:12" ht="18.75" customHeight="1" x14ac:dyDescent="0.3">
      <c r="B54" s="35" t="s">
        <v>55</v>
      </c>
    </row>
    <row r="55" spans="1:12" x14ac:dyDescent="0.3">
      <c r="B55" s="319" t="s">
        <v>56</v>
      </c>
      <c r="C55" s="319"/>
      <c r="D55" s="319"/>
      <c r="E55" s="319"/>
      <c r="F55" s="319"/>
      <c r="G55" s="319"/>
      <c r="H55" s="319"/>
      <c r="I55" s="319"/>
      <c r="J55" s="319"/>
    </row>
    <row r="56" spans="1:12" ht="12.75" customHeight="1" x14ac:dyDescent="0.3">
      <c r="B56" s="319"/>
      <c r="C56" s="319"/>
      <c r="D56" s="319"/>
      <c r="E56" s="319"/>
      <c r="F56" s="319"/>
      <c r="G56" s="319"/>
      <c r="H56" s="319"/>
      <c r="I56" s="319"/>
      <c r="J56" s="319"/>
    </row>
    <row r="57" spans="1:12" ht="18.75" customHeight="1" x14ac:dyDescent="0.3">
      <c r="B57" s="319"/>
      <c r="C57" s="319"/>
      <c r="D57" s="319"/>
      <c r="E57" s="319"/>
      <c r="F57" s="319"/>
      <c r="G57" s="319"/>
      <c r="H57" s="319"/>
      <c r="I57" s="319"/>
      <c r="J57" s="319"/>
    </row>
    <row r="58" spans="1:12" ht="18.75" customHeight="1" x14ac:dyDescent="0.3">
      <c r="B58" s="319"/>
      <c r="C58" s="319"/>
      <c r="D58" s="319"/>
      <c r="E58" s="319"/>
      <c r="F58" s="319"/>
      <c r="G58" s="319"/>
      <c r="H58" s="319"/>
      <c r="I58" s="319"/>
      <c r="J58" s="319"/>
    </row>
    <row r="59" spans="1:12" ht="18.75" customHeight="1" x14ac:dyDescent="0.3">
      <c r="B59" s="319"/>
      <c r="C59" s="319"/>
      <c r="D59" s="319"/>
      <c r="E59" s="319"/>
      <c r="F59" s="319"/>
      <c r="G59" s="319"/>
      <c r="H59" s="319"/>
      <c r="I59" s="319"/>
      <c r="J59" s="319"/>
    </row>
    <row r="60" spans="1:12" ht="17.25" customHeight="1" x14ac:dyDescent="0.3"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12" ht="15.75" customHeight="1" x14ac:dyDescent="0.3">
      <c r="B61" s="35" t="s">
        <v>61</v>
      </c>
    </row>
    <row r="62" spans="1:12" ht="9.75" customHeight="1" x14ac:dyDescent="0.3">
      <c r="B62" s="319"/>
      <c r="C62" s="319"/>
      <c r="D62" s="319"/>
      <c r="E62" s="48"/>
      <c r="F62" s="48"/>
      <c r="G62" s="48"/>
      <c r="H62" s="48"/>
      <c r="I62" s="48"/>
      <c r="J62" s="48"/>
    </row>
    <row r="63" spans="1:12" ht="18.75" customHeight="1" x14ac:dyDescent="0.3">
      <c r="B63" s="24" t="s">
        <v>62</v>
      </c>
    </row>
    <row r="64" spans="1:12" x14ac:dyDescent="0.3">
      <c r="B64" s="26"/>
    </row>
    <row r="66" spans="2:2" x14ac:dyDescent="0.3">
      <c r="B66" s="27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FF0000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2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9.26953125" style="2"/>
    <col min="257" max="257" width="0" style="2" hidden="1" customWidth="1"/>
    <col min="258" max="258" width="24.7265625" style="2" customWidth="1"/>
    <col min="259" max="259" width="18" style="2" customWidth="1"/>
    <col min="260" max="260" width="18.453125" style="2" customWidth="1"/>
    <col min="261" max="261" width="13.7265625" style="2" customWidth="1"/>
    <col min="262" max="262" width="14" style="2" customWidth="1"/>
    <col min="263" max="512" width="9.26953125" style="2"/>
    <col min="513" max="513" width="0" style="2" hidden="1" customWidth="1"/>
    <col min="514" max="514" width="24.7265625" style="2" customWidth="1"/>
    <col min="515" max="515" width="18" style="2" customWidth="1"/>
    <col min="516" max="516" width="18.453125" style="2" customWidth="1"/>
    <col min="517" max="517" width="13.7265625" style="2" customWidth="1"/>
    <col min="518" max="518" width="14" style="2" customWidth="1"/>
    <col min="519" max="768" width="9.26953125" style="2"/>
    <col min="769" max="769" width="0" style="2" hidden="1" customWidth="1"/>
    <col min="770" max="770" width="24.7265625" style="2" customWidth="1"/>
    <col min="771" max="771" width="18" style="2" customWidth="1"/>
    <col min="772" max="772" width="18.453125" style="2" customWidth="1"/>
    <col min="773" max="773" width="13.7265625" style="2" customWidth="1"/>
    <col min="774" max="774" width="14" style="2" customWidth="1"/>
    <col min="775" max="1024" width="9.26953125" style="2"/>
    <col min="1025" max="1025" width="0" style="2" hidden="1" customWidth="1"/>
    <col min="1026" max="1026" width="24.7265625" style="2" customWidth="1"/>
    <col min="1027" max="1027" width="18" style="2" customWidth="1"/>
    <col min="1028" max="1028" width="18.453125" style="2" customWidth="1"/>
    <col min="1029" max="1029" width="13.7265625" style="2" customWidth="1"/>
    <col min="1030" max="1030" width="14" style="2" customWidth="1"/>
    <col min="1031" max="1280" width="9.26953125" style="2"/>
    <col min="1281" max="1281" width="0" style="2" hidden="1" customWidth="1"/>
    <col min="1282" max="1282" width="24.7265625" style="2" customWidth="1"/>
    <col min="1283" max="1283" width="18" style="2" customWidth="1"/>
    <col min="1284" max="1284" width="18.453125" style="2" customWidth="1"/>
    <col min="1285" max="1285" width="13.7265625" style="2" customWidth="1"/>
    <col min="1286" max="1286" width="14" style="2" customWidth="1"/>
    <col min="1287" max="1536" width="9.26953125" style="2"/>
    <col min="1537" max="1537" width="0" style="2" hidden="1" customWidth="1"/>
    <col min="1538" max="1538" width="24.7265625" style="2" customWidth="1"/>
    <col min="1539" max="1539" width="18" style="2" customWidth="1"/>
    <col min="1540" max="1540" width="18.453125" style="2" customWidth="1"/>
    <col min="1541" max="1541" width="13.7265625" style="2" customWidth="1"/>
    <col min="1542" max="1542" width="14" style="2" customWidth="1"/>
    <col min="1543" max="1792" width="9.26953125" style="2"/>
    <col min="1793" max="1793" width="0" style="2" hidden="1" customWidth="1"/>
    <col min="1794" max="1794" width="24.7265625" style="2" customWidth="1"/>
    <col min="1795" max="1795" width="18" style="2" customWidth="1"/>
    <col min="1796" max="1796" width="18.453125" style="2" customWidth="1"/>
    <col min="1797" max="1797" width="13.7265625" style="2" customWidth="1"/>
    <col min="1798" max="1798" width="14" style="2" customWidth="1"/>
    <col min="1799" max="2048" width="9.26953125" style="2"/>
    <col min="2049" max="2049" width="0" style="2" hidden="1" customWidth="1"/>
    <col min="2050" max="2050" width="24.7265625" style="2" customWidth="1"/>
    <col min="2051" max="2051" width="18" style="2" customWidth="1"/>
    <col min="2052" max="2052" width="18.453125" style="2" customWidth="1"/>
    <col min="2053" max="2053" width="13.7265625" style="2" customWidth="1"/>
    <col min="2054" max="2054" width="14" style="2" customWidth="1"/>
    <col min="2055" max="2304" width="9.26953125" style="2"/>
    <col min="2305" max="2305" width="0" style="2" hidden="1" customWidth="1"/>
    <col min="2306" max="2306" width="24.7265625" style="2" customWidth="1"/>
    <col min="2307" max="2307" width="18" style="2" customWidth="1"/>
    <col min="2308" max="2308" width="18.453125" style="2" customWidth="1"/>
    <col min="2309" max="2309" width="13.7265625" style="2" customWidth="1"/>
    <col min="2310" max="2310" width="14" style="2" customWidth="1"/>
    <col min="2311" max="2560" width="9.26953125" style="2"/>
    <col min="2561" max="2561" width="0" style="2" hidden="1" customWidth="1"/>
    <col min="2562" max="2562" width="24.7265625" style="2" customWidth="1"/>
    <col min="2563" max="2563" width="18" style="2" customWidth="1"/>
    <col min="2564" max="2564" width="18.453125" style="2" customWidth="1"/>
    <col min="2565" max="2565" width="13.7265625" style="2" customWidth="1"/>
    <col min="2566" max="2566" width="14" style="2" customWidth="1"/>
    <col min="2567" max="2816" width="9.26953125" style="2"/>
    <col min="2817" max="2817" width="0" style="2" hidden="1" customWidth="1"/>
    <col min="2818" max="2818" width="24.7265625" style="2" customWidth="1"/>
    <col min="2819" max="2819" width="18" style="2" customWidth="1"/>
    <col min="2820" max="2820" width="18.453125" style="2" customWidth="1"/>
    <col min="2821" max="2821" width="13.7265625" style="2" customWidth="1"/>
    <col min="2822" max="2822" width="14" style="2" customWidth="1"/>
    <col min="2823" max="3072" width="9.26953125" style="2"/>
    <col min="3073" max="3073" width="0" style="2" hidden="1" customWidth="1"/>
    <col min="3074" max="3074" width="24.7265625" style="2" customWidth="1"/>
    <col min="3075" max="3075" width="18" style="2" customWidth="1"/>
    <col min="3076" max="3076" width="18.453125" style="2" customWidth="1"/>
    <col min="3077" max="3077" width="13.7265625" style="2" customWidth="1"/>
    <col min="3078" max="3078" width="14" style="2" customWidth="1"/>
    <col min="3079" max="3328" width="9.26953125" style="2"/>
    <col min="3329" max="3329" width="0" style="2" hidden="1" customWidth="1"/>
    <col min="3330" max="3330" width="24.7265625" style="2" customWidth="1"/>
    <col min="3331" max="3331" width="18" style="2" customWidth="1"/>
    <col min="3332" max="3332" width="18.453125" style="2" customWidth="1"/>
    <col min="3333" max="3333" width="13.7265625" style="2" customWidth="1"/>
    <col min="3334" max="3334" width="14" style="2" customWidth="1"/>
    <col min="3335" max="3584" width="9.26953125" style="2"/>
    <col min="3585" max="3585" width="0" style="2" hidden="1" customWidth="1"/>
    <col min="3586" max="3586" width="24.7265625" style="2" customWidth="1"/>
    <col min="3587" max="3587" width="18" style="2" customWidth="1"/>
    <col min="3588" max="3588" width="18.453125" style="2" customWidth="1"/>
    <col min="3589" max="3589" width="13.7265625" style="2" customWidth="1"/>
    <col min="3590" max="3590" width="14" style="2" customWidth="1"/>
    <col min="3591" max="3840" width="9.26953125" style="2"/>
    <col min="3841" max="3841" width="0" style="2" hidden="1" customWidth="1"/>
    <col min="3842" max="3842" width="24.7265625" style="2" customWidth="1"/>
    <col min="3843" max="3843" width="18" style="2" customWidth="1"/>
    <col min="3844" max="3844" width="18.453125" style="2" customWidth="1"/>
    <col min="3845" max="3845" width="13.7265625" style="2" customWidth="1"/>
    <col min="3846" max="3846" width="14" style="2" customWidth="1"/>
    <col min="3847" max="4096" width="9.26953125" style="2"/>
    <col min="4097" max="4097" width="0" style="2" hidden="1" customWidth="1"/>
    <col min="4098" max="4098" width="24.7265625" style="2" customWidth="1"/>
    <col min="4099" max="4099" width="18" style="2" customWidth="1"/>
    <col min="4100" max="4100" width="18.453125" style="2" customWidth="1"/>
    <col min="4101" max="4101" width="13.7265625" style="2" customWidth="1"/>
    <col min="4102" max="4102" width="14" style="2" customWidth="1"/>
    <col min="4103" max="4352" width="9.26953125" style="2"/>
    <col min="4353" max="4353" width="0" style="2" hidden="1" customWidth="1"/>
    <col min="4354" max="4354" width="24.7265625" style="2" customWidth="1"/>
    <col min="4355" max="4355" width="18" style="2" customWidth="1"/>
    <col min="4356" max="4356" width="18.453125" style="2" customWidth="1"/>
    <col min="4357" max="4357" width="13.7265625" style="2" customWidth="1"/>
    <col min="4358" max="4358" width="14" style="2" customWidth="1"/>
    <col min="4359" max="4608" width="9.26953125" style="2"/>
    <col min="4609" max="4609" width="0" style="2" hidden="1" customWidth="1"/>
    <col min="4610" max="4610" width="24.7265625" style="2" customWidth="1"/>
    <col min="4611" max="4611" width="18" style="2" customWidth="1"/>
    <col min="4612" max="4612" width="18.453125" style="2" customWidth="1"/>
    <col min="4613" max="4613" width="13.7265625" style="2" customWidth="1"/>
    <col min="4614" max="4614" width="14" style="2" customWidth="1"/>
    <col min="4615" max="4864" width="9.26953125" style="2"/>
    <col min="4865" max="4865" width="0" style="2" hidden="1" customWidth="1"/>
    <col min="4866" max="4866" width="24.7265625" style="2" customWidth="1"/>
    <col min="4867" max="4867" width="18" style="2" customWidth="1"/>
    <col min="4868" max="4868" width="18.453125" style="2" customWidth="1"/>
    <col min="4869" max="4869" width="13.7265625" style="2" customWidth="1"/>
    <col min="4870" max="4870" width="14" style="2" customWidth="1"/>
    <col min="4871" max="5120" width="9.26953125" style="2"/>
    <col min="5121" max="5121" width="0" style="2" hidden="1" customWidth="1"/>
    <col min="5122" max="5122" width="24.7265625" style="2" customWidth="1"/>
    <col min="5123" max="5123" width="18" style="2" customWidth="1"/>
    <col min="5124" max="5124" width="18.453125" style="2" customWidth="1"/>
    <col min="5125" max="5125" width="13.7265625" style="2" customWidth="1"/>
    <col min="5126" max="5126" width="14" style="2" customWidth="1"/>
    <col min="5127" max="5376" width="9.26953125" style="2"/>
    <col min="5377" max="5377" width="0" style="2" hidden="1" customWidth="1"/>
    <col min="5378" max="5378" width="24.7265625" style="2" customWidth="1"/>
    <col min="5379" max="5379" width="18" style="2" customWidth="1"/>
    <col min="5380" max="5380" width="18.453125" style="2" customWidth="1"/>
    <col min="5381" max="5381" width="13.7265625" style="2" customWidth="1"/>
    <col min="5382" max="5382" width="14" style="2" customWidth="1"/>
    <col min="5383" max="5632" width="9.26953125" style="2"/>
    <col min="5633" max="5633" width="0" style="2" hidden="1" customWidth="1"/>
    <col min="5634" max="5634" width="24.7265625" style="2" customWidth="1"/>
    <col min="5635" max="5635" width="18" style="2" customWidth="1"/>
    <col min="5636" max="5636" width="18.453125" style="2" customWidth="1"/>
    <col min="5637" max="5637" width="13.7265625" style="2" customWidth="1"/>
    <col min="5638" max="5638" width="14" style="2" customWidth="1"/>
    <col min="5639" max="5888" width="9.26953125" style="2"/>
    <col min="5889" max="5889" width="0" style="2" hidden="1" customWidth="1"/>
    <col min="5890" max="5890" width="24.7265625" style="2" customWidth="1"/>
    <col min="5891" max="5891" width="18" style="2" customWidth="1"/>
    <col min="5892" max="5892" width="18.453125" style="2" customWidth="1"/>
    <col min="5893" max="5893" width="13.7265625" style="2" customWidth="1"/>
    <col min="5894" max="5894" width="14" style="2" customWidth="1"/>
    <col min="5895" max="6144" width="9.26953125" style="2"/>
    <col min="6145" max="6145" width="0" style="2" hidden="1" customWidth="1"/>
    <col min="6146" max="6146" width="24.7265625" style="2" customWidth="1"/>
    <col min="6147" max="6147" width="18" style="2" customWidth="1"/>
    <col min="6148" max="6148" width="18.453125" style="2" customWidth="1"/>
    <col min="6149" max="6149" width="13.7265625" style="2" customWidth="1"/>
    <col min="6150" max="6150" width="14" style="2" customWidth="1"/>
    <col min="6151" max="6400" width="9.26953125" style="2"/>
    <col min="6401" max="6401" width="0" style="2" hidden="1" customWidth="1"/>
    <col min="6402" max="6402" width="24.7265625" style="2" customWidth="1"/>
    <col min="6403" max="6403" width="18" style="2" customWidth="1"/>
    <col min="6404" max="6404" width="18.453125" style="2" customWidth="1"/>
    <col min="6405" max="6405" width="13.7265625" style="2" customWidth="1"/>
    <col min="6406" max="6406" width="14" style="2" customWidth="1"/>
    <col min="6407" max="6656" width="9.26953125" style="2"/>
    <col min="6657" max="6657" width="0" style="2" hidden="1" customWidth="1"/>
    <col min="6658" max="6658" width="24.7265625" style="2" customWidth="1"/>
    <col min="6659" max="6659" width="18" style="2" customWidth="1"/>
    <col min="6660" max="6660" width="18.453125" style="2" customWidth="1"/>
    <col min="6661" max="6661" width="13.7265625" style="2" customWidth="1"/>
    <col min="6662" max="6662" width="14" style="2" customWidth="1"/>
    <col min="6663" max="6912" width="9.26953125" style="2"/>
    <col min="6913" max="6913" width="0" style="2" hidden="1" customWidth="1"/>
    <col min="6914" max="6914" width="24.7265625" style="2" customWidth="1"/>
    <col min="6915" max="6915" width="18" style="2" customWidth="1"/>
    <col min="6916" max="6916" width="18.453125" style="2" customWidth="1"/>
    <col min="6917" max="6917" width="13.7265625" style="2" customWidth="1"/>
    <col min="6918" max="6918" width="14" style="2" customWidth="1"/>
    <col min="6919" max="7168" width="9.26953125" style="2"/>
    <col min="7169" max="7169" width="0" style="2" hidden="1" customWidth="1"/>
    <col min="7170" max="7170" width="24.7265625" style="2" customWidth="1"/>
    <col min="7171" max="7171" width="18" style="2" customWidth="1"/>
    <col min="7172" max="7172" width="18.453125" style="2" customWidth="1"/>
    <col min="7173" max="7173" width="13.7265625" style="2" customWidth="1"/>
    <col min="7174" max="7174" width="14" style="2" customWidth="1"/>
    <col min="7175" max="7424" width="9.26953125" style="2"/>
    <col min="7425" max="7425" width="0" style="2" hidden="1" customWidth="1"/>
    <col min="7426" max="7426" width="24.7265625" style="2" customWidth="1"/>
    <col min="7427" max="7427" width="18" style="2" customWidth="1"/>
    <col min="7428" max="7428" width="18.453125" style="2" customWidth="1"/>
    <col min="7429" max="7429" width="13.7265625" style="2" customWidth="1"/>
    <col min="7430" max="7430" width="14" style="2" customWidth="1"/>
    <col min="7431" max="7680" width="9.26953125" style="2"/>
    <col min="7681" max="7681" width="0" style="2" hidden="1" customWidth="1"/>
    <col min="7682" max="7682" width="24.7265625" style="2" customWidth="1"/>
    <col min="7683" max="7683" width="18" style="2" customWidth="1"/>
    <col min="7684" max="7684" width="18.453125" style="2" customWidth="1"/>
    <col min="7685" max="7685" width="13.7265625" style="2" customWidth="1"/>
    <col min="7686" max="7686" width="14" style="2" customWidth="1"/>
    <col min="7687" max="7936" width="9.26953125" style="2"/>
    <col min="7937" max="7937" width="0" style="2" hidden="1" customWidth="1"/>
    <col min="7938" max="7938" width="24.7265625" style="2" customWidth="1"/>
    <col min="7939" max="7939" width="18" style="2" customWidth="1"/>
    <col min="7940" max="7940" width="18.453125" style="2" customWidth="1"/>
    <col min="7941" max="7941" width="13.7265625" style="2" customWidth="1"/>
    <col min="7942" max="7942" width="14" style="2" customWidth="1"/>
    <col min="7943" max="8192" width="9.26953125" style="2"/>
    <col min="8193" max="8193" width="0" style="2" hidden="1" customWidth="1"/>
    <col min="8194" max="8194" width="24.7265625" style="2" customWidth="1"/>
    <col min="8195" max="8195" width="18" style="2" customWidth="1"/>
    <col min="8196" max="8196" width="18.453125" style="2" customWidth="1"/>
    <col min="8197" max="8197" width="13.7265625" style="2" customWidth="1"/>
    <col min="8198" max="8198" width="14" style="2" customWidth="1"/>
    <col min="8199" max="8448" width="9.26953125" style="2"/>
    <col min="8449" max="8449" width="0" style="2" hidden="1" customWidth="1"/>
    <col min="8450" max="8450" width="24.7265625" style="2" customWidth="1"/>
    <col min="8451" max="8451" width="18" style="2" customWidth="1"/>
    <col min="8452" max="8452" width="18.453125" style="2" customWidth="1"/>
    <col min="8453" max="8453" width="13.7265625" style="2" customWidth="1"/>
    <col min="8454" max="8454" width="14" style="2" customWidth="1"/>
    <col min="8455" max="8704" width="9.26953125" style="2"/>
    <col min="8705" max="8705" width="0" style="2" hidden="1" customWidth="1"/>
    <col min="8706" max="8706" width="24.7265625" style="2" customWidth="1"/>
    <col min="8707" max="8707" width="18" style="2" customWidth="1"/>
    <col min="8708" max="8708" width="18.453125" style="2" customWidth="1"/>
    <col min="8709" max="8709" width="13.7265625" style="2" customWidth="1"/>
    <col min="8710" max="8710" width="14" style="2" customWidth="1"/>
    <col min="8711" max="8960" width="9.26953125" style="2"/>
    <col min="8961" max="8961" width="0" style="2" hidden="1" customWidth="1"/>
    <col min="8962" max="8962" width="24.7265625" style="2" customWidth="1"/>
    <col min="8963" max="8963" width="18" style="2" customWidth="1"/>
    <col min="8964" max="8964" width="18.453125" style="2" customWidth="1"/>
    <col min="8965" max="8965" width="13.7265625" style="2" customWidth="1"/>
    <col min="8966" max="8966" width="14" style="2" customWidth="1"/>
    <col min="8967" max="9216" width="9.26953125" style="2"/>
    <col min="9217" max="9217" width="0" style="2" hidden="1" customWidth="1"/>
    <col min="9218" max="9218" width="24.7265625" style="2" customWidth="1"/>
    <col min="9219" max="9219" width="18" style="2" customWidth="1"/>
    <col min="9220" max="9220" width="18.453125" style="2" customWidth="1"/>
    <col min="9221" max="9221" width="13.7265625" style="2" customWidth="1"/>
    <col min="9222" max="9222" width="14" style="2" customWidth="1"/>
    <col min="9223" max="9472" width="9.26953125" style="2"/>
    <col min="9473" max="9473" width="0" style="2" hidden="1" customWidth="1"/>
    <col min="9474" max="9474" width="24.7265625" style="2" customWidth="1"/>
    <col min="9475" max="9475" width="18" style="2" customWidth="1"/>
    <col min="9476" max="9476" width="18.453125" style="2" customWidth="1"/>
    <col min="9477" max="9477" width="13.7265625" style="2" customWidth="1"/>
    <col min="9478" max="9478" width="14" style="2" customWidth="1"/>
    <col min="9479" max="9728" width="9.26953125" style="2"/>
    <col min="9729" max="9729" width="0" style="2" hidden="1" customWidth="1"/>
    <col min="9730" max="9730" width="24.7265625" style="2" customWidth="1"/>
    <col min="9731" max="9731" width="18" style="2" customWidth="1"/>
    <col min="9732" max="9732" width="18.453125" style="2" customWidth="1"/>
    <col min="9733" max="9733" width="13.7265625" style="2" customWidth="1"/>
    <col min="9734" max="9734" width="14" style="2" customWidth="1"/>
    <col min="9735" max="9984" width="9.26953125" style="2"/>
    <col min="9985" max="9985" width="0" style="2" hidden="1" customWidth="1"/>
    <col min="9986" max="9986" width="24.7265625" style="2" customWidth="1"/>
    <col min="9987" max="9987" width="18" style="2" customWidth="1"/>
    <col min="9988" max="9988" width="18.453125" style="2" customWidth="1"/>
    <col min="9989" max="9989" width="13.7265625" style="2" customWidth="1"/>
    <col min="9990" max="9990" width="14" style="2" customWidth="1"/>
    <col min="9991" max="10240" width="9.26953125" style="2"/>
    <col min="10241" max="10241" width="0" style="2" hidden="1" customWidth="1"/>
    <col min="10242" max="10242" width="24.7265625" style="2" customWidth="1"/>
    <col min="10243" max="10243" width="18" style="2" customWidth="1"/>
    <col min="10244" max="10244" width="18.453125" style="2" customWidth="1"/>
    <col min="10245" max="10245" width="13.7265625" style="2" customWidth="1"/>
    <col min="10246" max="10246" width="14" style="2" customWidth="1"/>
    <col min="10247" max="10496" width="9.26953125" style="2"/>
    <col min="10497" max="10497" width="0" style="2" hidden="1" customWidth="1"/>
    <col min="10498" max="10498" width="24.7265625" style="2" customWidth="1"/>
    <col min="10499" max="10499" width="18" style="2" customWidth="1"/>
    <col min="10500" max="10500" width="18.453125" style="2" customWidth="1"/>
    <col min="10501" max="10501" width="13.7265625" style="2" customWidth="1"/>
    <col min="10502" max="10502" width="14" style="2" customWidth="1"/>
    <col min="10503" max="10752" width="9.26953125" style="2"/>
    <col min="10753" max="10753" width="0" style="2" hidden="1" customWidth="1"/>
    <col min="10754" max="10754" width="24.7265625" style="2" customWidth="1"/>
    <col min="10755" max="10755" width="18" style="2" customWidth="1"/>
    <col min="10756" max="10756" width="18.453125" style="2" customWidth="1"/>
    <col min="10757" max="10757" width="13.7265625" style="2" customWidth="1"/>
    <col min="10758" max="10758" width="14" style="2" customWidth="1"/>
    <col min="10759" max="11008" width="9.26953125" style="2"/>
    <col min="11009" max="11009" width="0" style="2" hidden="1" customWidth="1"/>
    <col min="11010" max="11010" width="24.7265625" style="2" customWidth="1"/>
    <col min="11011" max="11011" width="18" style="2" customWidth="1"/>
    <col min="11012" max="11012" width="18.453125" style="2" customWidth="1"/>
    <col min="11013" max="11013" width="13.7265625" style="2" customWidth="1"/>
    <col min="11014" max="11014" width="14" style="2" customWidth="1"/>
    <col min="11015" max="11264" width="9.26953125" style="2"/>
    <col min="11265" max="11265" width="0" style="2" hidden="1" customWidth="1"/>
    <col min="11266" max="11266" width="24.7265625" style="2" customWidth="1"/>
    <col min="11267" max="11267" width="18" style="2" customWidth="1"/>
    <col min="11268" max="11268" width="18.453125" style="2" customWidth="1"/>
    <col min="11269" max="11269" width="13.7265625" style="2" customWidth="1"/>
    <col min="11270" max="11270" width="14" style="2" customWidth="1"/>
    <col min="11271" max="11520" width="9.26953125" style="2"/>
    <col min="11521" max="11521" width="0" style="2" hidden="1" customWidth="1"/>
    <col min="11522" max="11522" width="24.7265625" style="2" customWidth="1"/>
    <col min="11523" max="11523" width="18" style="2" customWidth="1"/>
    <col min="11524" max="11524" width="18.453125" style="2" customWidth="1"/>
    <col min="11525" max="11525" width="13.7265625" style="2" customWidth="1"/>
    <col min="11526" max="11526" width="14" style="2" customWidth="1"/>
    <col min="11527" max="11776" width="9.26953125" style="2"/>
    <col min="11777" max="11777" width="0" style="2" hidden="1" customWidth="1"/>
    <col min="11778" max="11778" width="24.7265625" style="2" customWidth="1"/>
    <col min="11779" max="11779" width="18" style="2" customWidth="1"/>
    <col min="11780" max="11780" width="18.453125" style="2" customWidth="1"/>
    <col min="11781" max="11781" width="13.7265625" style="2" customWidth="1"/>
    <col min="11782" max="11782" width="14" style="2" customWidth="1"/>
    <col min="11783" max="12032" width="9.26953125" style="2"/>
    <col min="12033" max="12033" width="0" style="2" hidden="1" customWidth="1"/>
    <col min="12034" max="12034" width="24.7265625" style="2" customWidth="1"/>
    <col min="12035" max="12035" width="18" style="2" customWidth="1"/>
    <col min="12036" max="12036" width="18.453125" style="2" customWidth="1"/>
    <col min="12037" max="12037" width="13.7265625" style="2" customWidth="1"/>
    <col min="12038" max="12038" width="14" style="2" customWidth="1"/>
    <col min="12039" max="12288" width="9.26953125" style="2"/>
    <col min="12289" max="12289" width="0" style="2" hidden="1" customWidth="1"/>
    <col min="12290" max="12290" width="24.7265625" style="2" customWidth="1"/>
    <col min="12291" max="12291" width="18" style="2" customWidth="1"/>
    <col min="12292" max="12292" width="18.453125" style="2" customWidth="1"/>
    <col min="12293" max="12293" width="13.7265625" style="2" customWidth="1"/>
    <col min="12294" max="12294" width="14" style="2" customWidth="1"/>
    <col min="12295" max="12544" width="9.26953125" style="2"/>
    <col min="12545" max="12545" width="0" style="2" hidden="1" customWidth="1"/>
    <col min="12546" max="12546" width="24.7265625" style="2" customWidth="1"/>
    <col min="12547" max="12547" width="18" style="2" customWidth="1"/>
    <col min="12548" max="12548" width="18.453125" style="2" customWidth="1"/>
    <col min="12549" max="12549" width="13.7265625" style="2" customWidth="1"/>
    <col min="12550" max="12550" width="14" style="2" customWidth="1"/>
    <col min="12551" max="12800" width="9.26953125" style="2"/>
    <col min="12801" max="12801" width="0" style="2" hidden="1" customWidth="1"/>
    <col min="12802" max="12802" width="24.7265625" style="2" customWidth="1"/>
    <col min="12803" max="12803" width="18" style="2" customWidth="1"/>
    <col min="12804" max="12804" width="18.453125" style="2" customWidth="1"/>
    <col min="12805" max="12805" width="13.7265625" style="2" customWidth="1"/>
    <col min="12806" max="12806" width="14" style="2" customWidth="1"/>
    <col min="12807" max="13056" width="9.26953125" style="2"/>
    <col min="13057" max="13057" width="0" style="2" hidden="1" customWidth="1"/>
    <col min="13058" max="13058" width="24.7265625" style="2" customWidth="1"/>
    <col min="13059" max="13059" width="18" style="2" customWidth="1"/>
    <col min="13060" max="13060" width="18.453125" style="2" customWidth="1"/>
    <col min="13061" max="13061" width="13.7265625" style="2" customWidth="1"/>
    <col min="13062" max="13062" width="14" style="2" customWidth="1"/>
    <col min="13063" max="13312" width="9.26953125" style="2"/>
    <col min="13313" max="13313" width="0" style="2" hidden="1" customWidth="1"/>
    <col min="13314" max="13314" width="24.7265625" style="2" customWidth="1"/>
    <col min="13315" max="13315" width="18" style="2" customWidth="1"/>
    <col min="13316" max="13316" width="18.453125" style="2" customWidth="1"/>
    <col min="13317" max="13317" width="13.7265625" style="2" customWidth="1"/>
    <col min="13318" max="13318" width="14" style="2" customWidth="1"/>
    <col min="13319" max="13568" width="9.26953125" style="2"/>
    <col min="13569" max="13569" width="0" style="2" hidden="1" customWidth="1"/>
    <col min="13570" max="13570" width="24.7265625" style="2" customWidth="1"/>
    <col min="13571" max="13571" width="18" style="2" customWidth="1"/>
    <col min="13572" max="13572" width="18.453125" style="2" customWidth="1"/>
    <col min="13573" max="13573" width="13.7265625" style="2" customWidth="1"/>
    <col min="13574" max="13574" width="14" style="2" customWidth="1"/>
    <col min="13575" max="13824" width="9.26953125" style="2"/>
    <col min="13825" max="13825" width="0" style="2" hidden="1" customWidth="1"/>
    <col min="13826" max="13826" width="24.7265625" style="2" customWidth="1"/>
    <col min="13827" max="13827" width="18" style="2" customWidth="1"/>
    <col min="13828" max="13828" width="18.453125" style="2" customWidth="1"/>
    <col min="13829" max="13829" width="13.7265625" style="2" customWidth="1"/>
    <col min="13830" max="13830" width="14" style="2" customWidth="1"/>
    <col min="13831" max="14080" width="9.26953125" style="2"/>
    <col min="14081" max="14081" width="0" style="2" hidden="1" customWidth="1"/>
    <col min="14082" max="14082" width="24.7265625" style="2" customWidth="1"/>
    <col min="14083" max="14083" width="18" style="2" customWidth="1"/>
    <col min="14084" max="14084" width="18.453125" style="2" customWidth="1"/>
    <col min="14085" max="14085" width="13.7265625" style="2" customWidth="1"/>
    <col min="14086" max="14086" width="14" style="2" customWidth="1"/>
    <col min="14087" max="14336" width="9.26953125" style="2"/>
    <col min="14337" max="14337" width="0" style="2" hidden="1" customWidth="1"/>
    <col min="14338" max="14338" width="24.7265625" style="2" customWidth="1"/>
    <col min="14339" max="14339" width="18" style="2" customWidth="1"/>
    <col min="14340" max="14340" width="18.453125" style="2" customWidth="1"/>
    <col min="14341" max="14341" width="13.7265625" style="2" customWidth="1"/>
    <col min="14342" max="14342" width="14" style="2" customWidth="1"/>
    <col min="14343" max="14592" width="9.26953125" style="2"/>
    <col min="14593" max="14593" width="0" style="2" hidden="1" customWidth="1"/>
    <col min="14594" max="14594" width="24.7265625" style="2" customWidth="1"/>
    <col min="14595" max="14595" width="18" style="2" customWidth="1"/>
    <col min="14596" max="14596" width="18.453125" style="2" customWidth="1"/>
    <col min="14597" max="14597" width="13.7265625" style="2" customWidth="1"/>
    <col min="14598" max="14598" width="14" style="2" customWidth="1"/>
    <col min="14599" max="14848" width="9.26953125" style="2"/>
    <col min="14849" max="14849" width="0" style="2" hidden="1" customWidth="1"/>
    <col min="14850" max="14850" width="24.7265625" style="2" customWidth="1"/>
    <col min="14851" max="14851" width="18" style="2" customWidth="1"/>
    <col min="14852" max="14852" width="18.453125" style="2" customWidth="1"/>
    <col min="14853" max="14853" width="13.7265625" style="2" customWidth="1"/>
    <col min="14854" max="14854" width="14" style="2" customWidth="1"/>
    <col min="14855" max="15104" width="9.26953125" style="2"/>
    <col min="15105" max="15105" width="0" style="2" hidden="1" customWidth="1"/>
    <col min="15106" max="15106" width="24.7265625" style="2" customWidth="1"/>
    <col min="15107" max="15107" width="18" style="2" customWidth="1"/>
    <col min="15108" max="15108" width="18.453125" style="2" customWidth="1"/>
    <col min="15109" max="15109" width="13.7265625" style="2" customWidth="1"/>
    <col min="15110" max="15110" width="14" style="2" customWidth="1"/>
    <col min="15111" max="15360" width="9.26953125" style="2"/>
    <col min="15361" max="15361" width="0" style="2" hidden="1" customWidth="1"/>
    <col min="15362" max="15362" width="24.7265625" style="2" customWidth="1"/>
    <col min="15363" max="15363" width="18" style="2" customWidth="1"/>
    <col min="15364" max="15364" width="18.453125" style="2" customWidth="1"/>
    <col min="15365" max="15365" width="13.7265625" style="2" customWidth="1"/>
    <col min="15366" max="15366" width="14" style="2" customWidth="1"/>
    <col min="15367" max="15616" width="9.26953125" style="2"/>
    <col min="15617" max="15617" width="0" style="2" hidden="1" customWidth="1"/>
    <col min="15618" max="15618" width="24.7265625" style="2" customWidth="1"/>
    <col min="15619" max="15619" width="18" style="2" customWidth="1"/>
    <col min="15620" max="15620" width="18.453125" style="2" customWidth="1"/>
    <col min="15621" max="15621" width="13.7265625" style="2" customWidth="1"/>
    <col min="15622" max="15622" width="14" style="2" customWidth="1"/>
    <col min="15623" max="15872" width="9.26953125" style="2"/>
    <col min="15873" max="15873" width="0" style="2" hidden="1" customWidth="1"/>
    <col min="15874" max="15874" width="24.7265625" style="2" customWidth="1"/>
    <col min="15875" max="15875" width="18" style="2" customWidth="1"/>
    <col min="15876" max="15876" width="18.453125" style="2" customWidth="1"/>
    <col min="15877" max="15877" width="13.7265625" style="2" customWidth="1"/>
    <col min="15878" max="15878" width="14" style="2" customWidth="1"/>
    <col min="15879" max="16128" width="9.26953125" style="2"/>
    <col min="16129" max="16129" width="0" style="2" hidden="1" customWidth="1"/>
    <col min="16130" max="16130" width="24.7265625" style="2" customWidth="1"/>
    <col min="16131" max="16131" width="18" style="2" customWidth="1"/>
    <col min="16132" max="16132" width="18.453125" style="2" customWidth="1"/>
    <col min="16133" max="16133" width="13.7265625" style="2" customWidth="1"/>
    <col min="16134" max="16134" width="14" style="2" customWidth="1"/>
    <col min="16135" max="16384" width="9.26953125" style="2"/>
  </cols>
  <sheetData>
    <row r="1" spans="1:9" ht="48.75" customHeight="1" x14ac:dyDescent="0.3">
      <c r="B1" s="316" t="s">
        <v>63</v>
      </c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v>971</v>
      </c>
      <c r="D4" s="49">
        <v>176</v>
      </c>
      <c r="E4" s="49">
        <v>33</v>
      </c>
      <c r="F4" s="49"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v>753</v>
      </c>
      <c r="D5" s="42">
        <v>126</v>
      </c>
      <c r="E5" s="42">
        <v>27</v>
      </c>
      <c r="F5" s="42">
        <v>0</v>
      </c>
    </row>
    <row r="6" spans="1:9" x14ac:dyDescent="0.3">
      <c r="A6" s="12">
        <v>51</v>
      </c>
      <c r="B6" s="2" t="s">
        <v>8</v>
      </c>
      <c r="C6" s="37">
        <v>25</v>
      </c>
      <c r="D6" s="37">
        <v>6</v>
      </c>
      <c r="E6" s="37">
        <v>4</v>
      </c>
      <c r="F6" s="37">
        <v>0</v>
      </c>
    </row>
    <row r="7" spans="1:9" x14ac:dyDescent="0.3">
      <c r="A7" s="12">
        <v>52</v>
      </c>
      <c r="B7" s="2" t="s">
        <v>9</v>
      </c>
      <c r="C7" s="37">
        <v>25</v>
      </c>
      <c r="D7" s="37">
        <v>4</v>
      </c>
      <c r="E7" s="37">
        <v>0</v>
      </c>
      <c r="F7" s="37">
        <v>0</v>
      </c>
    </row>
    <row r="8" spans="1:9" x14ac:dyDescent="0.3">
      <c r="A8" s="12">
        <v>86</v>
      </c>
      <c r="B8" s="2" t="s">
        <v>10</v>
      </c>
      <c r="C8" s="37">
        <v>29</v>
      </c>
      <c r="D8" s="37">
        <v>3</v>
      </c>
      <c r="E8" s="37">
        <v>0</v>
      </c>
      <c r="F8" s="37">
        <v>0</v>
      </c>
    </row>
    <row r="9" spans="1:9" x14ac:dyDescent="0.3">
      <c r="A9" s="12">
        <v>53</v>
      </c>
      <c r="B9" s="2" t="s">
        <v>11</v>
      </c>
      <c r="C9" s="37">
        <v>8</v>
      </c>
      <c r="D9" s="37">
        <v>0</v>
      </c>
      <c r="E9" s="37">
        <v>0</v>
      </c>
      <c r="F9" s="37">
        <v>0</v>
      </c>
    </row>
    <row r="10" spans="1:9" x14ac:dyDescent="0.3">
      <c r="A10" s="12">
        <v>54</v>
      </c>
      <c r="B10" s="2" t="s">
        <v>12</v>
      </c>
      <c r="C10" s="37">
        <v>24</v>
      </c>
      <c r="D10" s="37">
        <v>12</v>
      </c>
      <c r="E10" s="37">
        <v>7</v>
      </c>
      <c r="F10" s="37">
        <v>0</v>
      </c>
    </row>
    <row r="11" spans="1:9" x14ac:dyDescent="0.3">
      <c r="A11" s="12">
        <v>55</v>
      </c>
      <c r="B11" s="2" t="s">
        <v>13</v>
      </c>
      <c r="C11" s="37">
        <v>11</v>
      </c>
      <c r="D11" s="37">
        <v>2</v>
      </c>
      <c r="E11" s="37">
        <v>0</v>
      </c>
      <c r="F11" s="37">
        <v>0</v>
      </c>
    </row>
    <row r="12" spans="1:9" x14ac:dyDescent="0.3">
      <c r="A12" s="12">
        <v>56</v>
      </c>
      <c r="B12" s="2" t="s">
        <v>14</v>
      </c>
      <c r="C12" s="37">
        <v>7</v>
      </c>
      <c r="D12" s="37">
        <v>0</v>
      </c>
      <c r="E12" s="37">
        <v>0</v>
      </c>
      <c r="F12" s="37">
        <v>0</v>
      </c>
    </row>
    <row r="13" spans="1:9" x14ac:dyDescent="0.3">
      <c r="A13" s="12">
        <v>57</v>
      </c>
      <c r="B13" s="2" t="s">
        <v>15</v>
      </c>
      <c r="C13" s="37">
        <v>5</v>
      </c>
      <c r="D13" s="37">
        <v>1</v>
      </c>
      <c r="E13" s="37">
        <v>1</v>
      </c>
      <c r="F13" s="37">
        <v>0</v>
      </c>
    </row>
    <row r="14" spans="1:9" x14ac:dyDescent="0.3">
      <c r="A14" s="12">
        <v>59</v>
      </c>
      <c r="B14" s="2" t="s">
        <v>16</v>
      </c>
      <c r="C14" s="37">
        <v>10</v>
      </c>
      <c r="D14" s="37">
        <v>1</v>
      </c>
      <c r="E14" s="37">
        <v>0</v>
      </c>
      <c r="F14" s="37">
        <v>0</v>
      </c>
    </row>
    <row r="15" spans="1:9" x14ac:dyDescent="0.3">
      <c r="A15" s="12">
        <v>60</v>
      </c>
      <c r="B15" s="2" t="s">
        <v>17</v>
      </c>
      <c r="C15" s="37">
        <v>20</v>
      </c>
      <c r="D15" s="37">
        <v>4</v>
      </c>
      <c r="E15" s="37">
        <v>0</v>
      </c>
      <c r="F15" s="37">
        <v>0</v>
      </c>
    </row>
    <row r="16" spans="1:9" x14ac:dyDescent="0.3">
      <c r="A16" s="12">
        <v>61</v>
      </c>
      <c r="B16" s="38" t="s">
        <v>18</v>
      </c>
      <c r="C16" s="37">
        <v>24</v>
      </c>
      <c r="D16" s="37">
        <v>5</v>
      </c>
      <c r="E16" s="37">
        <v>2</v>
      </c>
      <c r="F16" s="37">
        <v>0</v>
      </c>
    </row>
    <row r="17" spans="1:6" s="183" customFormat="1" x14ac:dyDescent="0.3">
      <c r="A17" s="12"/>
      <c r="B17" s="130" t="s">
        <v>122</v>
      </c>
      <c r="C17" s="163">
        <v>38</v>
      </c>
      <c r="D17" s="163">
        <v>4</v>
      </c>
      <c r="E17" s="163">
        <v>1</v>
      </c>
      <c r="F17" s="163">
        <v>0</v>
      </c>
    </row>
    <row r="18" spans="1:6" x14ac:dyDescent="0.3">
      <c r="A18" s="12">
        <v>58</v>
      </c>
      <c r="B18" s="2" t="s">
        <v>20</v>
      </c>
      <c r="C18" s="37">
        <v>4</v>
      </c>
      <c r="D18" s="37">
        <v>2</v>
      </c>
      <c r="E18" s="37">
        <v>0</v>
      </c>
      <c r="F18" s="37">
        <v>0</v>
      </c>
    </row>
    <row r="19" spans="1:6" x14ac:dyDescent="0.3">
      <c r="A19" s="12">
        <v>63</v>
      </c>
      <c r="B19" s="2" t="s">
        <v>21</v>
      </c>
      <c r="C19" s="37">
        <v>28</v>
      </c>
      <c r="D19" s="37">
        <v>0</v>
      </c>
      <c r="E19" s="37">
        <v>0</v>
      </c>
      <c r="F19" s="37">
        <v>0</v>
      </c>
    </row>
    <row r="20" spans="1:6" x14ac:dyDescent="0.3">
      <c r="A20" s="12">
        <v>64</v>
      </c>
      <c r="B20" s="2" t="s">
        <v>22</v>
      </c>
      <c r="C20" s="37">
        <v>20</v>
      </c>
      <c r="D20" s="37">
        <v>5</v>
      </c>
      <c r="E20" s="37">
        <v>2</v>
      </c>
      <c r="F20" s="37">
        <v>0</v>
      </c>
    </row>
    <row r="21" spans="1:6" x14ac:dyDescent="0.3">
      <c r="A21" s="12">
        <v>65</v>
      </c>
      <c r="B21" s="2" t="s">
        <v>23</v>
      </c>
      <c r="C21" s="37">
        <v>24</v>
      </c>
      <c r="D21" s="37">
        <v>6</v>
      </c>
      <c r="E21" s="37">
        <v>0</v>
      </c>
      <c r="F21" s="37">
        <v>0</v>
      </c>
    </row>
    <row r="22" spans="1:6" x14ac:dyDescent="0.3">
      <c r="A22" s="12">
        <v>67</v>
      </c>
      <c r="B22" s="2" t="s">
        <v>24</v>
      </c>
      <c r="C22" s="37">
        <v>40</v>
      </c>
      <c r="D22" s="37">
        <v>5</v>
      </c>
      <c r="E22" s="36">
        <v>3</v>
      </c>
      <c r="F22" s="37">
        <v>0</v>
      </c>
    </row>
    <row r="23" spans="1:6" x14ac:dyDescent="0.3">
      <c r="A23" s="12">
        <v>68</v>
      </c>
      <c r="B23" s="2" t="s">
        <v>25</v>
      </c>
      <c r="C23" s="37">
        <v>24</v>
      </c>
      <c r="D23" s="37">
        <v>3</v>
      </c>
      <c r="E23" s="37">
        <v>1</v>
      </c>
      <c r="F23" s="37">
        <v>0</v>
      </c>
    </row>
    <row r="24" spans="1:6" x14ac:dyDescent="0.3">
      <c r="A24" s="12">
        <v>69</v>
      </c>
      <c r="B24" s="2" t="s">
        <v>26</v>
      </c>
      <c r="C24" s="37">
        <v>20</v>
      </c>
      <c r="D24" s="37">
        <v>6</v>
      </c>
      <c r="E24" s="37">
        <v>1</v>
      </c>
      <c r="F24" s="37">
        <v>0</v>
      </c>
    </row>
    <row r="25" spans="1:6" x14ac:dyDescent="0.3">
      <c r="A25" s="12">
        <v>70</v>
      </c>
      <c r="B25" s="2" t="s">
        <v>27</v>
      </c>
      <c r="C25" s="37">
        <v>57</v>
      </c>
      <c r="D25" s="37">
        <v>5</v>
      </c>
      <c r="E25" s="37">
        <v>0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4</v>
      </c>
      <c r="D26" s="37">
        <v>2</v>
      </c>
      <c r="E26" s="37">
        <v>0</v>
      </c>
      <c r="F26" s="37">
        <v>0</v>
      </c>
    </row>
    <row r="27" spans="1:6" x14ac:dyDescent="0.3">
      <c r="A27" s="12">
        <v>73</v>
      </c>
      <c r="B27" s="2" t="s">
        <v>29</v>
      </c>
      <c r="C27" s="37">
        <v>15</v>
      </c>
      <c r="D27" s="37">
        <v>4</v>
      </c>
      <c r="E27" s="37">
        <v>0</v>
      </c>
      <c r="F27" s="37">
        <v>0</v>
      </c>
    </row>
    <row r="28" spans="1:6" x14ac:dyDescent="0.3">
      <c r="A28" s="12">
        <v>74</v>
      </c>
      <c r="B28" s="2" t="s">
        <v>30</v>
      </c>
      <c r="C28" s="37">
        <v>18</v>
      </c>
      <c r="D28" s="37">
        <v>3</v>
      </c>
      <c r="E28" s="37">
        <v>0</v>
      </c>
      <c r="F28" s="37">
        <v>0</v>
      </c>
    </row>
    <row r="29" spans="1:6" x14ac:dyDescent="0.3">
      <c r="A29" s="12">
        <v>75</v>
      </c>
      <c r="B29" s="2" t="s">
        <v>31</v>
      </c>
      <c r="C29" s="37">
        <v>30</v>
      </c>
      <c r="D29" s="37">
        <v>7</v>
      </c>
      <c r="E29" s="37">
        <v>1</v>
      </c>
      <c r="F29" s="37">
        <v>0</v>
      </c>
    </row>
    <row r="30" spans="1:6" x14ac:dyDescent="0.3">
      <c r="A30" s="12">
        <v>76</v>
      </c>
      <c r="B30" s="2" t="s">
        <v>32</v>
      </c>
      <c r="C30" s="37">
        <v>21</v>
      </c>
      <c r="D30" s="37">
        <v>1</v>
      </c>
      <c r="E30" s="37">
        <v>0</v>
      </c>
      <c r="F30" s="37">
        <v>0</v>
      </c>
    </row>
    <row r="31" spans="1:6" x14ac:dyDescent="0.3">
      <c r="A31" s="12">
        <v>79</v>
      </c>
      <c r="B31" s="2" t="s">
        <v>33</v>
      </c>
      <c r="C31" s="37">
        <v>40</v>
      </c>
      <c r="D31" s="37">
        <v>9</v>
      </c>
      <c r="E31" s="37">
        <v>0</v>
      </c>
      <c r="F31" s="37">
        <v>0</v>
      </c>
    </row>
    <row r="32" spans="1:6" x14ac:dyDescent="0.3">
      <c r="A32" s="12">
        <v>80</v>
      </c>
      <c r="B32" s="2" t="s">
        <v>34</v>
      </c>
      <c r="C32" s="37">
        <v>23</v>
      </c>
      <c r="D32" s="37">
        <v>2</v>
      </c>
      <c r="E32" s="37">
        <v>0</v>
      </c>
      <c r="F32" s="37">
        <v>0</v>
      </c>
    </row>
    <row r="33" spans="1:10" x14ac:dyDescent="0.3">
      <c r="A33" s="12">
        <v>81</v>
      </c>
      <c r="B33" s="2" t="s">
        <v>35</v>
      </c>
      <c r="C33" s="37">
        <v>16</v>
      </c>
      <c r="D33" s="37">
        <v>3</v>
      </c>
      <c r="E33" s="37">
        <v>3</v>
      </c>
      <c r="F33" s="37">
        <v>0</v>
      </c>
    </row>
    <row r="34" spans="1:10" x14ac:dyDescent="0.3">
      <c r="A34" s="12">
        <v>83</v>
      </c>
      <c r="B34" s="2" t="s">
        <v>36</v>
      </c>
      <c r="C34" s="37">
        <v>8</v>
      </c>
      <c r="D34" s="37">
        <v>1</v>
      </c>
      <c r="E34" s="37">
        <v>0</v>
      </c>
      <c r="F34" s="37">
        <v>0</v>
      </c>
    </row>
    <row r="35" spans="1:10" x14ac:dyDescent="0.3">
      <c r="A35" s="12">
        <v>84</v>
      </c>
      <c r="B35" s="2" t="s">
        <v>37</v>
      </c>
      <c r="C35" s="37">
        <v>11</v>
      </c>
      <c r="D35" s="37">
        <v>3</v>
      </c>
      <c r="E35" s="37">
        <v>0</v>
      </c>
      <c r="F35" s="37">
        <v>0</v>
      </c>
    </row>
    <row r="36" spans="1:10" ht="14" x14ac:dyDescent="0.3">
      <c r="A36" s="12">
        <v>85</v>
      </c>
      <c r="B36" s="2" t="s">
        <v>38</v>
      </c>
      <c r="C36" s="37">
        <v>20</v>
      </c>
      <c r="D36" s="37">
        <v>3</v>
      </c>
      <c r="E36" s="37">
        <v>0</v>
      </c>
      <c r="F36" s="37">
        <v>0</v>
      </c>
      <c r="G36" s="11"/>
    </row>
    <row r="37" spans="1:10" ht="14" x14ac:dyDescent="0.3">
      <c r="A37" s="12">
        <v>87</v>
      </c>
      <c r="B37" s="2" t="s">
        <v>39</v>
      </c>
      <c r="C37" s="37">
        <v>14</v>
      </c>
      <c r="D37" s="37">
        <v>1</v>
      </c>
      <c r="E37" s="37">
        <v>0</v>
      </c>
      <c r="F37" s="37">
        <v>0</v>
      </c>
      <c r="H37" s="11"/>
      <c r="I37" s="11"/>
    </row>
    <row r="38" spans="1:10" x14ac:dyDescent="0.3">
      <c r="A38" s="12">
        <v>90</v>
      </c>
      <c r="B38" s="2" t="s">
        <v>40</v>
      </c>
      <c r="C38" s="37">
        <v>15</v>
      </c>
      <c r="D38" s="37">
        <v>2</v>
      </c>
      <c r="E38" s="37">
        <v>0</v>
      </c>
      <c r="F38" s="37">
        <v>0</v>
      </c>
    </row>
    <row r="39" spans="1:10" x14ac:dyDescent="0.3">
      <c r="A39" s="12">
        <v>91</v>
      </c>
      <c r="B39" s="2" t="s">
        <v>41</v>
      </c>
      <c r="C39" s="37">
        <v>27</v>
      </c>
      <c r="D39" s="37">
        <v>4</v>
      </c>
      <c r="E39" s="37">
        <v>0</v>
      </c>
      <c r="F39" s="37">
        <v>0</v>
      </c>
    </row>
    <row r="40" spans="1:10" x14ac:dyDescent="0.3">
      <c r="A40" s="12">
        <v>92</v>
      </c>
      <c r="B40" s="2" t="s">
        <v>42</v>
      </c>
      <c r="C40" s="37">
        <v>19</v>
      </c>
      <c r="D40" s="37">
        <v>2</v>
      </c>
      <c r="E40" s="37">
        <v>0</v>
      </c>
      <c r="F40" s="37">
        <v>0</v>
      </c>
    </row>
    <row r="41" spans="1:10" x14ac:dyDescent="0.3">
      <c r="A41" s="12">
        <v>94</v>
      </c>
      <c r="B41" s="2" t="s">
        <v>43</v>
      </c>
      <c r="C41" s="37">
        <v>13</v>
      </c>
      <c r="D41" s="37">
        <v>3</v>
      </c>
      <c r="E41" s="37">
        <v>0</v>
      </c>
      <c r="F41" s="37">
        <v>0</v>
      </c>
    </row>
    <row r="42" spans="1:10" ht="14" x14ac:dyDescent="0.3">
      <c r="A42" s="12">
        <v>96</v>
      </c>
      <c r="B42" s="2" t="s">
        <v>44</v>
      </c>
      <c r="C42" s="37">
        <v>16</v>
      </c>
      <c r="D42" s="37">
        <v>2</v>
      </c>
      <c r="E42" s="37">
        <v>1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v>218</v>
      </c>
      <c r="D44" s="42">
        <v>50</v>
      </c>
      <c r="E44" s="42">
        <v>6</v>
      </c>
      <c r="F44" s="42">
        <v>0</v>
      </c>
    </row>
    <row r="45" spans="1:10" x14ac:dyDescent="0.3">
      <c r="A45" s="12">
        <v>66</v>
      </c>
      <c r="B45" s="2" t="s">
        <v>48</v>
      </c>
      <c r="C45" s="37">
        <v>19</v>
      </c>
      <c r="D45" s="37">
        <v>3</v>
      </c>
      <c r="E45" s="37">
        <v>0</v>
      </c>
      <c r="F45" s="37">
        <v>0</v>
      </c>
    </row>
    <row r="46" spans="1:10" x14ac:dyDescent="0.3">
      <c r="A46" s="12">
        <v>78</v>
      </c>
      <c r="B46" s="2" t="s">
        <v>49</v>
      </c>
      <c r="C46" s="37">
        <v>6</v>
      </c>
      <c r="D46" s="37">
        <v>1</v>
      </c>
      <c r="E46" s="37">
        <v>0</v>
      </c>
      <c r="F46" s="37">
        <v>0</v>
      </c>
    </row>
    <row r="47" spans="1:10" x14ac:dyDescent="0.3">
      <c r="A47" s="12">
        <v>89</v>
      </c>
      <c r="B47" s="2" t="s">
        <v>50</v>
      </c>
      <c r="C47" s="37">
        <v>24</v>
      </c>
      <c r="D47" s="37">
        <v>2</v>
      </c>
      <c r="E47" s="37">
        <v>3</v>
      </c>
      <c r="F47" s="37">
        <v>0</v>
      </c>
    </row>
    <row r="48" spans="1:10" x14ac:dyDescent="0.3">
      <c r="A48" s="12">
        <v>93</v>
      </c>
      <c r="B48" s="2" t="s">
        <v>51</v>
      </c>
      <c r="C48" s="37">
        <v>15</v>
      </c>
      <c r="D48" s="37">
        <v>4</v>
      </c>
      <c r="E48" s="37">
        <v>2</v>
      </c>
      <c r="F48" s="37">
        <v>0</v>
      </c>
    </row>
    <row r="49" spans="1:6" x14ac:dyDescent="0.3">
      <c r="A49" s="12">
        <v>95</v>
      </c>
      <c r="B49" s="2" t="s">
        <v>52</v>
      </c>
      <c r="C49" s="37">
        <v>41</v>
      </c>
      <c r="D49" s="37">
        <v>5</v>
      </c>
      <c r="E49" s="37">
        <v>1</v>
      </c>
      <c r="F49" s="37">
        <v>0</v>
      </c>
    </row>
    <row r="50" spans="1:6" x14ac:dyDescent="0.3">
      <c r="A50" s="12">
        <v>97</v>
      </c>
      <c r="B50" s="2" t="s">
        <v>53</v>
      </c>
      <c r="C50" s="36">
        <v>45</v>
      </c>
      <c r="D50" s="37">
        <v>11</v>
      </c>
      <c r="E50" s="37">
        <v>0</v>
      </c>
      <c r="F50" s="37">
        <v>0</v>
      </c>
    </row>
    <row r="51" spans="1:6" x14ac:dyDescent="0.3">
      <c r="A51" s="12">
        <v>77</v>
      </c>
      <c r="B51" s="43" t="s">
        <v>54</v>
      </c>
      <c r="C51" s="45">
        <v>68</v>
      </c>
      <c r="D51" s="45">
        <v>24</v>
      </c>
      <c r="E51" s="45">
        <v>0</v>
      </c>
      <c r="F51" s="45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53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FF0000"/>
  </sheetPr>
  <dimension ref="A1:F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31.7265625" style="2" customWidth="1"/>
    <col min="3" max="4" width="15.26953125" style="2" customWidth="1"/>
    <col min="5" max="5" width="16.54296875" style="2" customWidth="1"/>
    <col min="6" max="6" width="15" style="2" customWidth="1"/>
    <col min="7" max="256" width="9.26953125" style="2"/>
    <col min="257" max="257" width="0" style="2" hidden="1" customWidth="1"/>
    <col min="258" max="258" width="31.7265625" style="2" customWidth="1"/>
    <col min="259" max="260" width="15.26953125" style="2" customWidth="1"/>
    <col min="261" max="261" width="16.54296875" style="2" customWidth="1"/>
    <col min="262" max="262" width="15" style="2" customWidth="1"/>
    <col min="263" max="512" width="9.26953125" style="2"/>
    <col min="513" max="513" width="0" style="2" hidden="1" customWidth="1"/>
    <col min="514" max="514" width="31.7265625" style="2" customWidth="1"/>
    <col min="515" max="516" width="15.26953125" style="2" customWidth="1"/>
    <col min="517" max="517" width="16.54296875" style="2" customWidth="1"/>
    <col min="518" max="518" width="15" style="2" customWidth="1"/>
    <col min="519" max="768" width="9.26953125" style="2"/>
    <col min="769" max="769" width="0" style="2" hidden="1" customWidth="1"/>
    <col min="770" max="770" width="31.7265625" style="2" customWidth="1"/>
    <col min="771" max="772" width="15.26953125" style="2" customWidth="1"/>
    <col min="773" max="773" width="16.54296875" style="2" customWidth="1"/>
    <col min="774" max="774" width="15" style="2" customWidth="1"/>
    <col min="775" max="1024" width="9.26953125" style="2"/>
    <col min="1025" max="1025" width="0" style="2" hidden="1" customWidth="1"/>
    <col min="1026" max="1026" width="31.7265625" style="2" customWidth="1"/>
    <col min="1027" max="1028" width="15.26953125" style="2" customWidth="1"/>
    <col min="1029" max="1029" width="16.54296875" style="2" customWidth="1"/>
    <col min="1030" max="1030" width="15" style="2" customWidth="1"/>
    <col min="1031" max="1280" width="9.26953125" style="2"/>
    <col min="1281" max="1281" width="0" style="2" hidden="1" customWidth="1"/>
    <col min="1282" max="1282" width="31.7265625" style="2" customWidth="1"/>
    <col min="1283" max="1284" width="15.26953125" style="2" customWidth="1"/>
    <col min="1285" max="1285" width="16.54296875" style="2" customWidth="1"/>
    <col min="1286" max="1286" width="15" style="2" customWidth="1"/>
    <col min="1287" max="1536" width="9.26953125" style="2"/>
    <col min="1537" max="1537" width="0" style="2" hidden="1" customWidth="1"/>
    <col min="1538" max="1538" width="31.7265625" style="2" customWidth="1"/>
    <col min="1539" max="1540" width="15.26953125" style="2" customWidth="1"/>
    <col min="1541" max="1541" width="16.54296875" style="2" customWidth="1"/>
    <col min="1542" max="1542" width="15" style="2" customWidth="1"/>
    <col min="1543" max="1792" width="9.26953125" style="2"/>
    <col min="1793" max="1793" width="0" style="2" hidden="1" customWidth="1"/>
    <col min="1794" max="1794" width="31.7265625" style="2" customWidth="1"/>
    <col min="1795" max="1796" width="15.26953125" style="2" customWidth="1"/>
    <col min="1797" max="1797" width="16.54296875" style="2" customWidth="1"/>
    <col min="1798" max="1798" width="15" style="2" customWidth="1"/>
    <col min="1799" max="2048" width="9.26953125" style="2"/>
    <col min="2049" max="2049" width="0" style="2" hidden="1" customWidth="1"/>
    <col min="2050" max="2050" width="31.7265625" style="2" customWidth="1"/>
    <col min="2051" max="2052" width="15.26953125" style="2" customWidth="1"/>
    <col min="2053" max="2053" width="16.54296875" style="2" customWidth="1"/>
    <col min="2054" max="2054" width="15" style="2" customWidth="1"/>
    <col min="2055" max="2304" width="9.26953125" style="2"/>
    <col min="2305" max="2305" width="0" style="2" hidden="1" customWidth="1"/>
    <col min="2306" max="2306" width="31.7265625" style="2" customWidth="1"/>
    <col min="2307" max="2308" width="15.26953125" style="2" customWidth="1"/>
    <col min="2309" max="2309" width="16.54296875" style="2" customWidth="1"/>
    <col min="2310" max="2310" width="15" style="2" customWidth="1"/>
    <col min="2311" max="2560" width="9.26953125" style="2"/>
    <col min="2561" max="2561" width="0" style="2" hidden="1" customWidth="1"/>
    <col min="2562" max="2562" width="31.7265625" style="2" customWidth="1"/>
    <col min="2563" max="2564" width="15.26953125" style="2" customWidth="1"/>
    <col min="2565" max="2565" width="16.54296875" style="2" customWidth="1"/>
    <col min="2566" max="2566" width="15" style="2" customWidth="1"/>
    <col min="2567" max="2816" width="9.26953125" style="2"/>
    <col min="2817" max="2817" width="0" style="2" hidden="1" customWidth="1"/>
    <col min="2818" max="2818" width="31.7265625" style="2" customWidth="1"/>
    <col min="2819" max="2820" width="15.26953125" style="2" customWidth="1"/>
    <col min="2821" max="2821" width="16.54296875" style="2" customWidth="1"/>
    <col min="2822" max="2822" width="15" style="2" customWidth="1"/>
    <col min="2823" max="3072" width="9.26953125" style="2"/>
    <col min="3073" max="3073" width="0" style="2" hidden="1" customWidth="1"/>
    <col min="3074" max="3074" width="31.7265625" style="2" customWidth="1"/>
    <col min="3075" max="3076" width="15.26953125" style="2" customWidth="1"/>
    <col min="3077" max="3077" width="16.54296875" style="2" customWidth="1"/>
    <col min="3078" max="3078" width="15" style="2" customWidth="1"/>
    <col min="3079" max="3328" width="9.26953125" style="2"/>
    <col min="3329" max="3329" width="0" style="2" hidden="1" customWidth="1"/>
    <col min="3330" max="3330" width="31.7265625" style="2" customWidth="1"/>
    <col min="3331" max="3332" width="15.26953125" style="2" customWidth="1"/>
    <col min="3333" max="3333" width="16.54296875" style="2" customWidth="1"/>
    <col min="3334" max="3334" width="15" style="2" customWidth="1"/>
    <col min="3335" max="3584" width="9.26953125" style="2"/>
    <col min="3585" max="3585" width="0" style="2" hidden="1" customWidth="1"/>
    <col min="3586" max="3586" width="31.7265625" style="2" customWidth="1"/>
    <col min="3587" max="3588" width="15.26953125" style="2" customWidth="1"/>
    <col min="3589" max="3589" width="16.54296875" style="2" customWidth="1"/>
    <col min="3590" max="3590" width="15" style="2" customWidth="1"/>
    <col min="3591" max="3840" width="9.26953125" style="2"/>
    <col min="3841" max="3841" width="0" style="2" hidden="1" customWidth="1"/>
    <col min="3842" max="3842" width="31.7265625" style="2" customWidth="1"/>
    <col min="3843" max="3844" width="15.26953125" style="2" customWidth="1"/>
    <col min="3845" max="3845" width="16.54296875" style="2" customWidth="1"/>
    <col min="3846" max="3846" width="15" style="2" customWidth="1"/>
    <col min="3847" max="4096" width="9.26953125" style="2"/>
    <col min="4097" max="4097" width="0" style="2" hidden="1" customWidth="1"/>
    <col min="4098" max="4098" width="31.7265625" style="2" customWidth="1"/>
    <col min="4099" max="4100" width="15.26953125" style="2" customWidth="1"/>
    <col min="4101" max="4101" width="16.54296875" style="2" customWidth="1"/>
    <col min="4102" max="4102" width="15" style="2" customWidth="1"/>
    <col min="4103" max="4352" width="9.26953125" style="2"/>
    <col min="4353" max="4353" width="0" style="2" hidden="1" customWidth="1"/>
    <col min="4354" max="4354" width="31.7265625" style="2" customWidth="1"/>
    <col min="4355" max="4356" width="15.26953125" style="2" customWidth="1"/>
    <col min="4357" max="4357" width="16.54296875" style="2" customWidth="1"/>
    <col min="4358" max="4358" width="15" style="2" customWidth="1"/>
    <col min="4359" max="4608" width="9.26953125" style="2"/>
    <col min="4609" max="4609" width="0" style="2" hidden="1" customWidth="1"/>
    <col min="4610" max="4610" width="31.7265625" style="2" customWidth="1"/>
    <col min="4611" max="4612" width="15.26953125" style="2" customWidth="1"/>
    <col min="4613" max="4613" width="16.54296875" style="2" customWidth="1"/>
    <col min="4614" max="4614" width="15" style="2" customWidth="1"/>
    <col min="4615" max="4864" width="9.26953125" style="2"/>
    <col min="4865" max="4865" width="0" style="2" hidden="1" customWidth="1"/>
    <col min="4866" max="4866" width="31.7265625" style="2" customWidth="1"/>
    <col min="4867" max="4868" width="15.26953125" style="2" customWidth="1"/>
    <col min="4869" max="4869" width="16.54296875" style="2" customWidth="1"/>
    <col min="4870" max="4870" width="15" style="2" customWidth="1"/>
    <col min="4871" max="5120" width="9.26953125" style="2"/>
    <col min="5121" max="5121" width="0" style="2" hidden="1" customWidth="1"/>
    <col min="5122" max="5122" width="31.7265625" style="2" customWidth="1"/>
    <col min="5123" max="5124" width="15.26953125" style="2" customWidth="1"/>
    <col min="5125" max="5125" width="16.54296875" style="2" customWidth="1"/>
    <col min="5126" max="5126" width="15" style="2" customWidth="1"/>
    <col min="5127" max="5376" width="9.26953125" style="2"/>
    <col min="5377" max="5377" width="0" style="2" hidden="1" customWidth="1"/>
    <col min="5378" max="5378" width="31.7265625" style="2" customWidth="1"/>
    <col min="5379" max="5380" width="15.26953125" style="2" customWidth="1"/>
    <col min="5381" max="5381" width="16.54296875" style="2" customWidth="1"/>
    <col min="5382" max="5382" width="15" style="2" customWidth="1"/>
    <col min="5383" max="5632" width="9.26953125" style="2"/>
    <col min="5633" max="5633" width="0" style="2" hidden="1" customWidth="1"/>
    <col min="5634" max="5634" width="31.7265625" style="2" customWidth="1"/>
    <col min="5635" max="5636" width="15.26953125" style="2" customWidth="1"/>
    <col min="5637" max="5637" width="16.54296875" style="2" customWidth="1"/>
    <col min="5638" max="5638" width="15" style="2" customWidth="1"/>
    <col min="5639" max="5888" width="9.26953125" style="2"/>
    <col min="5889" max="5889" width="0" style="2" hidden="1" customWidth="1"/>
    <col min="5890" max="5890" width="31.7265625" style="2" customWidth="1"/>
    <col min="5891" max="5892" width="15.26953125" style="2" customWidth="1"/>
    <col min="5893" max="5893" width="16.54296875" style="2" customWidth="1"/>
    <col min="5894" max="5894" width="15" style="2" customWidth="1"/>
    <col min="5895" max="6144" width="9.26953125" style="2"/>
    <col min="6145" max="6145" width="0" style="2" hidden="1" customWidth="1"/>
    <col min="6146" max="6146" width="31.7265625" style="2" customWidth="1"/>
    <col min="6147" max="6148" width="15.26953125" style="2" customWidth="1"/>
    <col min="6149" max="6149" width="16.54296875" style="2" customWidth="1"/>
    <col min="6150" max="6150" width="15" style="2" customWidth="1"/>
    <col min="6151" max="6400" width="9.26953125" style="2"/>
    <col min="6401" max="6401" width="0" style="2" hidden="1" customWidth="1"/>
    <col min="6402" max="6402" width="31.7265625" style="2" customWidth="1"/>
    <col min="6403" max="6404" width="15.26953125" style="2" customWidth="1"/>
    <col min="6405" max="6405" width="16.54296875" style="2" customWidth="1"/>
    <col min="6406" max="6406" width="15" style="2" customWidth="1"/>
    <col min="6407" max="6656" width="9.26953125" style="2"/>
    <col min="6657" max="6657" width="0" style="2" hidden="1" customWidth="1"/>
    <col min="6658" max="6658" width="31.7265625" style="2" customWidth="1"/>
    <col min="6659" max="6660" width="15.26953125" style="2" customWidth="1"/>
    <col min="6661" max="6661" width="16.54296875" style="2" customWidth="1"/>
    <col min="6662" max="6662" width="15" style="2" customWidth="1"/>
    <col min="6663" max="6912" width="9.26953125" style="2"/>
    <col min="6913" max="6913" width="0" style="2" hidden="1" customWidth="1"/>
    <col min="6914" max="6914" width="31.7265625" style="2" customWidth="1"/>
    <col min="6915" max="6916" width="15.26953125" style="2" customWidth="1"/>
    <col min="6917" max="6917" width="16.54296875" style="2" customWidth="1"/>
    <col min="6918" max="6918" width="15" style="2" customWidth="1"/>
    <col min="6919" max="7168" width="9.26953125" style="2"/>
    <col min="7169" max="7169" width="0" style="2" hidden="1" customWidth="1"/>
    <col min="7170" max="7170" width="31.7265625" style="2" customWidth="1"/>
    <col min="7171" max="7172" width="15.26953125" style="2" customWidth="1"/>
    <col min="7173" max="7173" width="16.54296875" style="2" customWidth="1"/>
    <col min="7174" max="7174" width="15" style="2" customWidth="1"/>
    <col min="7175" max="7424" width="9.26953125" style="2"/>
    <col min="7425" max="7425" width="0" style="2" hidden="1" customWidth="1"/>
    <col min="7426" max="7426" width="31.7265625" style="2" customWidth="1"/>
    <col min="7427" max="7428" width="15.26953125" style="2" customWidth="1"/>
    <col min="7429" max="7429" width="16.54296875" style="2" customWidth="1"/>
    <col min="7430" max="7430" width="15" style="2" customWidth="1"/>
    <col min="7431" max="7680" width="9.26953125" style="2"/>
    <col min="7681" max="7681" width="0" style="2" hidden="1" customWidth="1"/>
    <col min="7682" max="7682" width="31.7265625" style="2" customWidth="1"/>
    <col min="7683" max="7684" width="15.26953125" style="2" customWidth="1"/>
    <col min="7685" max="7685" width="16.54296875" style="2" customWidth="1"/>
    <col min="7686" max="7686" width="15" style="2" customWidth="1"/>
    <col min="7687" max="7936" width="9.26953125" style="2"/>
    <col min="7937" max="7937" width="0" style="2" hidden="1" customWidth="1"/>
    <col min="7938" max="7938" width="31.7265625" style="2" customWidth="1"/>
    <col min="7939" max="7940" width="15.26953125" style="2" customWidth="1"/>
    <col min="7941" max="7941" width="16.54296875" style="2" customWidth="1"/>
    <col min="7942" max="7942" width="15" style="2" customWidth="1"/>
    <col min="7943" max="8192" width="9.26953125" style="2"/>
    <col min="8193" max="8193" width="0" style="2" hidden="1" customWidth="1"/>
    <col min="8194" max="8194" width="31.7265625" style="2" customWidth="1"/>
    <col min="8195" max="8196" width="15.26953125" style="2" customWidth="1"/>
    <col min="8197" max="8197" width="16.54296875" style="2" customWidth="1"/>
    <col min="8198" max="8198" width="15" style="2" customWidth="1"/>
    <col min="8199" max="8448" width="9.26953125" style="2"/>
    <col min="8449" max="8449" width="0" style="2" hidden="1" customWidth="1"/>
    <col min="8450" max="8450" width="31.7265625" style="2" customWidth="1"/>
    <col min="8451" max="8452" width="15.26953125" style="2" customWidth="1"/>
    <col min="8453" max="8453" width="16.54296875" style="2" customWidth="1"/>
    <col min="8454" max="8454" width="15" style="2" customWidth="1"/>
    <col min="8455" max="8704" width="9.26953125" style="2"/>
    <col min="8705" max="8705" width="0" style="2" hidden="1" customWidth="1"/>
    <col min="8706" max="8706" width="31.7265625" style="2" customWidth="1"/>
    <col min="8707" max="8708" width="15.26953125" style="2" customWidth="1"/>
    <col min="8709" max="8709" width="16.54296875" style="2" customWidth="1"/>
    <col min="8710" max="8710" width="15" style="2" customWidth="1"/>
    <col min="8711" max="8960" width="9.26953125" style="2"/>
    <col min="8961" max="8961" width="0" style="2" hidden="1" customWidth="1"/>
    <col min="8962" max="8962" width="31.7265625" style="2" customWidth="1"/>
    <col min="8963" max="8964" width="15.26953125" style="2" customWidth="1"/>
    <col min="8965" max="8965" width="16.54296875" style="2" customWidth="1"/>
    <col min="8966" max="8966" width="15" style="2" customWidth="1"/>
    <col min="8967" max="9216" width="9.26953125" style="2"/>
    <col min="9217" max="9217" width="0" style="2" hidden="1" customWidth="1"/>
    <col min="9218" max="9218" width="31.7265625" style="2" customWidth="1"/>
    <col min="9219" max="9220" width="15.26953125" style="2" customWidth="1"/>
    <col min="9221" max="9221" width="16.54296875" style="2" customWidth="1"/>
    <col min="9222" max="9222" width="15" style="2" customWidth="1"/>
    <col min="9223" max="9472" width="9.26953125" style="2"/>
    <col min="9473" max="9473" width="0" style="2" hidden="1" customWidth="1"/>
    <col min="9474" max="9474" width="31.7265625" style="2" customWidth="1"/>
    <col min="9475" max="9476" width="15.26953125" style="2" customWidth="1"/>
    <col min="9477" max="9477" width="16.54296875" style="2" customWidth="1"/>
    <col min="9478" max="9478" width="15" style="2" customWidth="1"/>
    <col min="9479" max="9728" width="9.26953125" style="2"/>
    <col min="9729" max="9729" width="0" style="2" hidden="1" customWidth="1"/>
    <col min="9730" max="9730" width="31.7265625" style="2" customWidth="1"/>
    <col min="9731" max="9732" width="15.26953125" style="2" customWidth="1"/>
    <col min="9733" max="9733" width="16.54296875" style="2" customWidth="1"/>
    <col min="9734" max="9734" width="15" style="2" customWidth="1"/>
    <col min="9735" max="9984" width="9.26953125" style="2"/>
    <col min="9985" max="9985" width="0" style="2" hidden="1" customWidth="1"/>
    <col min="9986" max="9986" width="31.7265625" style="2" customWidth="1"/>
    <col min="9987" max="9988" width="15.26953125" style="2" customWidth="1"/>
    <col min="9989" max="9989" width="16.54296875" style="2" customWidth="1"/>
    <col min="9990" max="9990" width="15" style="2" customWidth="1"/>
    <col min="9991" max="10240" width="9.26953125" style="2"/>
    <col min="10241" max="10241" width="0" style="2" hidden="1" customWidth="1"/>
    <col min="10242" max="10242" width="31.7265625" style="2" customWidth="1"/>
    <col min="10243" max="10244" width="15.26953125" style="2" customWidth="1"/>
    <col min="10245" max="10245" width="16.54296875" style="2" customWidth="1"/>
    <col min="10246" max="10246" width="15" style="2" customWidth="1"/>
    <col min="10247" max="10496" width="9.26953125" style="2"/>
    <col min="10497" max="10497" width="0" style="2" hidden="1" customWidth="1"/>
    <col min="10498" max="10498" width="31.7265625" style="2" customWidth="1"/>
    <col min="10499" max="10500" width="15.26953125" style="2" customWidth="1"/>
    <col min="10501" max="10501" width="16.54296875" style="2" customWidth="1"/>
    <col min="10502" max="10502" width="15" style="2" customWidth="1"/>
    <col min="10503" max="10752" width="9.26953125" style="2"/>
    <col min="10753" max="10753" width="0" style="2" hidden="1" customWidth="1"/>
    <col min="10754" max="10754" width="31.7265625" style="2" customWidth="1"/>
    <col min="10755" max="10756" width="15.26953125" style="2" customWidth="1"/>
    <col min="10757" max="10757" width="16.54296875" style="2" customWidth="1"/>
    <col min="10758" max="10758" width="15" style="2" customWidth="1"/>
    <col min="10759" max="11008" width="9.26953125" style="2"/>
    <col min="11009" max="11009" width="0" style="2" hidden="1" customWidth="1"/>
    <col min="11010" max="11010" width="31.7265625" style="2" customWidth="1"/>
    <col min="11011" max="11012" width="15.26953125" style="2" customWidth="1"/>
    <col min="11013" max="11013" width="16.54296875" style="2" customWidth="1"/>
    <col min="11014" max="11014" width="15" style="2" customWidth="1"/>
    <col min="11015" max="11264" width="9.26953125" style="2"/>
    <col min="11265" max="11265" width="0" style="2" hidden="1" customWidth="1"/>
    <col min="11266" max="11266" width="31.7265625" style="2" customWidth="1"/>
    <col min="11267" max="11268" width="15.26953125" style="2" customWidth="1"/>
    <col min="11269" max="11269" width="16.54296875" style="2" customWidth="1"/>
    <col min="11270" max="11270" width="15" style="2" customWidth="1"/>
    <col min="11271" max="11520" width="9.26953125" style="2"/>
    <col min="11521" max="11521" width="0" style="2" hidden="1" customWidth="1"/>
    <col min="11522" max="11522" width="31.7265625" style="2" customWidth="1"/>
    <col min="11523" max="11524" width="15.26953125" style="2" customWidth="1"/>
    <col min="11525" max="11525" width="16.54296875" style="2" customWidth="1"/>
    <col min="11526" max="11526" width="15" style="2" customWidth="1"/>
    <col min="11527" max="11776" width="9.26953125" style="2"/>
    <col min="11777" max="11777" width="0" style="2" hidden="1" customWidth="1"/>
    <col min="11778" max="11778" width="31.7265625" style="2" customWidth="1"/>
    <col min="11779" max="11780" width="15.26953125" style="2" customWidth="1"/>
    <col min="11781" max="11781" width="16.54296875" style="2" customWidth="1"/>
    <col min="11782" max="11782" width="15" style="2" customWidth="1"/>
    <col min="11783" max="12032" width="9.26953125" style="2"/>
    <col min="12033" max="12033" width="0" style="2" hidden="1" customWidth="1"/>
    <col min="12034" max="12034" width="31.7265625" style="2" customWidth="1"/>
    <col min="12035" max="12036" width="15.26953125" style="2" customWidth="1"/>
    <col min="12037" max="12037" width="16.54296875" style="2" customWidth="1"/>
    <col min="12038" max="12038" width="15" style="2" customWidth="1"/>
    <col min="12039" max="12288" width="9.26953125" style="2"/>
    <col min="12289" max="12289" width="0" style="2" hidden="1" customWidth="1"/>
    <col min="12290" max="12290" width="31.7265625" style="2" customWidth="1"/>
    <col min="12291" max="12292" width="15.26953125" style="2" customWidth="1"/>
    <col min="12293" max="12293" width="16.54296875" style="2" customWidth="1"/>
    <col min="12294" max="12294" width="15" style="2" customWidth="1"/>
    <col min="12295" max="12544" width="9.26953125" style="2"/>
    <col min="12545" max="12545" width="0" style="2" hidden="1" customWidth="1"/>
    <col min="12546" max="12546" width="31.7265625" style="2" customWidth="1"/>
    <col min="12547" max="12548" width="15.26953125" style="2" customWidth="1"/>
    <col min="12549" max="12549" width="16.54296875" style="2" customWidth="1"/>
    <col min="12550" max="12550" width="15" style="2" customWidth="1"/>
    <col min="12551" max="12800" width="9.26953125" style="2"/>
    <col min="12801" max="12801" width="0" style="2" hidden="1" customWidth="1"/>
    <col min="12802" max="12802" width="31.7265625" style="2" customWidth="1"/>
    <col min="12803" max="12804" width="15.26953125" style="2" customWidth="1"/>
    <col min="12805" max="12805" width="16.54296875" style="2" customWidth="1"/>
    <col min="12806" max="12806" width="15" style="2" customWidth="1"/>
    <col min="12807" max="13056" width="9.26953125" style="2"/>
    <col min="13057" max="13057" width="0" style="2" hidden="1" customWidth="1"/>
    <col min="13058" max="13058" width="31.7265625" style="2" customWidth="1"/>
    <col min="13059" max="13060" width="15.26953125" style="2" customWidth="1"/>
    <col min="13061" max="13061" width="16.54296875" style="2" customWidth="1"/>
    <col min="13062" max="13062" width="15" style="2" customWidth="1"/>
    <col min="13063" max="13312" width="9.26953125" style="2"/>
    <col min="13313" max="13313" width="0" style="2" hidden="1" customWidth="1"/>
    <col min="13314" max="13314" width="31.7265625" style="2" customWidth="1"/>
    <col min="13315" max="13316" width="15.26953125" style="2" customWidth="1"/>
    <col min="13317" max="13317" width="16.54296875" style="2" customWidth="1"/>
    <col min="13318" max="13318" width="15" style="2" customWidth="1"/>
    <col min="13319" max="13568" width="9.26953125" style="2"/>
    <col min="13569" max="13569" width="0" style="2" hidden="1" customWidth="1"/>
    <col min="13570" max="13570" width="31.7265625" style="2" customWidth="1"/>
    <col min="13571" max="13572" width="15.26953125" style="2" customWidth="1"/>
    <col min="13573" max="13573" width="16.54296875" style="2" customWidth="1"/>
    <col min="13574" max="13574" width="15" style="2" customWidth="1"/>
    <col min="13575" max="13824" width="9.26953125" style="2"/>
    <col min="13825" max="13825" width="0" style="2" hidden="1" customWidth="1"/>
    <col min="13826" max="13826" width="31.7265625" style="2" customWidth="1"/>
    <col min="13827" max="13828" width="15.26953125" style="2" customWidth="1"/>
    <col min="13829" max="13829" width="16.54296875" style="2" customWidth="1"/>
    <col min="13830" max="13830" width="15" style="2" customWidth="1"/>
    <col min="13831" max="14080" width="9.26953125" style="2"/>
    <col min="14081" max="14081" width="0" style="2" hidden="1" customWidth="1"/>
    <col min="14082" max="14082" width="31.7265625" style="2" customWidth="1"/>
    <col min="14083" max="14084" width="15.26953125" style="2" customWidth="1"/>
    <col min="14085" max="14085" width="16.54296875" style="2" customWidth="1"/>
    <col min="14086" max="14086" width="15" style="2" customWidth="1"/>
    <col min="14087" max="14336" width="9.26953125" style="2"/>
    <col min="14337" max="14337" width="0" style="2" hidden="1" customWidth="1"/>
    <col min="14338" max="14338" width="31.7265625" style="2" customWidth="1"/>
    <col min="14339" max="14340" width="15.26953125" style="2" customWidth="1"/>
    <col min="14341" max="14341" width="16.54296875" style="2" customWidth="1"/>
    <col min="14342" max="14342" width="15" style="2" customWidth="1"/>
    <col min="14343" max="14592" width="9.26953125" style="2"/>
    <col min="14593" max="14593" width="0" style="2" hidden="1" customWidth="1"/>
    <col min="14594" max="14594" width="31.7265625" style="2" customWidth="1"/>
    <col min="14595" max="14596" width="15.26953125" style="2" customWidth="1"/>
    <col min="14597" max="14597" width="16.54296875" style="2" customWidth="1"/>
    <col min="14598" max="14598" width="15" style="2" customWidth="1"/>
    <col min="14599" max="14848" width="9.26953125" style="2"/>
    <col min="14849" max="14849" width="0" style="2" hidden="1" customWidth="1"/>
    <col min="14850" max="14850" width="31.7265625" style="2" customWidth="1"/>
    <col min="14851" max="14852" width="15.26953125" style="2" customWidth="1"/>
    <col min="14853" max="14853" width="16.54296875" style="2" customWidth="1"/>
    <col min="14854" max="14854" width="15" style="2" customWidth="1"/>
    <col min="14855" max="15104" width="9.26953125" style="2"/>
    <col min="15105" max="15105" width="0" style="2" hidden="1" customWidth="1"/>
    <col min="15106" max="15106" width="31.7265625" style="2" customWidth="1"/>
    <col min="15107" max="15108" width="15.26953125" style="2" customWidth="1"/>
    <col min="15109" max="15109" width="16.54296875" style="2" customWidth="1"/>
    <col min="15110" max="15110" width="15" style="2" customWidth="1"/>
    <col min="15111" max="15360" width="9.26953125" style="2"/>
    <col min="15361" max="15361" width="0" style="2" hidden="1" customWidth="1"/>
    <col min="15362" max="15362" width="31.7265625" style="2" customWidth="1"/>
    <col min="15363" max="15364" width="15.26953125" style="2" customWidth="1"/>
    <col min="15365" max="15365" width="16.54296875" style="2" customWidth="1"/>
    <col min="15366" max="15366" width="15" style="2" customWidth="1"/>
    <col min="15367" max="15616" width="9.26953125" style="2"/>
    <col min="15617" max="15617" width="0" style="2" hidden="1" customWidth="1"/>
    <col min="15618" max="15618" width="31.7265625" style="2" customWidth="1"/>
    <col min="15619" max="15620" width="15.26953125" style="2" customWidth="1"/>
    <col min="15621" max="15621" width="16.54296875" style="2" customWidth="1"/>
    <col min="15622" max="15622" width="15" style="2" customWidth="1"/>
    <col min="15623" max="15872" width="9.26953125" style="2"/>
    <col min="15873" max="15873" width="0" style="2" hidden="1" customWidth="1"/>
    <col min="15874" max="15874" width="31.7265625" style="2" customWidth="1"/>
    <col min="15875" max="15876" width="15.26953125" style="2" customWidth="1"/>
    <col min="15877" max="15877" width="16.54296875" style="2" customWidth="1"/>
    <col min="15878" max="15878" width="15" style="2" customWidth="1"/>
    <col min="15879" max="16128" width="9.26953125" style="2"/>
    <col min="16129" max="16129" width="0" style="2" hidden="1" customWidth="1"/>
    <col min="16130" max="16130" width="31.7265625" style="2" customWidth="1"/>
    <col min="16131" max="16132" width="15.26953125" style="2" customWidth="1"/>
    <col min="16133" max="16133" width="16.54296875" style="2" customWidth="1"/>
    <col min="16134" max="16134" width="15" style="2" customWidth="1"/>
    <col min="16135" max="16384" width="9.26953125" style="2"/>
  </cols>
  <sheetData>
    <row r="1" spans="1:6" ht="50.25" customHeight="1" x14ac:dyDescent="0.3">
      <c r="B1" s="316" t="s">
        <v>64</v>
      </c>
      <c r="C1" s="317"/>
      <c r="D1" s="317"/>
      <c r="E1" s="317"/>
      <c r="F1" s="318"/>
    </row>
    <row r="2" spans="1:6" ht="15.75" customHeight="1" x14ac:dyDescent="0.3">
      <c r="C2" s="300" t="s">
        <v>1</v>
      </c>
      <c r="D2" s="302" t="s">
        <v>2</v>
      </c>
      <c r="E2" s="302"/>
      <c r="F2" s="300" t="s">
        <v>5</v>
      </c>
    </row>
    <row r="3" spans="1:6" ht="39" customHeight="1" x14ac:dyDescent="0.3">
      <c r="A3" s="4"/>
      <c r="C3" s="301"/>
      <c r="D3" s="31" t="s">
        <v>3</v>
      </c>
      <c r="E3" s="31" t="s">
        <v>4</v>
      </c>
      <c r="F3" s="301"/>
    </row>
    <row r="4" spans="1:6" ht="28.5" customHeight="1" x14ac:dyDescent="0.3">
      <c r="A4" s="4"/>
      <c r="B4" s="11" t="s">
        <v>6</v>
      </c>
      <c r="C4" s="49">
        <v>619</v>
      </c>
      <c r="D4" s="49">
        <v>94</v>
      </c>
      <c r="E4" s="49">
        <v>15</v>
      </c>
      <c r="F4" s="49">
        <v>0</v>
      </c>
    </row>
    <row r="5" spans="1:6" s="41" customFormat="1" ht="26.25" customHeight="1" x14ac:dyDescent="0.3">
      <c r="A5" s="12"/>
      <c r="B5" s="11" t="s">
        <v>7</v>
      </c>
      <c r="C5" s="34">
        <v>433</v>
      </c>
      <c r="D5" s="34">
        <v>63</v>
      </c>
      <c r="E5" s="34">
        <v>11</v>
      </c>
      <c r="F5" s="34">
        <v>0</v>
      </c>
    </row>
    <row r="6" spans="1:6" x14ac:dyDescent="0.3">
      <c r="A6" s="12">
        <v>51</v>
      </c>
      <c r="B6" s="2" t="s">
        <v>8</v>
      </c>
      <c r="C6" s="36">
        <v>14</v>
      </c>
      <c r="D6" s="36">
        <v>0</v>
      </c>
      <c r="E6" s="36">
        <v>0</v>
      </c>
      <c r="F6" s="36">
        <v>0</v>
      </c>
    </row>
    <row r="7" spans="1:6" x14ac:dyDescent="0.3">
      <c r="A7" s="12">
        <v>52</v>
      </c>
      <c r="B7" s="2" t="s">
        <v>9</v>
      </c>
      <c r="C7" s="36">
        <v>14</v>
      </c>
      <c r="D7" s="36">
        <v>1</v>
      </c>
      <c r="E7" s="36">
        <v>0</v>
      </c>
      <c r="F7" s="36">
        <v>0</v>
      </c>
    </row>
    <row r="8" spans="1:6" x14ac:dyDescent="0.3">
      <c r="A8" s="12">
        <v>86</v>
      </c>
      <c r="B8" s="2" t="s">
        <v>10</v>
      </c>
      <c r="C8" s="36">
        <v>12</v>
      </c>
      <c r="D8" s="36">
        <v>2</v>
      </c>
      <c r="E8" s="36">
        <v>0</v>
      </c>
      <c r="F8" s="36">
        <v>0</v>
      </c>
    </row>
    <row r="9" spans="1:6" x14ac:dyDescent="0.3">
      <c r="A9" s="12">
        <v>53</v>
      </c>
      <c r="B9" s="2" t="s">
        <v>11</v>
      </c>
      <c r="C9" s="36">
        <v>4</v>
      </c>
      <c r="D9" s="36">
        <v>0</v>
      </c>
      <c r="E9" s="36">
        <v>0</v>
      </c>
      <c r="F9" s="36">
        <v>0</v>
      </c>
    </row>
    <row r="10" spans="1:6" x14ac:dyDescent="0.3">
      <c r="A10" s="12">
        <v>54</v>
      </c>
      <c r="B10" s="2" t="s">
        <v>12</v>
      </c>
      <c r="C10" s="36">
        <v>21</v>
      </c>
      <c r="D10" s="36">
        <v>3</v>
      </c>
      <c r="E10" s="36">
        <v>1</v>
      </c>
      <c r="F10" s="36">
        <v>0</v>
      </c>
    </row>
    <row r="11" spans="1:6" x14ac:dyDescent="0.3">
      <c r="A11" s="12">
        <v>55</v>
      </c>
      <c r="B11" s="2" t="s">
        <v>13</v>
      </c>
      <c r="C11" s="36">
        <v>9</v>
      </c>
      <c r="D11" s="36">
        <v>2</v>
      </c>
      <c r="E11" s="36">
        <v>0</v>
      </c>
      <c r="F11" s="36">
        <v>0</v>
      </c>
    </row>
    <row r="12" spans="1:6" x14ac:dyDescent="0.3">
      <c r="A12" s="12">
        <v>56</v>
      </c>
      <c r="B12" s="2" t="s">
        <v>14</v>
      </c>
      <c r="C12" s="36">
        <v>18</v>
      </c>
      <c r="D12" s="36">
        <v>0</v>
      </c>
      <c r="E12" s="36">
        <v>2</v>
      </c>
      <c r="F12" s="36">
        <v>0</v>
      </c>
    </row>
    <row r="13" spans="1:6" x14ac:dyDescent="0.3">
      <c r="A13" s="12">
        <v>57</v>
      </c>
      <c r="B13" s="2" t="s">
        <v>15</v>
      </c>
      <c r="C13" s="36">
        <v>5</v>
      </c>
      <c r="D13" s="36">
        <v>0</v>
      </c>
      <c r="E13" s="36">
        <v>0</v>
      </c>
      <c r="F13" s="36">
        <v>0</v>
      </c>
    </row>
    <row r="14" spans="1:6" x14ac:dyDescent="0.3">
      <c r="A14" s="12">
        <v>59</v>
      </c>
      <c r="B14" s="2" t="s">
        <v>16</v>
      </c>
      <c r="C14" s="36">
        <v>6</v>
      </c>
      <c r="D14" s="36">
        <v>1</v>
      </c>
      <c r="E14" s="36">
        <v>0</v>
      </c>
      <c r="F14" s="36">
        <v>0</v>
      </c>
    </row>
    <row r="15" spans="1:6" x14ac:dyDescent="0.3">
      <c r="A15" s="12">
        <v>60</v>
      </c>
      <c r="B15" s="2" t="s">
        <v>17</v>
      </c>
      <c r="C15" s="36">
        <v>8</v>
      </c>
      <c r="D15" s="36">
        <v>0</v>
      </c>
      <c r="E15" s="36">
        <v>0</v>
      </c>
      <c r="F15" s="36">
        <v>0</v>
      </c>
    </row>
    <row r="16" spans="1:6" x14ac:dyDescent="0.3">
      <c r="A16" s="12">
        <v>61</v>
      </c>
      <c r="B16" s="38" t="s">
        <v>18</v>
      </c>
      <c r="C16" s="36">
        <v>2</v>
      </c>
      <c r="D16" s="36">
        <v>0</v>
      </c>
      <c r="E16" s="36">
        <v>0</v>
      </c>
      <c r="F16" s="36">
        <v>0</v>
      </c>
    </row>
    <row r="17" spans="1:6" s="183" customFormat="1" x14ac:dyDescent="0.3">
      <c r="A17" s="12"/>
      <c r="B17" s="130" t="s">
        <v>122</v>
      </c>
      <c r="C17" s="163">
        <v>14</v>
      </c>
      <c r="D17" s="163">
        <v>4</v>
      </c>
      <c r="E17" s="163">
        <v>0</v>
      </c>
      <c r="F17" s="163">
        <v>0</v>
      </c>
    </row>
    <row r="18" spans="1:6" x14ac:dyDescent="0.3">
      <c r="A18" s="12">
        <v>58</v>
      </c>
      <c r="B18" s="2" t="s">
        <v>20</v>
      </c>
      <c r="C18" s="36">
        <v>2</v>
      </c>
      <c r="D18" s="36">
        <v>0</v>
      </c>
      <c r="E18" s="36">
        <v>0</v>
      </c>
      <c r="F18" s="36">
        <v>0</v>
      </c>
    </row>
    <row r="19" spans="1:6" x14ac:dyDescent="0.3">
      <c r="A19" s="12">
        <v>63</v>
      </c>
      <c r="B19" s="2" t="s">
        <v>21</v>
      </c>
      <c r="C19" s="36">
        <v>9</v>
      </c>
      <c r="D19" s="36">
        <v>1</v>
      </c>
      <c r="E19" s="36">
        <v>2</v>
      </c>
      <c r="F19" s="36">
        <v>0</v>
      </c>
    </row>
    <row r="20" spans="1:6" x14ac:dyDescent="0.3">
      <c r="A20" s="12">
        <v>64</v>
      </c>
      <c r="B20" s="2" t="s">
        <v>22</v>
      </c>
      <c r="C20" s="36">
        <v>35</v>
      </c>
      <c r="D20" s="36">
        <v>4</v>
      </c>
      <c r="E20" s="36">
        <v>1</v>
      </c>
      <c r="F20" s="36">
        <v>0</v>
      </c>
    </row>
    <row r="21" spans="1:6" x14ac:dyDescent="0.3">
      <c r="A21" s="12">
        <v>65</v>
      </c>
      <c r="B21" s="2" t="s">
        <v>23</v>
      </c>
      <c r="C21" s="36">
        <v>10</v>
      </c>
      <c r="D21" s="36">
        <v>3</v>
      </c>
      <c r="E21" s="36">
        <v>1</v>
      </c>
      <c r="F21" s="36">
        <v>0</v>
      </c>
    </row>
    <row r="22" spans="1:6" x14ac:dyDescent="0.3">
      <c r="A22" s="12">
        <v>67</v>
      </c>
      <c r="B22" s="2" t="s">
        <v>24</v>
      </c>
      <c r="C22" s="36">
        <v>20</v>
      </c>
      <c r="D22" s="36">
        <v>3</v>
      </c>
      <c r="E22" s="36">
        <v>1</v>
      </c>
      <c r="F22" s="36">
        <v>0</v>
      </c>
    </row>
    <row r="23" spans="1:6" x14ac:dyDescent="0.3">
      <c r="A23" s="12">
        <v>68</v>
      </c>
      <c r="B23" s="2" t="s">
        <v>25</v>
      </c>
      <c r="C23" s="36">
        <v>11</v>
      </c>
      <c r="D23" s="36">
        <v>1</v>
      </c>
      <c r="E23" s="36">
        <v>0</v>
      </c>
      <c r="F23" s="36">
        <v>0</v>
      </c>
    </row>
    <row r="24" spans="1:6" x14ac:dyDescent="0.3">
      <c r="A24" s="12">
        <v>69</v>
      </c>
      <c r="B24" s="2" t="s">
        <v>26</v>
      </c>
      <c r="C24" s="36">
        <v>15</v>
      </c>
      <c r="D24" s="36">
        <v>2</v>
      </c>
      <c r="E24" s="36">
        <v>1</v>
      </c>
      <c r="F24" s="36">
        <v>0</v>
      </c>
    </row>
    <row r="25" spans="1:6" x14ac:dyDescent="0.3">
      <c r="A25" s="12">
        <v>70</v>
      </c>
      <c r="B25" s="2" t="s">
        <v>27</v>
      </c>
      <c r="C25" s="36">
        <v>18</v>
      </c>
      <c r="D25" s="36">
        <v>3</v>
      </c>
      <c r="E25" s="36">
        <v>0</v>
      </c>
      <c r="F25" s="36">
        <v>0</v>
      </c>
    </row>
    <row r="26" spans="1:6" x14ac:dyDescent="0.3">
      <c r="A26" s="12">
        <v>71</v>
      </c>
      <c r="B26" s="39" t="s">
        <v>28</v>
      </c>
      <c r="C26" s="36">
        <v>1</v>
      </c>
      <c r="D26" s="36">
        <v>0</v>
      </c>
      <c r="E26" s="36">
        <v>0</v>
      </c>
      <c r="F26" s="36">
        <v>0</v>
      </c>
    </row>
    <row r="27" spans="1:6" x14ac:dyDescent="0.3">
      <c r="A27" s="12">
        <v>73</v>
      </c>
      <c r="B27" s="2" t="s">
        <v>29</v>
      </c>
      <c r="C27" s="40">
        <v>11</v>
      </c>
      <c r="D27" s="40">
        <v>4</v>
      </c>
      <c r="E27" s="40">
        <v>1</v>
      </c>
      <c r="F27" s="40">
        <v>0</v>
      </c>
    </row>
    <row r="28" spans="1:6" x14ac:dyDescent="0.3">
      <c r="A28" s="12">
        <v>74</v>
      </c>
      <c r="B28" s="2" t="s">
        <v>30</v>
      </c>
      <c r="C28" s="36">
        <v>14</v>
      </c>
      <c r="D28" s="36">
        <v>2</v>
      </c>
      <c r="E28" s="36">
        <v>0</v>
      </c>
      <c r="F28" s="36">
        <v>0</v>
      </c>
    </row>
    <row r="29" spans="1:6" x14ac:dyDescent="0.3">
      <c r="A29" s="12">
        <v>75</v>
      </c>
      <c r="B29" s="2" t="s">
        <v>31</v>
      </c>
      <c r="C29" s="36">
        <v>13</v>
      </c>
      <c r="D29" s="36">
        <v>1</v>
      </c>
      <c r="E29" s="36">
        <v>0</v>
      </c>
      <c r="F29" s="36">
        <v>0</v>
      </c>
    </row>
    <row r="30" spans="1:6" x14ac:dyDescent="0.3">
      <c r="A30" s="12">
        <v>76</v>
      </c>
      <c r="B30" s="2" t="s">
        <v>32</v>
      </c>
      <c r="C30" s="36">
        <v>13</v>
      </c>
      <c r="D30" s="36">
        <v>1</v>
      </c>
      <c r="E30" s="36">
        <v>0</v>
      </c>
      <c r="F30" s="36">
        <v>0</v>
      </c>
    </row>
    <row r="31" spans="1:6" x14ac:dyDescent="0.3">
      <c r="A31" s="12">
        <v>79</v>
      </c>
      <c r="B31" s="2" t="s">
        <v>33</v>
      </c>
      <c r="C31" s="36">
        <v>15</v>
      </c>
      <c r="D31" s="36">
        <v>1</v>
      </c>
      <c r="E31" s="36">
        <v>0</v>
      </c>
      <c r="F31" s="36">
        <v>0</v>
      </c>
    </row>
    <row r="32" spans="1:6" x14ac:dyDescent="0.3">
      <c r="A32" s="12">
        <v>80</v>
      </c>
      <c r="B32" s="2" t="s">
        <v>34</v>
      </c>
      <c r="C32" s="36">
        <v>11</v>
      </c>
      <c r="D32" s="36">
        <v>4</v>
      </c>
      <c r="E32" s="36">
        <v>0</v>
      </c>
      <c r="F32" s="36">
        <v>0</v>
      </c>
    </row>
    <row r="33" spans="1:6" x14ac:dyDescent="0.3">
      <c r="A33" s="12">
        <v>81</v>
      </c>
      <c r="B33" s="2" t="s">
        <v>35</v>
      </c>
      <c r="C33" s="36">
        <v>11</v>
      </c>
      <c r="D33" s="36">
        <v>1</v>
      </c>
      <c r="E33" s="36">
        <v>1</v>
      </c>
      <c r="F33" s="36">
        <v>0</v>
      </c>
    </row>
    <row r="34" spans="1:6" x14ac:dyDescent="0.3">
      <c r="A34" s="12">
        <v>83</v>
      </c>
      <c r="B34" s="2" t="s">
        <v>36</v>
      </c>
      <c r="C34" s="36">
        <v>3</v>
      </c>
      <c r="D34" s="36">
        <v>1</v>
      </c>
      <c r="E34" s="36">
        <v>0</v>
      </c>
      <c r="F34" s="36">
        <v>0</v>
      </c>
    </row>
    <row r="35" spans="1:6" x14ac:dyDescent="0.3">
      <c r="A35" s="12">
        <v>84</v>
      </c>
      <c r="B35" s="2" t="s">
        <v>37</v>
      </c>
      <c r="C35" s="36">
        <v>13</v>
      </c>
      <c r="D35" s="36">
        <v>4</v>
      </c>
      <c r="E35" s="36">
        <v>0</v>
      </c>
      <c r="F35" s="36">
        <v>0</v>
      </c>
    </row>
    <row r="36" spans="1:6" x14ac:dyDescent="0.3">
      <c r="A36" s="12">
        <v>85</v>
      </c>
      <c r="B36" s="2" t="s">
        <v>38</v>
      </c>
      <c r="C36" s="36">
        <v>8</v>
      </c>
      <c r="D36" s="36">
        <v>2</v>
      </c>
      <c r="E36" s="36">
        <v>0</v>
      </c>
      <c r="F36" s="36">
        <v>0</v>
      </c>
    </row>
    <row r="37" spans="1:6" x14ac:dyDescent="0.3">
      <c r="A37" s="12">
        <v>87</v>
      </c>
      <c r="B37" s="2" t="s">
        <v>39</v>
      </c>
      <c r="C37" s="36">
        <v>3</v>
      </c>
      <c r="D37" s="36">
        <v>1</v>
      </c>
      <c r="E37" s="36">
        <v>0</v>
      </c>
      <c r="F37" s="36">
        <v>0</v>
      </c>
    </row>
    <row r="38" spans="1:6" x14ac:dyDescent="0.3">
      <c r="A38" s="12">
        <v>90</v>
      </c>
      <c r="B38" s="2" t="s">
        <v>40</v>
      </c>
      <c r="C38" s="36">
        <v>23</v>
      </c>
      <c r="D38" s="36">
        <v>5</v>
      </c>
      <c r="E38" s="36">
        <v>0</v>
      </c>
      <c r="F38" s="36">
        <v>0</v>
      </c>
    </row>
    <row r="39" spans="1:6" x14ac:dyDescent="0.3">
      <c r="A39" s="12">
        <v>91</v>
      </c>
      <c r="B39" s="2" t="s">
        <v>41</v>
      </c>
      <c r="C39" s="36">
        <v>9</v>
      </c>
      <c r="D39" s="36">
        <v>1</v>
      </c>
      <c r="E39" s="36">
        <v>0</v>
      </c>
      <c r="F39" s="36">
        <v>0</v>
      </c>
    </row>
    <row r="40" spans="1:6" x14ac:dyDescent="0.3">
      <c r="A40" s="12">
        <v>92</v>
      </c>
      <c r="B40" s="2" t="s">
        <v>42</v>
      </c>
      <c r="C40" s="36">
        <v>19</v>
      </c>
      <c r="D40" s="36">
        <v>1</v>
      </c>
      <c r="E40" s="36">
        <v>0</v>
      </c>
      <c r="F40" s="36">
        <v>0</v>
      </c>
    </row>
    <row r="41" spans="1:6" x14ac:dyDescent="0.3">
      <c r="A41" s="12">
        <v>94</v>
      </c>
      <c r="B41" s="2" t="s">
        <v>43</v>
      </c>
      <c r="C41" s="36">
        <v>9</v>
      </c>
      <c r="D41" s="36">
        <v>3</v>
      </c>
      <c r="E41" s="36">
        <v>0</v>
      </c>
      <c r="F41" s="36">
        <v>0</v>
      </c>
    </row>
    <row r="42" spans="1:6" x14ac:dyDescent="0.3">
      <c r="A42" s="12">
        <v>96</v>
      </c>
      <c r="B42" s="2" t="s">
        <v>44</v>
      </c>
      <c r="C42" s="36">
        <v>10</v>
      </c>
      <c r="D42" s="36">
        <v>1</v>
      </c>
      <c r="E42" s="36">
        <v>0</v>
      </c>
      <c r="F42" s="36">
        <v>0</v>
      </c>
    </row>
    <row r="43" spans="1:6" x14ac:dyDescent="0.3">
      <c r="A43" s="12">
        <v>72</v>
      </c>
      <c r="B43" s="39" t="s">
        <v>46</v>
      </c>
      <c r="C43" s="36">
        <v>0</v>
      </c>
      <c r="D43" s="36">
        <v>0</v>
      </c>
      <c r="E43" s="36">
        <v>0</v>
      </c>
      <c r="F43" s="36">
        <v>0</v>
      </c>
    </row>
    <row r="44" spans="1:6" s="41" customFormat="1" ht="26.25" customHeight="1" x14ac:dyDescent="0.3">
      <c r="A44" s="1"/>
      <c r="B44" s="11" t="s">
        <v>47</v>
      </c>
      <c r="C44" s="34">
        <v>186</v>
      </c>
      <c r="D44" s="34">
        <v>31</v>
      </c>
      <c r="E44" s="34">
        <v>4</v>
      </c>
      <c r="F44" s="34">
        <v>0</v>
      </c>
    </row>
    <row r="45" spans="1:6" x14ac:dyDescent="0.3">
      <c r="A45" s="12">
        <v>66</v>
      </c>
      <c r="B45" s="2" t="s">
        <v>48</v>
      </c>
      <c r="C45" s="36">
        <v>24</v>
      </c>
      <c r="D45" s="36">
        <v>1</v>
      </c>
      <c r="E45" s="36">
        <v>0</v>
      </c>
      <c r="F45" s="36">
        <v>0</v>
      </c>
    </row>
    <row r="46" spans="1:6" x14ac:dyDescent="0.3">
      <c r="A46" s="12">
        <v>78</v>
      </c>
      <c r="B46" s="2" t="s">
        <v>49</v>
      </c>
      <c r="C46" s="37">
        <v>15</v>
      </c>
      <c r="D46" s="37">
        <v>3</v>
      </c>
      <c r="E46" s="37">
        <v>0</v>
      </c>
      <c r="F46" s="37">
        <v>0</v>
      </c>
    </row>
    <row r="47" spans="1:6" x14ac:dyDescent="0.3">
      <c r="A47" s="12">
        <v>89</v>
      </c>
      <c r="B47" s="2" t="s">
        <v>50</v>
      </c>
      <c r="C47" s="37">
        <v>24</v>
      </c>
      <c r="D47" s="37">
        <v>2</v>
      </c>
      <c r="E47" s="37">
        <v>3</v>
      </c>
      <c r="F47" s="37">
        <v>0</v>
      </c>
    </row>
    <row r="48" spans="1:6" x14ac:dyDescent="0.3">
      <c r="A48" s="12">
        <v>93</v>
      </c>
      <c r="B48" s="2" t="s">
        <v>51</v>
      </c>
      <c r="C48" s="37">
        <v>22</v>
      </c>
      <c r="D48" s="37">
        <v>5</v>
      </c>
      <c r="E48" s="37">
        <v>1</v>
      </c>
      <c r="F48" s="37">
        <v>0</v>
      </c>
    </row>
    <row r="49" spans="1:6" x14ac:dyDescent="0.3">
      <c r="A49" s="12">
        <v>95</v>
      </c>
      <c r="B49" s="2" t="s">
        <v>52</v>
      </c>
      <c r="C49" s="37">
        <v>36</v>
      </c>
      <c r="D49" s="37">
        <v>6</v>
      </c>
      <c r="E49" s="37">
        <v>0</v>
      </c>
      <c r="F49" s="37">
        <v>0</v>
      </c>
    </row>
    <row r="50" spans="1:6" x14ac:dyDescent="0.3">
      <c r="A50" s="12">
        <v>97</v>
      </c>
      <c r="B50" s="2" t="s">
        <v>53</v>
      </c>
      <c r="C50" s="37">
        <v>35</v>
      </c>
      <c r="D50" s="37">
        <v>7</v>
      </c>
      <c r="E50" s="37">
        <v>0</v>
      </c>
      <c r="F50" s="37">
        <v>0</v>
      </c>
    </row>
    <row r="51" spans="1:6" x14ac:dyDescent="0.3">
      <c r="A51" s="12">
        <v>77</v>
      </c>
      <c r="B51" s="43" t="s">
        <v>54</v>
      </c>
      <c r="C51" s="45">
        <v>30</v>
      </c>
      <c r="D51" s="45">
        <v>7</v>
      </c>
      <c r="E51" s="45">
        <v>0</v>
      </c>
      <c r="F51" s="45">
        <v>0</v>
      </c>
    </row>
    <row r="52" spans="1:6" x14ac:dyDescent="0.3">
      <c r="C52" s="25"/>
      <c r="D52" s="25"/>
      <c r="E52" s="25"/>
      <c r="F52" s="25"/>
    </row>
    <row r="53" spans="1:6" x14ac:dyDescent="0.3">
      <c r="B53" s="12" t="s">
        <v>55</v>
      </c>
    </row>
    <row r="54" spans="1:6" ht="23.25" customHeight="1" x14ac:dyDescent="0.3">
      <c r="B54" s="291" t="s">
        <v>65</v>
      </c>
      <c r="C54" s="292"/>
      <c r="D54" s="292"/>
      <c r="E54" s="292"/>
      <c r="F54" s="292"/>
    </row>
    <row r="55" spans="1:6" ht="15" customHeight="1" x14ac:dyDescent="0.3">
      <c r="B55" s="292"/>
      <c r="C55" s="292"/>
      <c r="D55" s="292"/>
      <c r="E55" s="292"/>
      <c r="F55" s="292"/>
    </row>
    <row r="56" spans="1:6" ht="13.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5.75" customHeight="1" x14ac:dyDescent="0.3">
      <c r="B58" s="292"/>
      <c r="C58" s="292"/>
      <c r="D58" s="292"/>
      <c r="E58" s="292"/>
      <c r="F58" s="292"/>
    </row>
    <row r="59" spans="1:6" ht="39" customHeight="1" x14ac:dyDescent="0.3">
      <c r="B59" s="292"/>
      <c r="C59" s="292"/>
      <c r="D59" s="292"/>
      <c r="E59" s="292"/>
      <c r="F59" s="292"/>
    </row>
    <row r="60" spans="1:6" ht="15" customHeight="1" x14ac:dyDescent="0.3">
      <c r="B60" s="53"/>
      <c r="C60" s="53"/>
      <c r="D60" s="53"/>
      <c r="E60" s="53"/>
      <c r="F60" s="53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FF0000"/>
  </sheetPr>
  <dimension ref="A1:K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2" customWidth="1"/>
    <col min="3" max="4" width="20" style="2" customWidth="1"/>
    <col min="5" max="5" width="15.26953125" style="2" customWidth="1"/>
    <col min="6" max="6" width="17.7265625" style="2" customWidth="1"/>
    <col min="7" max="256" width="9.26953125" style="2"/>
    <col min="257" max="257" width="0" style="2" hidden="1" customWidth="1"/>
    <col min="258" max="258" width="28.7265625" style="2" customWidth="1"/>
    <col min="259" max="260" width="20" style="2" customWidth="1"/>
    <col min="261" max="261" width="15.26953125" style="2" customWidth="1"/>
    <col min="262" max="262" width="17.7265625" style="2" customWidth="1"/>
    <col min="263" max="512" width="9.26953125" style="2"/>
    <col min="513" max="513" width="0" style="2" hidden="1" customWidth="1"/>
    <col min="514" max="514" width="28.7265625" style="2" customWidth="1"/>
    <col min="515" max="516" width="20" style="2" customWidth="1"/>
    <col min="517" max="517" width="15.26953125" style="2" customWidth="1"/>
    <col min="518" max="518" width="17.7265625" style="2" customWidth="1"/>
    <col min="519" max="768" width="9.26953125" style="2"/>
    <col min="769" max="769" width="0" style="2" hidden="1" customWidth="1"/>
    <col min="770" max="770" width="28.7265625" style="2" customWidth="1"/>
    <col min="771" max="772" width="20" style="2" customWidth="1"/>
    <col min="773" max="773" width="15.26953125" style="2" customWidth="1"/>
    <col min="774" max="774" width="17.7265625" style="2" customWidth="1"/>
    <col min="775" max="1024" width="9.26953125" style="2"/>
    <col min="1025" max="1025" width="0" style="2" hidden="1" customWidth="1"/>
    <col min="1026" max="1026" width="28.7265625" style="2" customWidth="1"/>
    <col min="1027" max="1028" width="20" style="2" customWidth="1"/>
    <col min="1029" max="1029" width="15.26953125" style="2" customWidth="1"/>
    <col min="1030" max="1030" width="17.7265625" style="2" customWidth="1"/>
    <col min="1031" max="1280" width="9.26953125" style="2"/>
    <col min="1281" max="1281" width="0" style="2" hidden="1" customWidth="1"/>
    <col min="1282" max="1282" width="28.7265625" style="2" customWidth="1"/>
    <col min="1283" max="1284" width="20" style="2" customWidth="1"/>
    <col min="1285" max="1285" width="15.26953125" style="2" customWidth="1"/>
    <col min="1286" max="1286" width="17.7265625" style="2" customWidth="1"/>
    <col min="1287" max="1536" width="9.26953125" style="2"/>
    <col min="1537" max="1537" width="0" style="2" hidden="1" customWidth="1"/>
    <col min="1538" max="1538" width="28.7265625" style="2" customWidth="1"/>
    <col min="1539" max="1540" width="20" style="2" customWidth="1"/>
    <col min="1541" max="1541" width="15.26953125" style="2" customWidth="1"/>
    <col min="1542" max="1542" width="17.7265625" style="2" customWidth="1"/>
    <col min="1543" max="1792" width="9.26953125" style="2"/>
    <col min="1793" max="1793" width="0" style="2" hidden="1" customWidth="1"/>
    <col min="1794" max="1794" width="28.7265625" style="2" customWidth="1"/>
    <col min="1795" max="1796" width="20" style="2" customWidth="1"/>
    <col min="1797" max="1797" width="15.26953125" style="2" customWidth="1"/>
    <col min="1798" max="1798" width="17.7265625" style="2" customWidth="1"/>
    <col min="1799" max="2048" width="9.26953125" style="2"/>
    <col min="2049" max="2049" width="0" style="2" hidden="1" customWidth="1"/>
    <col min="2050" max="2050" width="28.7265625" style="2" customWidth="1"/>
    <col min="2051" max="2052" width="20" style="2" customWidth="1"/>
    <col min="2053" max="2053" width="15.26953125" style="2" customWidth="1"/>
    <col min="2054" max="2054" width="17.7265625" style="2" customWidth="1"/>
    <col min="2055" max="2304" width="9.26953125" style="2"/>
    <col min="2305" max="2305" width="0" style="2" hidden="1" customWidth="1"/>
    <col min="2306" max="2306" width="28.7265625" style="2" customWidth="1"/>
    <col min="2307" max="2308" width="20" style="2" customWidth="1"/>
    <col min="2309" max="2309" width="15.26953125" style="2" customWidth="1"/>
    <col min="2310" max="2310" width="17.7265625" style="2" customWidth="1"/>
    <col min="2311" max="2560" width="9.26953125" style="2"/>
    <col min="2561" max="2561" width="0" style="2" hidden="1" customWidth="1"/>
    <col min="2562" max="2562" width="28.7265625" style="2" customWidth="1"/>
    <col min="2563" max="2564" width="20" style="2" customWidth="1"/>
    <col min="2565" max="2565" width="15.26953125" style="2" customWidth="1"/>
    <col min="2566" max="2566" width="17.7265625" style="2" customWidth="1"/>
    <col min="2567" max="2816" width="9.26953125" style="2"/>
    <col min="2817" max="2817" width="0" style="2" hidden="1" customWidth="1"/>
    <col min="2818" max="2818" width="28.7265625" style="2" customWidth="1"/>
    <col min="2819" max="2820" width="20" style="2" customWidth="1"/>
    <col min="2821" max="2821" width="15.26953125" style="2" customWidth="1"/>
    <col min="2822" max="2822" width="17.7265625" style="2" customWidth="1"/>
    <col min="2823" max="3072" width="9.26953125" style="2"/>
    <col min="3073" max="3073" width="0" style="2" hidden="1" customWidth="1"/>
    <col min="3074" max="3074" width="28.7265625" style="2" customWidth="1"/>
    <col min="3075" max="3076" width="20" style="2" customWidth="1"/>
    <col min="3077" max="3077" width="15.26953125" style="2" customWidth="1"/>
    <col min="3078" max="3078" width="17.7265625" style="2" customWidth="1"/>
    <col min="3079" max="3328" width="9.26953125" style="2"/>
    <col min="3329" max="3329" width="0" style="2" hidden="1" customWidth="1"/>
    <col min="3330" max="3330" width="28.7265625" style="2" customWidth="1"/>
    <col min="3331" max="3332" width="20" style="2" customWidth="1"/>
    <col min="3333" max="3333" width="15.26953125" style="2" customWidth="1"/>
    <col min="3334" max="3334" width="17.7265625" style="2" customWidth="1"/>
    <col min="3335" max="3584" width="9.26953125" style="2"/>
    <col min="3585" max="3585" width="0" style="2" hidden="1" customWidth="1"/>
    <col min="3586" max="3586" width="28.7265625" style="2" customWidth="1"/>
    <col min="3587" max="3588" width="20" style="2" customWidth="1"/>
    <col min="3589" max="3589" width="15.26953125" style="2" customWidth="1"/>
    <col min="3590" max="3590" width="17.7265625" style="2" customWidth="1"/>
    <col min="3591" max="3840" width="9.26953125" style="2"/>
    <col min="3841" max="3841" width="0" style="2" hidden="1" customWidth="1"/>
    <col min="3842" max="3842" width="28.7265625" style="2" customWidth="1"/>
    <col min="3843" max="3844" width="20" style="2" customWidth="1"/>
    <col min="3845" max="3845" width="15.26953125" style="2" customWidth="1"/>
    <col min="3846" max="3846" width="17.7265625" style="2" customWidth="1"/>
    <col min="3847" max="4096" width="9.26953125" style="2"/>
    <col min="4097" max="4097" width="0" style="2" hidden="1" customWidth="1"/>
    <col min="4098" max="4098" width="28.7265625" style="2" customWidth="1"/>
    <col min="4099" max="4100" width="20" style="2" customWidth="1"/>
    <col min="4101" max="4101" width="15.26953125" style="2" customWidth="1"/>
    <col min="4102" max="4102" width="17.7265625" style="2" customWidth="1"/>
    <col min="4103" max="4352" width="9.26953125" style="2"/>
    <col min="4353" max="4353" width="0" style="2" hidden="1" customWidth="1"/>
    <col min="4354" max="4354" width="28.7265625" style="2" customWidth="1"/>
    <col min="4355" max="4356" width="20" style="2" customWidth="1"/>
    <col min="4357" max="4357" width="15.26953125" style="2" customWidth="1"/>
    <col min="4358" max="4358" width="17.7265625" style="2" customWidth="1"/>
    <col min="4359" max="4608" width="9.26953125" style="2"/>
    <col min="4609" max="4609" width="0" style="2" hidden="1" customWidth="1"/>
    <col min="4610" max="4610" width="28.7265625" style="2" customWidth="1"/>
    <col min="4611" max="4612" width="20" style="2" customWidth="1"/>
    <col min="4613" max="4613" width="15.26953125" style="2" customWidth="1"/>
    <col min="4614" max="4614" width="17.7265625" style="2" customWidth="1"/>
    <col min="4615" max="4864" width="9.26953125" style="2"/>
    <col min="4865" max="4865" width="0" style="2" hidden="1" customWidth="1"/>
    <col min="4866" max="4866" width="28.7265625" style="2" customWidth="1"/>
    <col min="4867" max="4868" width="20" style="2" customWidth="1"/>
    <col min="4869" max="4869" width="15.26953125" style="2" customWidth="1"/>
    <col min="4870" max="4870" width="17.7265625" style="2" customWidth="1"/>
    <col min="4871" max="5120" width="9.26953125" style="2"/>
    <col min="5121" max="5121" width="0" style="2" hidden="1" customWidth="1"/>
    <col min="5122" max="5122" width="28.7265625" style="2" customWidth="1"/>
    <col min="5123" max="5124" width="20" style="2" customWidth="1"/>
    <col min="5125" max="5125" width="15.26953125" style="2" customWidth="1"/>
    <col min="5126" max="5126" width="17.7265625" style="2" customWidth="1"/>
    <col min="5127" max="5376" width="9.26953125" style="2"/>
    <col min="5377" max="5377" width="0" style="2" hidden="1" customWidth="1"/>
    <col min="5378" max="5378" width="28.7265625" style="2" customWidth="1"/>
    <col min="5379" max="5380" width="20" style="2" customWidth="1"/>
    <col min="5381" max="5381" width="15.26953125" style="2" customWidth="1"/>
    <col min="5382" max="5382" width="17.7265625" style="2" customWidth="1"/>
    <col min="5383" max="5632" width="9.26953125" style="2"/>
    <col min="5633" max="5633" width="0" style="2" hidden="1" customWidth="1"/>
    <col min="5634" max="5634" width="28.7265625" style="2" customWidth="1"/>
    <col min="5635" max="5636" width="20" style="2" customWidth="1"/>
    <col min="5637" max="5637" width="15.26953125" style="2" customWidth="1"/>
    <col min="5638" max="5638" width="17.7265625" style="2" customWidth="1"/>
    <col min="5639" max="5888" width="9.26953125" style="2"/>
    <col min="5889" max="5889" width="0" style="2" hidden="1" customWidth="1"/>
    <col min="5890" max="5890" width="28.7265625" style="2" customWidth="1"/>
    <col min="5891" max="5892" width="20" style="2" customWidth="1"/>
    <col min="5893" max="5893" width="15.26953125" style="2" customWidth="1"/>
    <col min="5894" max="5894" width="17.7265625" style="2" customWidth="1"/>
    <col min="5895" max="6144" width="9.26953125" style="2"/>
    <col min="6145" max="6145" width="0" style="2" hidden="1" customWidth="1"/>
    <col min="6146" max="6146" width="28.7265625" style="2" customWidth="1"/>
    <col min="6147" max="6148" width="20" style="2" customWidth="1"/>
    <col min="6149" max="6149" width="15.26953125" style="2" customWidth="1"/>
    <col min="6150" max="6150" width="17.7265625" style="2" customWidth="1"/>
    <col min="6151" max="6400" width="9.26953125" style="2"/>
    <col min="6401" max="6401" width="0" style="2" hidden="1" customWidth="1"/>
    <col min="6402" max="6402" width="28.7265625" style="2" customWidth="1"/>
    <col min="6403" max="6404" width="20" style="2" customWidth="1"/>
    <col min="6405" max="6405" width="15.26953125" style="2" customWidth="1"/>
    <col min="6406" max="6406" width="17.7265625" style="2" customWidth="1"/>
    <col min="6407" max="6656" width="9.26953125" style="2"/>
    <col min="6657" max="6657" width="0" style="2" hidden="1" customWidth="1"/>
    <col min="6658" max="6658" width="28.7265625" style="2" customWidth="1"/>
    <col min="6659" max="6660" width="20" style="2" customWidth="1"/>
    <col min="6661" max="6661" width="15.26953125" style="2" customWidth="1"/>
    <col min="6662" max="6662" width="17.7265625" style="2" customWidth="1"/>
    <col min="6663" max="6912" width="9.26953125" style="2"/>
    <col min="6913" max="6913" width="0" style="2" hidden="1" customWidth="1"/>
    <col min="6914" max="6914" width="28.7265625" style="2" customWidth="1"/>
    <col min="6915" max="6916" width="20" style="2" customWidth="1"/>
    <col min="6917" max="6917" width="15.26953125" style="2" customWidth="1"/>
    <col min="6918" max="6918" width="17.7265625" style="2" customWidth="1"/>
    <col min="6919" max="7168" width="9.26953125" style="2"/>
    <col min="7169" max="7169" width="0" style="2" hidden="1" customWidth="1"/>
    <col min="7170" max="7170" width="28.7265625" style="2" customWidth="1"/>
    <col min="7171" max="7172" width="20" style="2" customWidth="1"/>
    <col min="7173" max="7173" width="15.26953125" style="2" customWidth="1"/>
    <col min="7174" max="7174" width="17.7265625" style="2" customWidth="1"/>
    <col min="7175" max="7424" width="9.26953125" style="2"/>
    <col min="7425" max="7425" width="0" style="2" hidden="1" customWidth="1"/>
    <col min="7426" max="7426" width="28.7265625" style="2" customWidth="1"/>
    <col min="7427" max="7428" width="20" style="2" customWidth="1"/>
    <col min="7429" max="7429" width="15.26953125" style="2" customWidth="1"/>
    <col min="7430" max="7430" width="17.7265625" style="2" customWidth="1"/>
    <col min="7431" max="7680" width="9.26953125" style="2"/>
    <col min="7681" max="7681" width="0" style="2" hidden="1" customWidth="1"/>
    <col min="7682" max="7682" width="28.7265625" style="2" customWidth="1"/>
    <col min="7683" max="7684" width="20" style="2" customWidth="1"/>
    <col min="7685" max="7685" width="15.26953125" style="2" customWidth="1"/>
    <col min="7686" max="7686" width="17.7265625" style="2" customWidth="1"/>
    <col min="7687" max="7936" width="9.26953125" style="2"/>
    <col min="7937" max="7937" width="0" style="2" hidden="1" customWidth="1"/>
    <col min="7938" max="7938" width="28.7265625" style="2" customWidth="1"/>
    <col min="7939" max="7940" width="20" style="2" customWidth="1"/>
    <col min="7941" max="7941" width="15.26953125" style="2" customWidth="1"/>
    <col min="7942" max="7942" width="17.7265625" style="2" customWidth="1"/>
    <col min="7943" max="8192" width="9.26953125" style="2"/>
    <col min="8193" max="8193" width="0" style="2" hidden="1" customWidth="1"/>
    <col min="8194" max="8194" width="28.7265625" style="2" customWidth="1"/>
    <col min="8195" max="8196" width="20" style="2" customWidth="1"/>
    <col min="8197" max="8197" width="15.26953125" style="2" customWidth="1"/>
    <col min="8198" max="8198" width="17.7265625" style="2" customWidth="1"/>
    <col min="8199" max="8448" width="9.26953125" style="2"/>
    <col min="8449" max="8449" width="0" style="2" hidden="1" customWidth="1"/>
    <col min="8450" max="8450" width="28.7265625" style="2" customWidth="1"/>
    <col min="8451" max="8452" width="20" style="2" customWidth="1"/>
    <col min="8453" max="8453" width="15.26953125" style="2" customWidth="1"/>
    <col min="8454" max="8454" width="17.7265625" style="2" customWidth="1"/>
    <col min="8455" max="8704" width="9.26953125" style="2"/>
    <col min="8705" max="8705" width="0" style="2" hidden="1" customWidth="1"/>
    <col min="8706" max="8706" width="28.7265625" style="2" customWidth="1"/>
    <col min="8707" max="8708" width="20" style="2" customWidth="1"/>
    <col min="8709" max="8709" width="15.26953125" style="2" customWidth="1"/>
    <col min="8710" max="8710" width="17.7265625" style="2" customWidth="1"/>
    <col min="8711" max="8960" width="9.26953125" style="2"/>
    <col min="8961" max="8961" width="0" style="2" hidden="1" customWidth="1"/>
    <col min="8962" max="8962" width="28.7265625" style="2" customWidth="1"/>
    <col min="8963" max="8964" width="20" style="2" customWidth="1"/>
    <col min="8965" max="8965" width="15.26953125" style="2" customWidth="1"/>
    <col min="8966" max="8966" width="17.7265625" style="2" customWidth="1"/>
    <col min="8967" max="9216" width="9.26953125" style="2"/>
    <col min="9217" max="9217" width="0" style="2" hidden="1" customWidth="1"/>
    <col min="9218" max="9218" width="28.7265625" style="2" customWidth="1"/>
    <col min="9219" max="9220" width="20" style="2" customWidth="1"/>
    <col min="9221" max="9221" width="15.26953125" style="2" customWidth="1"/>
    <col min="9222" max="9222" width="17.7265625" style="2" customWidth="1"/>
    <col min="9223" max="9472" width="9.26953125" style="2"/>
    <col min="9473" max="9473" width="0" style="2" hidden="1" customWidth="1"/>
    <col min="9474" max="9474" width="28.7265625" style="2" customWidth="1"/>
    <col min="9475" max="9476" width="20" style="2" customWidth="1"/>
    <col min="9477" max="9477" width="15.26953125" style="2" customWidth="1"/>
    <col min="9478" max="9478" width="17.7265625" style="2" customWidth="1"/>
    <col min="9479" max="9728" width="9.26953125" style="2"/>
    <col min="9729" max="9729" width="0" style="2" hidden="1" customWidth="1"/>
    <col min="9730" max="9730" width="28.7265625" style="2" customWidth="1"/>
    <col min="9731" max="9732" width="20" style="2" customWidth="1"/>
    <col min="9733" max="9733" width="15.26953125" style="2" customWidth="1"/>
    <col min="9734" max="9734" width="17.7265625" style="2" customWidth="1"/>
    <col min="9735" max="9984" width="9.26953125" style="2"/>
    <col min="9985" max="9985" width="0" style="2" hidden="1" customWidth="1"/>
    <col min="9986" max="9986" width="28.7265625" style="2" customWidth="1"/>
    <col min="9987" max="9988" width="20" style="2" customWidth="1"/>
    <col min="9989" max="9989" width="15.26953125" style="2" customWidth="1"/>
    <col min="9990" max="9990" width="17.7265625" style="2" customWidth="1"/>
    <col min="9991" max="10240" width="9.26953125" style="2"/>
    <col min="10241" max="10241" width="0" style="2" hidden="1" customWidth="1"/>
    <col min="10242" max="10242" width="28.7265625" style="2" customWidth="1"/>
    <col min="10243" max="10244" width="20" style="2" customWidth="1"/>
    <col min="10245" max="10245" width="15.26953125" style="2" customWidth="1"/>
    <col min="10246" max="10246" width="17.7265625" style="2" customWidth="1"/>
    <col min="10247" max="10496" width="9.26953125" style="2"/>
    <col min="10497" max="10497" width="0" style="2" hidden="1" customWidth="1"/>
    <col min="10498" max="10498" width="28.7265625" style="2" customWidth="1"/>
    <col min="10499" max="10500" width="20" style="2" customWidth="1"/>
    <col min="10501" max="10501" width="15.26953125" style="2" customWidth="1"/>
    <col min="10502" max="10502" width="17.7265625" style="2" customWidth="1"/>
    <col min="10503" max="10752" width="9.26953125" style="2"/>
    <col min="10753" max="10753" width="0" style="2" hidden="1" customWidth="1"/>
    <col min="10754" max="10754" width="28.7265625" style="2" customWidth="1"/>
    <col min="10755" max="10756" width="20" style="2" customWidth="1"/>
    <col min="10757" max="10757" width="15.26953125" style="2" customWidth="1"/>
    <col min="10758" max="10758" width="17.7265625" style="2" customWidth="1"/>
    <col min="10759" max="11008" width="9.26953125" style="2"/>
    <col min="11009" max="11009" width="0" style="2" hidden="1" customWidth="1"/>
    <col min="11010" max="11010" width="28.7265625" style="2" customWidth="1"/>
    <col min="11011" max="11012" width="20" style="2" customWidth="1"/>
    <col min="11013" max="11013" width="15.26953125" style="2" customWidth="1"/>
    <col min="11014" max="11014" width="17.7265625" style="2" customWidth="1"/>
    <col min="11015" max="11264" width="9.26953125" style="2"/>
    <col min="11265" max="11265" width="0" style="2" hidden="1" customWidth="1"/>
    <col min="11266" max="11266" width="28.7265625" style="2" customWidth="1"/>
    <col min="11267" max="11268" width="20" style="2" customWidth="1"/>
    <col min="11269" max="11269" width="15.26953125" style="2" customWidth="1"/>
    <col min="11270" max="11270" width="17.7265625" style="2" customWidth="1"/>
    <col min="11271" max="11520" width="9.26953125" style="2"/>
    <col min="11521" max="11521" width="0" style="2" hidden="1" customWidth="1"/>
    <col min="11522" max="11522" width="28.7265625" style="2" customWidth="1"/>
    <col min="11523" max="11524" width="20" style="2" customWidth="1"/>
    <col min="11525" max="11525" width="15.26953125" style="2" customWidth="1"/>
    <col min="11526" max="11526" width="17.7265625" style="2" customWidth="1"/>
    <col min="11527" max="11776" width="9.26953125" style="2"/>
    <col min="11777" max="11777" width="0" style="2" hidden="1" customWidth="1"/>
    <col min="11778" max="11778" width="28.7265625" style="2" customWidth="1"/>
    <col min="11779" max="11780" width="20" style="2" customWidth="1"/>
    <col min="11781" max="11781" width="15.26953125" style="2" customWidth="1"/>
    <col min="11782" max="11782" width="17.7265625" style="2" customWidth="1"/>
    <col min="11783" max="12032" width="9.26953125" style="2"/>
    <col min="12033" max="12033" width="0" style="2" hidden="1" customWidth="1"/>
    <col min="12034" max="12034" width="28.7265625" style="2" customWidth="1"/>
    <col min="12035" max="12036" width="20" style="2" customWidth="1"/>
    <col min="12037" max="12037" width="15.26953125" style="2" customWidth="1"/>
    <col min="12038" max="12038" width="17.7265625" style="2" customWidth="1"/>
    <col min="12039" max="12288" width="9.26953125" style="2"/>
    <col min="12289" max="12289" width="0" style="2" hidden="1" customWidth="1"/>
    <col min="12290" max="12290" width="28.7265625" style="2" customWidth="1"/>
    <col min="12291" max="12292" width="20" style="2" customWidth="1"/>
    <col min="12293" max="12293" width="15.26953125" style="2" customWidth="1"/>
    <col min="12294" max="12294" width="17.7265625" style="2" customWidth="1"/>
    <col min="12295" max="12544" width="9.26953125" style="2"/>
    <col min="12545" max="12545" width="0" style="2" hidden="1" customWidth="1"/>
    <col min="12546" max="12546" width="28.7265625" style="2" customWidth="1"/>
    <col min="12547" max="12548" width="20" style="2" customWidth="1"/>
    <col min="12549" max="12549" width="15.26953125" style="2" customWidth="1"/>
    <col min="12550" max="12550" width="17.7265625" style="2" customWidth="1"/>
    <col min="12551" max="12800" width="9.26953125" style="2"/>
    <col min="12801" max="12801" width="0" style="2" hidden="1" customWidth="1"/>
    <col min="12802" max="12802" width="28.7265625" style="2" customWidth="1"/>
    <col min="12803" max="12804" width="20" style="2" customWidth="1"/>
    <col min="12805" max="12805" width="15.26953125" style="2" customWidth="1"/>
    <col min="12806" max="12806" width="17.7265625" style="2" customWidth="1"/>
    <col min="12807" max="13056" width="9.26953125" style="2"/>
    <col min="13057" max="13057" width="0" style="2" hidden="1" customWidth="1"/>
    <col min="13058" max="13058" width="28.7265625" style="2" customWidth="1"/>
    <col min="13059" max="13060" width="20" style="2" customWidth="1"/>
    <col min="13061" max="13061" width="15.26953125" style="2" customWidth="1"/>
    <col min="13062" max="13062" width="17.7265625" style="2" customWidth="1"/>
    <col min="13063" max="13312" width="9.26953125" style="2"/>
    <col min="13313" max="13313" width="0" style="2" hidden="1" customWidth="1"/>
    <col min="13314" max="13314" width="28.7265625" style="2" customWidth="1"/>
    <col min="13315" max="13316" width="20" style="2" customWidth="1"/>
    <col min="13317" max="13317" width="15.26953125" style="2" customWidth="1"/>
    <col min="13318" max="13318" width="17.7265625" style="2" customWidth="1"/>
    <col min="13319" max="13568" width="9.26953125" style="2"/>
    <col min="13569" max="13569" width="0" style="2" hidden="1" customWidth="1"/>
    <col min="13570" max="13570" width="28.7265625" style="2" customWidth="1"/>
    <col min="13571" max="13572" width="20" style="2" customWidth="1"/>
    <col min="13573" max="13573" width="15.26953125" style="2" customWidth="1"/>
    <col min="13574" max="13574" width="17.7265625" style="2" customWidth="1"/>
    <col min="13575" max="13824" width="9.26953125" style="2"/>
    <col min="13825" max="13825" width="0" style="2" hidden="1" customWidth="1"/>
    <col min="13826" max="13826" width="28.7265625" style="2" customWidth="1"/>
    <col min="13827" max="13828" width="20" style="2" customWidth="1"/>
    <col min="13829" max="13829" width="15.26953125" style="2" customWidth="1"/>
    <col min="13830" max="13830" width="17.7265625" style="2" customWidth="1"/>
    <col min="13831" max="14080" width="9.26953125" style="2"/>
    <col min="14081" max="14081" width="0" style="2" hidden="1" customWidth="1"/>
    <col min="14082" max="14082" width="28.7265625" style="2" customWidth="1"/>
    <col min="14083" max="14084" width="20" style="2" customWidth="1"/>
    <col min="14085" max="14085" width="15.26953125" style="2" customWidth="1"/>
    <col min="14086" max="14086" width="17.7265625" style="2" customWidth="1"/>
    <col min="14087" max="14336" width="9.26953125" style="2"/>
    <col min="14337" max="14337" width="0" style="2" hidden="1" customWidth="1"/>
    <col min="14338" max="14338" width="28.7265625" style="2" customWidth="1"/>
    <col min="14339" max="14340" width="20" style="2" customWidth="1"/>
    <col min="14341" max="14341" width="15.26953125" style="2" customWidth="1"/>
    <col min="14342" max="14342" width="17.7265625" style="2" customWidth="1"/>
    <col min="14343" max="14592" width="9.26953125" style="2"/>
    <col min="14593" max="14593" width="0" style="2" hidden="1" customWidth="1"/>
    <col min="14594" max="14594" width="28.7265625" style="2" customWidth="1"/>
    <col min="14595" max="14596" width="20" style="2" customWidth="1"/>
    <col min="14597" max="14597" width="15.26953125" style="2" customWidth="1"/>
    <col min="14598" max="14598" width="17.7265625" style="2" customWidth="1"/>
    <col min="14599" max="14848" width="9.26953125" style="2"/>
    <col min="14849" max="14849" width="0" style="2" hidden="1" customWidth="1"/>
    <col min="14850" max="14850" width="28.7265625" style="2" customWidth="1"/>
    <col min="14851" max="14852" width="20" style="2" customWidth="1"/>
    <col min="14853" max="14853" width="15.26953125" style="2" customWidth="1"/>
    <col min="14854" max="14854" width="17.7265625" style="2" customWidth="1"/>
    <col min="14855" max="15104" width="9.26953125" style="2"/>
    <col min="15105" max="15105" width="0" style="2" hidden="1" customWidth="1"/>
    <col min="15106" max="15106" width="28.7265625" style="2" customWidth="1"/>
    <col min="15107" max="15108" width="20" style="2" customWidth="1"/>
    <col min="15109" max="15109" width="15.26953125" style="2" customWidth="1"/>
    <col min="15110" max="15110" width="17.7265625" style="2" customWidth="1"/>
    <col min="15111" max="15360" width="9.26953125" style="2"/>
    <col min="15361" max="15361" width="0" style="2" hidden="1" customWidth="1"/>
    <col min="15362" max="15362" width="28.7265625" style="2" customWidth="1"/>
    <col min="15363" max="15364" width="20" style="2" customWidth="1"/>
    <col min="15365" max="15365" width="15.26953125" style="2" customWidth="1"/>
    <col min="15366" max="15366" width="17.7265625" style="2" customWidth="1"/>
    <col min="15367" max="15616" width="9.26953125" style="2"/>
    <col min="15617" max="15617" width="0" style="2" hidden="1" customWidth="1"/>
    <col min="15618" max="15618" width="28.7265625" style="2" customWidth="1"/>
    <col min="15619" max="15620" width="20" style="2" customWidth="1"/>
    <col min="15621" max="15621" width="15.26953125" style="2" customWidth="1"/>
    <col min="15622" max="15622" width="17.7265625" style="2" customWidth="1"/>
    <col min="15623" max="15872" width="9.26953125" style="2"/>
    <col min="15873" max="15873" width="0" style="2" hidden="1" customWidth="1"/>
    <col min="15874" max="15874" width="28.7265625" style="2" customWidth="1"/>
    <col min="15875" max="15876" width="20" style="2" customWidth="1"/>
    <col min="15877" max="15877" width="15.26953125" style="2" customWidth="1"/>
    <col min="15878" max="15878" width="17.7265625" style="2" customWidth="1"/>
    <col min="15879" max="16128" width="9.26953125" style="2"/>
    <col min="16129" max="16129" width="0" style="2" hidden="1" customWidth="1"/>
    <col min="16130" max="16130" width="28.7265625" style="2" customWidth="1"/>
    <col min="16131" max="16132" width="20" style="2" customWidth="1"/>
    <col min="16133" max="16133" width="15.26953125" style="2" customWidth="1"/>
    <col min="16134" max="16134" width="17.7265625" style="2" customWidth="1"/>
    <col min="16135" max="16384" width="9.26953125" style="2"/>
  </cols>
  <sheetData>
    <row r="1" spans="1:11" ht="60" customHeight="1" x14ac:dyDescent="0.3">
      <c r="B1" s="316"/>
      <c r="C1" s="317"/>
      <c r="D1" s="317"/>
      <c r="E1" s="317"/>
      <c r="F1" s="318"/>
    </row>
    <row r="2" spans="1:11" ht="14.5" x14ac:dyDescent="0.3">
      <c r="B2" s="299"/>
      <c r="C2" s="300" t="s">
        <v>1</v>
      </c>
      <c r="D2" s="302" t="s">
        <v>2</v>
      </c>
      <c r="E2" s="302"/>
    </row>
    <row r="3" spans="1:11" ht="27" x14ac:dyDescent="0.3">
      <c r="A3" s="4"/>
      <c r="B3" s="299"/>
      <c r="C3" s="301"/>
      <c r="D3" s="5" t="s">
        <v>3</v>
      </c>
      <c r="E3" s="5" t="s">
        <v>4</v>
      </c>
      <c r="F3" s="5" t="s">
        <v>5</v>
      </c>
    </row>
    <row r="4" spans="1:11" ht="24" customHeight="1" x14ac:dyDescent="0.3">
      <c r="A4" s="4"/>
      <c r="B4" s="6" t="s">
        <v>6</v>
      </c>
      <c r="C4" s="7">
        <f>C5+C44</f>
        <v>2602</v>
      </c>
      <c r="D4" s="7">
        <f>D5+D44</f>
        <v>471</v>
      </c>
      <c r="E4" s="7">
        <f>E5+E44</f>
        <v>49</v>
      </c>
      <c r="F4" s="7">
        <f>F5+F44</f>
        <v>1</v>
      </c>
      <c r="H4" s="8"/>
      <c r="I4" s="8"/>
      <c r="J4" s="8"/>
      <c r="K4" s="8"/>
    </row>
    <row r="5" spans="1:11" s="11" customFormat="1" ht="25.5" customHeight="1" x14ac:dyDescent="0.3">
      <c r="A5" s="9"/>
      <c r="B5" s="10" t="s">
        <v>7</v>
      </c>
      <c r="C5" s="7">
        <f>SUM(C6:C43)</f>
        <v>1904</v>
      </c>
      <c r="D5" s="7">
        <f>SUM(D6:D43)</f>
        <v>277</v>
      </c>
      <c r="E5" s="7">
        <f>SUM(E6:E43)</f>
        <v>34</v>
      </c>
      <c r="F5" s="7">
        <f>SUM(F6:F43)</f>
        <v>1</v>
      </c>
      <c r="H5" s="8"/>
      <c r="I5" s="8"/>
      <c r="J5" s="8"/>
      <c r="K5" s="8"/>
    </row>
    <row r="6" spans="1:11" ht="12.75" customHeight="1" x14ac:dyDescent="0.3">
      <c r="A6" s="12">
        <v>51</v>
      </c>
      <c r="B6" s="13" t="s">
        <v>8</v>
      </c>
      <c r="C6" s="14">
        <f>'(2015-16b)'!C7+'(2015-16b)'!D7+'(2015-16c)'!C6+'(2015-16d)'!C6</f>
        <v>83</v>
      </c>
      <c r="D6" s="14">
        <f>'(2015-16b)'!E7+'(2015-16b)'!F7+'(2015-16c)'!D6+'(2015-16d)'!D6</f>
        <v>18</v>
      </c>
      <c r="E6" s="14">
        <f>'(2015-16b)'!G7+'(2015-16b)'!H7+'(2015-16c)'!E6+'(2015-16d)'!E6</f>
        <v>1</v>
      </c>
      <c r="F6" s="14">
        <f>'(2015-16b)'!I7+'(2015-16b)'!J7+'(2015-16c)'!F6+'(2015-16d)'!F6</f>
        <v>0</v>
      </c>
      <c r="H6" s="8"/>
      <c r="I6" s="8"/>
      <c r="J6" s="8"/>
      <c r="K6" s="8"/>
    </row>
    <row r="7" spans="1:11" ht="12.75" customHeight="1" x14ac:dyDescent="0.3">
      <c r="A7" s="12">
        <v>52</v>
      </c>
      <c r="B7" s="13" t="s">
        <v>9</v>
      </c>
      <c r="C7" s="14">
        <f>'(2015-16b)'!C8+'(2015-16b)'!D8+'(2015-16c)'!C7+'(2015-16d)'!C7</f>
        <v>75</v>
      </c>
      <c r="D7" s="14">
        <f>'(2015-16b)'!E8+'(2015-16b)'!F8+'(2015-16c)'!D7+'(2015-16d)'!D7</f>
        <v>10</v>
      </c>
      <c r="E7" s="14">
        <f>'(2015-16b)'!G8+'(2015-16b)'!H8+'(2015-16c)'!E7+'(2015-16d)'!E7</f>
        <v>7</v>
      </c>
      <c r="F7" s="14">
        <f>'(2015-16b)'!I8+'(2015-16b)'!J8+'(2015-16c)'!F7+'(2015-16d)'!F7</f>
        <v>0</v>
      </c>
      <c r="H7" s="8"/>
      <c r="I7" s="8"/>
      <c r="J7" s="8"/>
      <c r="K7" s="8"/>
    </row>
    <row r="8" spans="1:11" x14ac:dyDescent="0.3">
      <c r="A8" s="12">
        <v>86</v>
      </c>
      <c r="B8" s="13" t="s">
        <v>10</v>
      </c>
      <c r="C8" s="14">
        <f>'(2015-16b)'!C9+'(2015-16b)'!D9+'(2015-16c)'!C8+'(2015-16d)'!C8</f>
        <v>64</v>
      </c>
      <c r="D8" s="14">
        <f>'(2015-16b)'!E9+'(2015-16b)'!F9+'(2015-16c)'!D8+'(2015-16d)'!D8</f>
        <v>12</v>
      </c>
      <c r="E8" s="14">
        <f>'(2015-16b)'!G9+'(2015-16b)'!H9+'(2015-16c)'!E8+'(2015-16d)'!E8</f>
        <v>0</v>
      </c>
      <c r="F8" s="14">
        <f>'(2015-16b)'!I9+'(2015-16b)'!J9+'(2015-16c)'!F8+'(2015-16d)'!F8</f>
        <v>0</v>
      </c>
      <c r="H8" s="8"/>
      <c r="I8" s="8"/>
      <c r="J8" s="8"/>
      <c r="K8" s="8"/>
    </row>
    <row r="9" spans="1:11" ht="12.75" customHeight="1" x14ac:dyDescent="0.3">
      <c r="A9" s="12">
        <v>53</v>
      </c>
      <c r="B9" s="13" t="s">
        <v>11</v>
      </c>
      <c r="C9" s="14">
        <f>'(2015-16b)'!C10+'(2015-16b)'!D10+'(2015-16c)'!C9+'(2015-16d)'!C9</f>
        <v>21</v>
      </c>
      <c r="D9" s="14">
        <f>'(2015-16b)'!E10+'(2015-16b)'!F10+'(2015-16c)'!D9+'(2015-16d)'!D9</f>
        <v>2</v>
      </c>
      <c r="E9" s="14">
        <f>'(2015-16b)'!G10+'(2015-16b)'!H10+'(2015-16c)'!E9+'(2015-16d)'!E9</f>
        <v>0</v>
      </c>
      <c r="F9" s="14">
        <f>'(2015-16b)'!I10+'(2015-16b)'!J10+'(2015-16c)'!F9+'(2015-16d)'!F9</f>
        <v>0</v>
      </c>
      <c r="H9" s="8"/>
      <c r="I9" s="8"/>
      <c r="J9" s="8"/>
      <c r="K9" s="8"/>
    </row>
    <row r="10" spans="1:11" ht="12.75" customHeight="1" x14ac:dyDescent="0.3">
      <c r="A10" s="12">
        <v>54</v>
      </c>
      <c r="B10" s="13" t="s">
        <v>12</v>
      </c>
      <c r="C10" s="14">
        <f>'(2015-16b)'!C11+'(2015-16b)'!D11+'(2015-16c)'!C10+'(2015-16d)'!C10</f>
        <v>98</v>
      </c>
      <c r="D10" s="14">
        <f>'(2015-16b)'!E11+'(2015-16b)'!F11+'(2015-16c)'!D10+'(2015-16d)'!D10</f>
        <v>2</v>
      </c>
      <c r="E10" s="14">
        <f>'(2015-16b)'!G11+'(2015-16b)'!H11+'(2015-16c)'!E10+'(2015-16d)'!E10</f>
        <v>0</v>
      </c>
      <c r="F10" s="14">
        <f>'(2015-16b)'!I11+'(2015-16b)'!J11+'(2015-16c)'!F10+'(2015-16d)'!F10</f>
        <v>0</v>
      </c>
      <c r="H10" s="8"/>
      <c r="I10" s="8"/>
      <c r="J10" s="8"/>
      <c r="K10" s="8"/>
    </row>
    <row r="11" spans="1:11" ht="12.75" customHeight="1" x14ac:dyDescent="0.3">
      <c r="A11" s="12">
        <v>55</v>
      </c>
      <c r="B11" s="13" t="s">
        <v>13</v>
      </c>
      <c r="C11" s="14">
        <f>'(2015-16b)'!C12+'(2015-16b)'!D12+'(2015-16c)'!C11+'(2015-16d)'!C11</f>
        <v>41</v>
      </c>
      <c r="D11" s="14">
        <f>'(2015-16b)'!E12+'(2015-16b)'!F12+'(2015-16c)'!D11+'(2015-16d)'!D11</f>
        <v>2</v>
      </c>
      <c r="E11" s="14">
        <f>'(2015-16b)'!G12+'(2015-16b)'!H12+'(2015-16c)'!E11+'(2015-16d)'!E11</f>
        <v>0</v>
      </c>
      <c r="F11" s="14">
        <f>'(2015-16b)'!I12+'(2015-16b)'!J12+'(2015-16c)'!F11+'(2015-16d)'!F11</f>
        <v>0</v>
      </c>
      <c r="H11" s="8"/>
      <c r="I11" s="8"/>
      <c r="J11" s="8"/>
      <c r="K11" s="8"/>
    </row>
    <row r="12" spans="1:11" ht="12.75" customHeight="1" x14ac:dyDescent="0.3">
      <c r="A12" s="12">
        <v>56</v>
      </c>
      <c r="B12" s="13" t="s">
        <v>14</v>
      </c>
      <c r="C12" s="14">
        <f>'(2015-16b)'!C13+'(2015-16b)'!D13+'(2015-16c)'!C12+'(2015-16d)'!C12</f>
        <v>17</v>
      </c>
      <c r="D12" s="14">
        <f>'(2015-16b)'!E13+'(2015-16b)'!F13+'(2015-16c)'!D12+'(2015-16d)'!D12</f>
        <v>3</v>
      </c>
      <c r="E12" s="14">
        <f>'(2015-16b)'!G13+'(2015-16b)'!H13+'(2015-16c)'!E12+'(2015-16d)'!E12</f>
        <v>1</v>
      </c>
      <c r="F12" s="14">
        <f>'(2015-16b)'!I13+'(2015-16b)'!J13+'(2015-16c)'!F12+'(2015-16d)'!F12</f>
        <v>0</v>
      </c>
      <c r="H12" s="8"/>
      <c r="I12" s="8"/>
      <c r="J12" s="8"/>
      <c r="K12" s="8"/>
    </row>
    <row r="13" spans="1:11" ht="12.75" customHeight="1" x14ac:dyDescent="0.3">
      <c r="A13" s="12">
        <v>57</v>
      </c>
      <c r="B13" s="13" t="s">
        <v>15</v>
      </c>
      <c r="C13" s="14">
        <f>'(2015-16b)'!C14+'(2015-16b)'!D14+'(2015-16c)'!C13+'(2015-16d)'!C13</f>
        <v>31</v>
      </c>
      <c r="D13" s="14">
        <f>'(2015-16b)'!E14+'(2015-16b)'!F14+'(2015-16c)'!D13+'(2015-16d)'!D13</f>
        <v>3</v>
      </c>
      <c r="E13" s="14">
        <f>'(2015-16b)'!G14+'(2015-16b)'!H14+'(2015-16c)'!E13+'(2015-16d)'!E13</f>
        <v>0</v>
      </c>
      <c r="F13" s="14">
        <f>'(2015-16b)'!I14+'(2015-16b)'!J14+'(2015-16c)'!F13+'(2015-16d)'!F13</f>
        <v>0</v>
      </c>
      <c r="H13" s="8"/>
      <c r="I13" s="8"/>
      <c r="J13" s="8"/>
      <c r="K13" s="8"/>
    </row>
    <row r="14" spans="1:11" ht="12.75" customHeight="1" x14ac:dyDescent="0.3">
      <c r="A14" s="12">
        <v>59</v>
      </c>
      <c r="B14" s="13" t="s">
        <v>16</v>
      </c>
      <c r="C14" s="14">
        <f>'(2015-16b)'!C15+'(2015-16b)'!D15+'(2015-16c)'!C14+'(2015-16d)'!C14</f>
        <v>22</v>
      </c>
      <c r="D14" s="14">
        <f>'(2015-16b)'!E15+'(2015-16b)'!F15+'(2015-16c)'!D14+'(2015-16d)'!D14</f>
        <v>1</v>
      </c>
      <c r="E14" s="14">
        <f>'(2015-16b)'!G15+'(2015-16b)'!H15+'(2015-16c)'!E14+'(2015-16d)'!E14</f>
        <v>3</v>
      </c>
      <c r="F14" s="14">
        <f>'(2015-16b)'!I15+'(2015-16b)'!J15+'(2015-16c)'!F14+'(2015-16d)'!F14</f>
        <v>0</v>
      </c>
      <c r="H14" s="8"/>
      <c r="I14" s="8"/>
      <c r="J14" s="8"/>
      <c r="K14" s="8"/>
    </row>
    <row r="15" spans="1:11" ht="12.75" customHeight="1" x14ac:dyDescent="0.3">
      <c r="A15" s="12">
        <v>60</v>
      </c>
      <c r="B15" s="13" t="s">
        <v>17</v>
      </c>
      <c r="C15" s="14">
        <f>'(2015-16b)'!C16+'(2015-16b)'!D16+'(2015-16c)'!C15+'(2015-16d)'!C15</f>
        <v>25</v>
      </c>
      <c r="D15" s="14">
        <f>'(2015-16b)'!E16+'(2015-16b)'!F16+'(2015-16c)'!D15+'(2015-16d)'!D15</f>
        <v>2</v>
      </c>
      <c r="E15" s="14">
        <f>'(2015-16b)'!G16+'(2015-16b)'!H16+'(2015-16c)'!E15+'(2015-16d)'!E15</f>
        <v>1</v>
      </c>
      <c r="F15" s="14">
        <f>'(2015-16b)'!I16+'(2015-16b)'!J16+'(2015-16c)'!F15+'(2015-16d)'!F15</f>
        <v>0</v>
      </c>
      <c r="H15" s="8"/>
      <c r="I15" s="8"/>
      <c r="J15" s="8"/>
      <c r="K15" s="8"/>
    </row>
    <row r="16" spans="1:11" ht="12.75" customHeight="1" x14ac:dyDescent="0.3">
      <c r="A16" s="12">
        <v>61</v>
      </c>
      <c r="B16" s="15" t="s">
        <v>18</v>
      </c>
      <c r="C16" s="14">
        <f>'(2015-16b)'!C17+'(2015-16b)'!D17+'(2015-16c)'!C16+'(2015-16d)'!C16</f>
        <v>60</v>
      </c>
      <c r="D16" s="14">
        <f>'(2015-16b)'!E17+'(2015-16b)'!F17+'(2015-16c)'!D16+'(2015-16d)'!D16</f>
        <v>16</v>
      </c>
      <c r="E16" s="14">
        <f>'(2015-16b)'!G17+'(2015-16b)'!H17+'(2015-16c)'!E16+'(2015-16d)'!E16</f>
        <v>1</v>
      </c>
      <c r="F16" s="14">
        <f>'(2015-16b)'!I17+'(2015-16b)'!J17+'(2015-16c)'!F16+'(2015-16d)'!F16</f>
        <v>0</v>
      </c>
      <c r="H16" s="8"/>
      <c r="I16" s="8"/>
      <c r="J16" s="8"/>
      <c r="K16" s="8"/>
    </row>
    <row r="17" spans="1:11" s="183" customFormat="1" ht="12.75" customHeight="1" x14ac:dyDescent="0.3">
      <c r="A17" s="12"/>
      <c r="B17" s="130" t="s">
        <v>122</v>
      </c>
      <c r="C17" s="14">
        <f>'(2015-16b)'!C18+'(2015-16b)'!D18+'(2015-16c)'!C17+'(2015-16d)'!C17</f>
        <v>80</v>
      </c>
      <c r="D17" s="14">
        <f>'(2015-16b)'!E18+'(2015-16b)'!F18+'(2015-16c)'!D17+'(2015-16d)'!D17</f>
        <v>2</v>
      </c>
      <c r="E17" s="14">
        <f>'(2015-16b)'!G18+'(2015-16b)'!H18+'(2015-16c)'!E17+'(2015-16d)'!E17</f>
        <v>2</v>
      </c>
      <c r="F17" s="14">
        <f>'(2015-16b)'!I18+'(2015-16b)'!J18+'(2015-16c)'!F17+'(2015-16d)'!F17</f>
        <v>0</v>
      </c>
      <c r="H17" s="8"/>
      <c r="I17" s="8"/>
      <c r="J17" s="8"/>
      <c r="K17" s="8"/>
    </row>
    <row r="18" spans="1:11" ht="12.75" customHeight="1" x14ac:dyDescent="0.3">
      <c r="A18" s="12">
        <v>58</v>
      </c>
      <c r="B18" s="13" t="s">
        <v>20</v>
      </c>
      <c r="C18" s="14">
        <f>'(2015-16b)'!C19+'(2015-16b)'!D19+'(2015-16c)'!C18+'(2015-16d)'!C18</f>
        <v>16</v>
      </c>
      <c r="D18" s="14">
        <f>'(2015-16b)'!E19+'(2015-16b)'!F19+'(2015-16c)'!D18+'(2015-16d)'!D18</f>
        <v>3</v>
      </c>
      <c r="E18" s="14">
        <f>'(2015-16b)'!G19+'(2015-16b)'!H19+'(2015-16c)'!E18+'(2015-16d)'!E18</f>
        <v>0</v>
      </c>
      <c r="F18" s="14">
        <f>'(2015-16b)'!I19+'(2015-16b)'!J19+'(2015-16c)'!F18+'(2015-16d)'!F18</f>
        <v>0</v>
      </c>
      <c r="H18" s="8"/>
      <c r="I18" s="8"/>
      <c r="J18" s="8"/>
      <c r="K18" s="8"/>
    </row>
    <row r="19" spans="1:11" ht="12.75" customHeight="1" x14ac:dyDescent="0.3">
      <c r="A19" s="12">
        <v>63</v>
      </c>
      <c r="B19" s="13" t="s">
        <v>21</v>
      </c>
      <c r="C19" s="14">
        <f>'(2015-16b)'!C20+'(2015-16b)'!D20+'(2015-16c)'!C19+'(2015-16d)'!C19</f>
        <v>82</v>
      </c>
      <c r="D19" s="14">
        <f>'(2015-16b)'!E20+'(2015-16b)'!F20+'(2015-16c)'!D19+'(2015-16d)'!D19</f>
        <v>8</v>
      </c>
      <c r="E19" s="14">
        <f>'(2015-16b)'!G20+'(2015-16b)'!H20+'(2015-16c)'!E19+'(2015-16d)'!E19</f>
        <v>3</v>
      </c>
      <c r="F19" s="14">
        <f>'(2015-16b)'!I20+'(2015-16b)'!J20+'(2015-16c)'!F19+'(2015-16d)'!F19</f>
        <v>1</v>
      </c>
      <c r="H19" s="8"/>
      <c r="I19" s="8"/>
      <c r="J19" s="8"/>
      <c r="K19" s="8"/>
    </row>
    <row r="20" spans="1:11" ht="12.75" customHeight="1" x14ac:dyDescent="0.3">
      <c r="A20" s="12">
        <v>64</v>
      </c>
      <c r="B20" s="13" t="s">
        <v>22</v>
      </c>
      <c r="C20" s="14">
        <f>'(2015-16b)'!C21+'(2015-16b)'!D21+'(2015-16c)'!C20+'(2015-16d)'!C20</f>
        <v>104</v>
      </c>
      <c r="D20" s="14">
        <f>'(2015-16b)'!E21+'(2015-16b)'!F21+'(2015-16c)'!D20+'(2015-16d)'!D20</f>
        <v>24</v>
      </c>
      <c r="E20" s="14">
        <f>'(2015-16b)'!G21+'(2015-16b)'!H21+'(2015-16c)'!E20+'(2015-16d)'!E20</f>
        <v>1</v>
      </c>
      <c r="F20" s="14">
        <f>'(2015-16b)'!I21+'(2015-16b)'!J21+'(2015-16c)'!F20+'(2015-16d)'!F20</f>
        <v>0</v>
      </c>
      <c r="H20" s="8"/>
      <c r="I20" s="8"/>
      <c r="J20" s="8"/>
      <c r="K20" s="8"/>
    </row>
    <row r="21" spans="1:11" x14ac:dyDescent="0.3">
      <c r="A21" s="12">
        <v>65</v>
      </c>
      <c r="B21" s="13" t="s">
        <v>23</v>
      </c>
      <c r="C21" s="14">
        <f>'(2015-16b)'!C22+'(2015-16b)'!D22+'(2015-16c)'!C21+'(2015-16d)'!C21</f>
        <v>32</v>
      </c>
      <c r="D21" s="14">
        <f>'(2015-16b)'!E22+'(2015-16b)'!F22+'(2015-16c)'!D21+'(2015-16d)'!D21</f>
        <v>2</v>
      </c>
      <c r="E21" s="14">
        <f>'(2015-16b)'!G22+'(2015-16b)'!H22+'(2015-16c)'!E21+'(2015-16d)'!E21</f>
        <v>1</v>
      </c>
      <c r="F21" s="14">
        <f>'(2015-16b)'!I22+'(2015-16b)'!J22+'(2015-16c)'!F21+'(2015-16d)'!F21</f>
        <v>0</v>
      </c>
      <c r="H21" s="8"/>
      <c r="I21" s="8"/>
      <c r="J21" s="8"/>
      <c r="K21" s="8"/>
    </row>
    <row r="22" spans="1:11" ht="12.75" customHeight="1" x14ac:dyDescent="0.3">
      <c r="A22" s="12">
        <v>67</v>
      </c>
      <c r="B22" s="13" t="s">
        <v>24</v>
      </c>
      <c r="C22" s="14">
        <f>'(2015-16b)'!C23+'(2015-16b)'!D23+'(2015-16c)'!C22+'(2015-16d)'!C22</f>
        <v>107</v>
      </c>
      <c r="D22" s="14">
        <f>'(2015-16b)'!E23+'(2015-16b)'!F23+'(2015-16c)'!D22+'(2015-16d)'!D22</f>
        <v>22</v>
      </c>
      <c r="E22" s="14">
        <f>'(2015-16b)'!G23+'(2015-16b)'!H23+'(2015-16c)'!E22+'(2015-16d)'!E22</f>
        <v>0</v>
      </c>
      <c r="F22" s="14">
        <f>'(2015-16b)'!I23+'(2015-16b)'!J23+'(2015-16c)'!F22+'(2015-16d)'!F22</f>
        <v>0</v>
      </c>
      <c r="H22" s="8"/>
      <c r="I22" s="8"/>
      <c r="J22" s="8"/>
      <c r="K22" s="8"/>
    </row>
    <row r="23" spans="1:11" x14ac:dyDescent="0.3">
      <c r="A23" s="12">
        <v>68</v>
      </c>
      <c r="B23" s="13" t="s">
        <v>25</v>
      </c>
      <c r="C23" s="14">
        <f>'(2015-16b)'!C24+'(2015-16b)'!D24+'(2015-16c)'!C23+'(2015-16d)'!C23</f>
        <v>38</v>
      </c>
      <c r="D23" s="14">
        <f>'(2015-16b)'!E24+'(2015-16b)'!F24+'(2015-16c)'!D23+'(2015-16d)'!D23</f>
        <v>5</v>
      </c>
      <c r="E23" s="14">
        <f>'(2015-16b)'!G24+'(2015-16b)'!H24+'(2015-16c)'!E23+'(2015-16d)'!E23</f>
        <v>0</v>
      </c>
      <c r="F23" s="14">
        <f>'(2015-16b)'!I24+'(2015-16b)'!J24+'(2015-16c)'!F23+'(2015-16d)'!F23</f>
        <v>0</v>
      </c>
      <c r="H23" s="8"/>
      <c r="I23" s="8"/>
      <c r="J23" s="8"/>
      <c r="K23" s="8"/>
    </row>
    <row r="24" spans="1:11" x14ac:dyDescent="0.3">
      <c r="A24" s="12">
        <v>69</v>
      </c>
      <c r="B24" s="13" t="s">
        <v>26</v>
      </c>
      <c r="C24" s="14">
        <f>'(2015-16b)'!C25+'(2015-16b)'!D25+'(2015-16c)'!C24+'(2015-16d)'!C24</f>
        <v>65</v>
      </c>
      <c r="D24" s="14">
        <f>'(2015-16b)'!E25+'(2015-16b)'!F25+'(2015-16c)'!D24+'(2015-16d)'!D24</f>
        <v>13</v>
      </c>
      <c r="E24" s="14">
        <f>'(2015-16b)'!G25+'(2015-16b)'!H25+'(2015-16c)'!E24+'(2015-16d)'!E24</f>
        <v>1</v>
      </c>
      <c r="F24" s="14">
        <f>'(2015-16b)'!I25+'(2015-16b)'!J25+'(2015-16c)'!F24+'(2015-16d)'!F24</f>
        <v>0</v>
      </c>
      <c r="H24" s="8"/>
      <c r="I24" s="8"/>
      <c r="J24" s="8"/>
      <c r="K24" s="8"/>
    </row>
    <row r="25" spans="1:11" x14ac:dyDescent="0.3">
      <c r="A25" s="12">
        <v>70</v>
      </c>
      <c r="B25" s="13" t="s">
        <v>27</v>
      </c>
      <c r="C25" s="14">
        <f>'(2015-16b)'!C26+'(2015-16b)'!D26+'(2015-16c)'!C25+'(2015-16d)'!C25</f>
        <v>93</v>
      </c>
      <c r="D25" s="14">
        <f>'(2015-16b)'!E26+'(2015-16b)'!F26+'(2015-16c)'!D25+'(2015-16d)'!D25</f>
        <v>7</v>
      </c>
      <c r="E25" s="14">
        <f>'(2015-16b)'!G26+'(2015-16b)'!H26+'(2015-16c)'!E25+'(2015-16d)'!E25</f>
        <v>4</v>
      </c>
      <c r="F25" s="14">
        <f>'(2015-16b)'!I26+'(2015-16b)'!J26+'(2015-16c)'!F25+'(2015-16d)'!F25</f>
        <v>0</v>
      </c>
      <c r="H25" s="8"/>
      <c r="I25" s="8"/>
      <c r="J25" s="8"/>
      <c r="K25" s="8"/>
    </row>
    <row r="26" spans="1:11" x14ac:dyDescent="0.3">
      <c r="A26" s="12">
        <v>71</v>
      </c>
      <c r="B26" s="16" t="s">
        <v>28</v>
      </c>
      <c r="C26" s="14">
        <f>'(2015-16b)'!C27+'(2015-16b)'!D27+'(2015-16c)'!C26+'(2015-16d)'!C26</f>
        <v>12</v>
      </c>
      <c r="D26" s="14">
        <f>'(2015-16b)'!E27+'(2015-16b)'!F27+'(2015-16c)'!D26+'(2015-16d)'!D26</f>
        <v>2</v>
      </c>
      <c r="E26" s="14">
        <f>'(2015-16b)'!G27+'(2015-16b)'!H27+'(2015-16c)'!E26+'(2015-16d)'!E26</f>
        <v>0</v>
      </c>
      <c r="F26" s="14">
        <f>'(2015-16b)'!I27+'(2015-16b)'!J27+'(2015-16c)'!F26+'(2015-16d)'!F26</f>
        <v>0</v>
      </c>
      <c r="H26" s="8"/>
      <c r="I26" s="8"/>
      <c r="J26" s="8"/>
      <c r="K26" s="8"/>
    </row>
    <row r="27" spans="1:11" x14ac:dyDescent="0.3">
      <c r="A27" s="12">
        <v>73</v>
      </c>
      <c r="B27" s="13" t="s">
        <v>29</v>
      </c>
      <c r="C27" s="14">
        <f>'(2015-16b)'!C28+'(2015-16b)'!D28+'(2015-16c)'!C27+'(2015-16d)'!C27</f>
        <v>57</v>
      </c>
      <c r="D27" s="14">
        <f>'(2015-16b)'!E28+'(2015-16b)'!F28+'(2015-16c)'!D27+'(2015-16d)'!D27</f>
        <v>12</v>
      </c>
      <c r="E27" s="14">
        <f>'(2015-16b)'!G28+'(2015-16b)'!H28+'(2015-16c)'!E27+'(2015-16d)'!E27</f>
        <v>0</v>
      </c>
      <c r="F27" s="14">
        <f>'(2015-16b)'!I28+'(2015-16b)'!J28+'(2015-16c)'!F27+'(2015-16d)'!F27</f>
        <v>0</v>
      </c>
      <c r="H27" s="8"/>
      <c r="I27" s="8"/>
      <c r="J27" s="8"/>
      <c r="K27" s="8"/>
    </row>
    <row r="28" spans="1:11" x14ac:dyDescent="0.3">
      <c r="A28" s="12">
        <v>74</v>
      </c>
      <c r="B28" s="13" t="s">
        <v>30</v>
      </c>
      <c r="C28" s="14">
        <f>'(2015-16b)'!C29+'(2015-16b)'!D29+'(2015-16c)'!C28+'(2015-16d)'!C28</f>
        <v>52</v>
      </c>
      <c r="D28" s="14">
        <f>'(2015-16b)'!E29+'(2015-16b)'!F29+'(2015-16c)'!D28+'(2015-16d)'!D28</f>
        <v>18</v>
      </c>
      <c r="E28" s="14">
        <f>'(2015-16b)'!G29+'(2015-16b)'!H29+'(2015-16c)'!E28+'(2015-16d)'!E28</f>
        <v>0</v>
      </c>
      <c r="F28" s="14">
        <f>'(2015-16b)'!I29+'(2015-16b)'!J29+'(2015-16c)'!F28+'(2015-16d)'!F28</f>
        <v>0</v>
      </c>
      <c r="H28" s="8"/>
      <c r="I28" s="8"/>
      <c r="J28" s="8"/>
      <c r="K28" s="8"/>
    </row>
    <row r="29" spans="1:11" x14ac:dyDescent="0.3">
      <c r="A29" s="12">
        <v>75</v>
      </c>
      <c r="B29" s="13" t="s">
        <v>31</v>
      </c>
      <c r="C29" s="14">
        <f>'(2015-16b)'!C30+'(2015-16b)'!D30+'(2015-16c)'!C29+'(2015-16d)'!C29</f>
        <v>39</v>
      </c>
      <c r="D29" s="14">
        <f>'(2015-16b)'!E30+'(2015-16b)'!F30+'(2015-16c)'!D29+'(2015-16d)'!D29</f>
        <v>2</v>
      </c>
      <c r="E29" s="14">
        <f>'(2015-16b)'!G30+'(2015-16b)'!H30+'(2015-16c)'!E29+'(2015-16d)'!E29</f>
        <v>2</v>
      </c>
      <c r="F29" s="14">
        <f>'(2015-16b)'!I30+'(2015-16b)'!J30+'(2015-16c)'!F29+'(2015-16d)'!F29</f>
        <v>0</v>
      </c>
      <c r="H29" s="8"/>
      <c r="I29" s="8"/>
      <c r="J29" s="8"/>
      <c r="K29" s="8"/>
    </row>
    <row r="30" spans="1:11" x14ac:dyDescent="0.3">
      <c r="A30" s="12">
        <v>76</v>
      </c>
      <c r="B30" s="13" t="s">
        <v>32</v>
      </c>
      <c r="C30" s="14">
        <f>'(2015-16b)'!C31+'(2015-16b)'!D31+'(2015-16c)'!C30+'(2015-16d)'!C30</f>
        <v>51</v>
      </c>
      <c r="D30" s="14">
        <f>'(2015-16b)'!E31+'(2015-16b)'!F31+'(2015-16c)'!D30+'(2015-16d)'!D30</f>
        <v>7</v>
      </c>
      <c r="E30" s="14">
        <f>'(2015-16b)'!G31+'(2015-16b)'!H31+'(2015-16c)'!E30+'(2015-16d)'!E30</f>
        <v>0</v>
      </c>
      <c r="F30" s="14">
        <f>'(2015-16b)'!I31+'(2015-16b)'!J31+'(2015-16c)'!F30+'(2015-16d)'!F30</f>
        <v>0</v>
      </c>
      <c r="H30" s="8"/>
      <c r="I30" s="8"/>
      <c r="J30" s="8"/>
      <c r="K30" s="8"/>
    </row>
    <row r="31" spans="1:11" x14ac:dyDescent="0.3">
      <c r="A31" s="12">
        <v>79</v>
      </c>
      <c r="B31" s="13" t="s">
        <v>33</v>
      </c>
      <c r="C31" s="14">
        <f>'(2015-16b)'!C32+'(2015-16b)'!D32+'(2015-16c)'!C31+'(2015-16d)'!C31</f>
        <v>76</v>
      </c>
      <c r="D31" s="14">
        <f>'(2015-16b)'!E32+'(2015-16b)'!F32+'(2015-16c)'!D31+'(2015-16d)'!D31</f>
        <v>22</v>
      </c>
      <c r="E31" s="14">
        <f>'(2015-16b)'!G32+'(2015-16b)'!H32+'(2015-16c)'!E31+'(2015-16d)'!E31</f>
        <v>0</v>
      </c>
      <c r="F31" s="14">
        <f>'(2015-16b)'!I32+'(2015-16b)'!J32+'(2015-16c)'!F31+'(2015-16d)'!F31</f>
        <v>0</v>
      </c>
      <c r="H31" s="8"/>
      <c r="I31" s="8"/>
      <c r="J31" s="8"/>
      <c r="K31" s="8"/>
    </row>
    <row r="32" spans="1:11" x14ac:dyDescent="0.3">
      <c r="A32" s="12">
        <v>80</v>
      </c>
      <c r="B32" s="13" t="s">
        <v>34</v>
      </c>
      <c r="C32" s="14">
        <f>'(2015-16b)'!C33+'(2015-16b)'!D33+'(2015-16c)'!C32+'(2015-16d)'!C32</f>
        <v>63</v>
      </c>
      <c r="D32" s="14">
        <f>'(2015-16b)'!E33+'(2015-16b)'!F33+'(2015-16c)'!D32+'(2015-16d)'!D32</f>
        <v>6</v>
      </c>
      <c r="E32" s="14">
        <f>'(2015-16b)'!G33+'(2015-16b)'!H33+'(2015-16c)'!E32+'(2015-16d)'!E32</f>
        <v>2</v>
      </c>
      <c r="F32" s="14">
        <f>'(2015-16b)'!I33+'(2015-16b)'!J33+'(2015-16c)'!F32+'(2015-16d)'!F32</f>
        <v>0</v>
      </c>
      <c r="H32" s="8"/>
      <c r="I32" s="8"/>
      <c r="J32" s="8"/>
      <c r="K32" s="8"/>
    </row>
    <row r="33" spans="1:11" x14ac:dyDescent="0.3">
      <c r="A33" s="12">
        <v>81</v>
      </c>
      <c r="B33" s="13" t="s">
        <v>35</v>
      </c>
      <c r="C33" s="14">
        <f>'(2015-16b)'!C34+'(2015-16b)'!D34+'(2015-16c)'!C33+'(2015-16d)'!C33</f>
        <v>63</v>
      </c>
      <c r="D33" s="14">
        <f>'(2015-16b)'!E34+'(2015-16b)'!F34+'(2015-16c)'!D33+'(2015-16d)'!D33</f>
        <v>4</v>
      </c>
      <c r="E33" s="14">
        <f>'(2015-16b)'!G34+'(2015-16b)'!H34+'(2015-16c)'!E33+'(2015-16d)'!E33</f>
        <v>0</v>
      </c>
      <c r="F33" s="14">
        <f>'(2015-16b)'!I34+'(2015-16b)'!J34+'(2015-16c)'!F33+'(2015-16d)'!F33</f>
        <v>0</v>
      </c>
      <c r="H33" s="8"/>
      <c r="I33" s="8"/>
      <c r="J33" s="8"/>
      <c r="K33" s="8"/>
    </row>
    <row r="34" spans="1:11" x14ac:dyDescent="0.3">
      <c r="A34" s="12">
        <v>83</v>
      </c>
      <c r="B34" s="13" t="s">
        <v>36</v>
      </c>
      <c r="C34" s="14">
        <f>'(2015-16b)'!C35+'(2015-16b)'!D35+'(2015-16c)'!C34+'(2015-16d)'!C34</f>
        <v>22</v>
      </c>
      <c r="D34" s="14">
        <f>'(2015-16b)'!E35+'(2015-16b)'!F35+'(2015-16c)'!D34+'(2015-16d)'!D34</f>
        <v>4</v>
      </c>
      <c r="E34" s="14">
        <f>'(2015-16b)'!G35+'(2015-16b)'!H35+'(2015-16c)'!E34+'(2015-16d)'!E34</f>
        <v>0</v>
      </c>
      <c r="F34" s="14">
        <f>'(2015-16b)'!I35+'(2015-16b)'!J35+'(2015-16c)'!F34+'(2015-16d)'!F34</f>
        <v>0</v>
      </c>
      <c r="H34" s="8"/>
      <c r="I34" s="8"/>
      <c r="J34" s="8"/>
      <c r="K34" s="8"/>
    </row>
    <row r="35" spans="1:11" x14ac:dyDescent="0.3">
      <c r="A35" s="12">
        <v>84</v>
      </c>
      <c r="B35" s="13" t="s">
        <v>37</v>
      </c>
      <c r="C35" s="14">
        <f>'(2015-16b)'!C36+'(2015-16b)'!D36+'(2015-16c)'!C35+'(2015-16d)'!C35</f>
        <v>27</v>
      </c>
      <c r="D35" s="14">
        <f>'(2015-16b)'!E36+'(2015-16b)'!F36+'(2015-16c)'!D35+'(2015-16d)'!D35</f>
        <v>6</v>
      </c>
      <c r="E35" s="14">
        <f>'(2015-16b)'!G36+'(2015-16b)'!H36+'(2015-16c)'!E35+'(2015-16d)'!E35</f>
        <v>0</v>
      </c>
      <c r="F35" s="14">
        <f>'(2015-16b)'!I36+'(2015-16b)'!J36+'(2015-16c)'!F35+'(2015-16d)'!F35</f>
        <v>0</v>
      </c>
      <c r="H35" s="8"/>
      <c r="I35" s="8"/>
      <c r="J35" s="8"/>
      <c r="K35" s="8"/>
    </row>
    <row r="36" spans="1:11" x14ac:dyDescent="0.3">
      <c r="A36" s="12">
        <v>85</v>
      </c>
      <c r="B36" s="13" t="s">
        <v>38</v>
      </c>
      <c r="C36" s="14">
        <f>'(2015-16b)'!C37+'(2015-16b)'!D37+'(2015-16c)'!C36+'(2015-16d)'!C36</f>
        <v>38</v>
      </c>
      <c r="D36" s="14">
        <f>'(2015-16b)'!E37+'(2015-16b)'!F37+'(2015-16c)'!D36+'(2015-16d)'!D36</f>
        <v>6</v>
      </c>
      <c r="E36" s="14">
        <f>'(2015-16b)'!G37+'(2015-16b)'!H37+'(2015-16c)'!E36+'(2015-16d)'!E36</f>
        <v>2</v>
      </c>
      <c r="F36" s="14">
        <f>'(2015-16b)'!I37+'(2015-16b)'!J37+'(2015-16c)'!F36+'(2015-16d)'!F36</f>
        <v>0</v>
      </c>
      <c r="H36" s="8"/>
      <c r="I36" s="8"/>
      <c r="J36" s="8"/>
      <c r="K36" s="8"/>
    </row>
    <row r="37" spans="1:11" x14ac:dyDescent="0.3">
      <c r="A37" s="12">
        <v>87</v>
      </c>
      <c r="B37" s="13" t="s">
        <v>39</v>
      </c>
      <c r="C37" s="14">
        <f>'(2015-16b)'!C38+'(2015-16b)'!D38+'(2015-16c)'!C37+'(2015-16d)'!C37</f>
        <v>21</v>
      </c>
      <c r="D37" s="14">
        <f>'(2015-16b)'!E38+'(2015-16b)'!F38+'(2015-16c)'!D37+'(2015-16d)'!D37</f>
        <v>1</v>
      </c>
      <c r="E37" s="14">
        <f>'(2015-16b)'!G38+'(2015-16b)'!H38+'(2015-16c)'!E37+'(2015-16d)'!E37</f>
        <v>0</v>
      </c>
      <c r="F37" s="14">
        <f>'(2015-16b)'!I38+'(2015-16b)'!J38+'(2015-16c)'!F37+'(2015-16d)'!F37</f>
        <v>0</v>
      </c>
      <c r="H37" s="8"/>
      <c r="I37" s="8"/>
      <c r="J37" s="8"/>
      <c r="K37" s="8"/>
    </row>
    <row r="38" spans="1:11" x14ac:dyDescent="0.3">
      <c r="A38" s="12">
        <v>90</v>
      </c>
      <c r="B38" s="13" t="s">
        <v>40</v>
      </c>
      <c r="C38" s="14">
        <f>'(2015-16b)'!C39+'(2015-16b)'!D39+'(2015-16c)'!C38+'(2015-16d)'!C38</f>
        <v>47</v>
      </c>
      <c r="D38" s="14">
        <f>'(2015-16b)'!E39+'(2015-16b)'!F39+'(2015-16c)'!D38+'(2015-16d)'!D38</f>
        <v>9</v>
      </c>
      <c r="E38" s="14">
        <f>'(2015-16b)'!G39+'(2015-16b)'!H39+'(2015-16c)'!E38+'(2015-16d)'!E38</f>
        <v>0</v>
      </c>
      <c r="F38" s="14">
        <f>'(2015-16b)'!I39+'(2015-16b)'!J39+'(2015-16c)'!F38+'(2015-16d)'!F38</f>
        <v>0</v>
      </c>
      <c r="H38" s="8"/>
      <c r="I38" s="8"/>
      <c r="J38" s="8"/>
      <c r="K38" s="8"/>
    </row>
    <row r="39" spans="1:11" x14ac:dyDescent="0.3">
      <c r="A39" s="12">
        <v>91</v>
      </c>
      <c r="B39" s="13" t="s">
        <v>41</v>
      </c>
      <c r="C39" s="14">
        <f>'(2015-16b)'!C40+'(2015-16b)'!D40+'(2015-16c)'!C39+'(2015-16d)'!C39</f>
        <v>61</v>
      </c>
      <c r="D39" s="14">
        <f>'(2015-16b)'!E40+'(2015-16b)'!F40+'(2015-16c)'!D39+'(2015-16d)'!D39</f>
        <v>6</v>
      </c>
      <c r="E39" s="14">
        <f>'(2015-16b)'!G40+'(2015-16b)'!H40+'(2015-16c)'!E39+'(2015-16d)'!E39</f>
        <v>0</v>
      </c>
      <c r="F39" s="14">
        <f>'(2015-16b)'!I40+'(2015-16b)'!J40+'(2015-16c)'!F39+'(2015-16d)'!F39</f>
        <v>0</v>
      </c>
      <c r="H39" s="8"/>
      <c r="I39" s="8"/>
      <c r="J39" s="8"/>
      <c r="K39" s="8"/>
    </row>
    <row r="40" spans="1:11" x14ac:dyDescent="0.3">
      <c r="A40" s="12">
        <v>92</v>
      </c>
      <c r="B40" s="13" t="s">
        <v>42</v>
      </c>
      <c r="C40" s="14">
        <f>'(2015-16b)'!C41+'(2015-16b)'!D41+'(2015-16c)'!C40+'(2015-16d)'!C40</f>
        <v>44</v>
      </c>
      <c r="D40" s="14">
        <f>'(2015-16b)'!E41+'(2015-16b)'!F41+'(2015-16c)'!D40+'(2015-16d)'!D40</f>
        <v>7</v>
      </c>
      <c r="E40" s="14">
        <f>'(2015-16b)'!G41+'(2015-16b)'!H41+'(2015-16c)'!E40+'(2015-16d)'!E40</f>
        <v>1</v>
      </c>
      <c r="F40" s="14">
        <f>'(2015-16b)'!I41+'(2015-16b)'!J41+'(2015-16c)'!F40+'(2015-16d)'!F40</f>
        <v>0</v>
      </c>
      <c r="H40" s="8"/>
      <c r="I40" s="8"/>
      <c r="J40" s="8"/>
      <c r="K40" s="8"/>
    </row>
    <row r="41" spans="1:11" x14ac:dyDescent="0.3">
      <c r="A41" s="12">
        <v>94</v>
      </c>
      <c r="B41" s="13" t="s">
        <v>43</v>
      </c>
      <c r="C41" s="14">
        <f>'(2015-16b)'!C42+'(2015-16b)'!D42+'(2015-16c)'!C41+'(2015-16d)'!C41</f>
        <v>35</v>
      </c>
      <c r="D41" s="14">
        <f>'(2015-16b)'!E42+'(2015-16b)'!F42+'(2015-16c)'!D41+'(2015-16d)'!D41</f>
        <v>5</v>
      </c>
      <c r="E41" s="14">
        <f>'(2015-16b)'!G42+'(2015-16b)'!H42+'(2015-16c)'!E41+'(2015-16d)'!E41</f>
        <v>0</v>
      </c>
      <c r="F41" s="14">
        <f>'(2015-16b)'!I42+'(2015-16b)'!J42+'(2015-16c)'!F41+'(2015-16d)'!F41</f>
        <v>0</v>
      </c>
      <c r="H41" s="8"/>
      <c r="I41" s="8"/>
      <c r="J41" s="8"/>
      <c r="K41" s="8"/>
    </row>
    <row r="42" spans="1:11" x14ac:dyDescent="0.3">
      <c r="A42" s="12">
        <v>96</v>
      </c>
      <c r="B42" s="13" t="s">
        <v>44</v>
      </c>
      <c r="C42" s="14">
        <f>'(2015-16b)'!C43+'(2015-16b)'!D43+'(2015-16c)'!C42+'(2015-16d)'!C42</f>
        <v>42</v>
      </c>
      <c r="D42" s="14">
        <f>'(2015-16b)'!E43+'(2015-16b)'!F43+'(2015-16c)'!D42+'(2015-16d)'!D42</f>
        <v>3</v>
      </c>
      <c r="E42" s="14">
        <f>'(2015-16b)'!G43+'(2015-16b)'!H43+'(2015-16c)'!E42+'(2015-16d)'!E42</f>
        <v>1</v>
      </c>
      <c r="F42" s="14">
        <f>'(2015-16b)'!I43+'(2015-16b)'!J43+'(2015-16c)'!F42+'(2015-16d)'!F42</f>
        <v>0</v>
      </c>
      <c r="H42" s="8"/>
      <c r="I42" s="8"/>
      <c r="J42" s="8"/>
      <c r="K42" s="8"/>
    </row>
    <row r="43" spans="1:11" x14ac:dyDescent="0.3">
      <c r="A43" s="12">
        <v>72</v>
      </c>
      <c r="B43" s="16" t="s">
        <v>46</v>
      </c>
      <c r="C43" s="14">
        <f>'(2015-16b)'!C44+'(2015-16b)'!D44+'(2015-16c)'!C43+'(2015-16d)'!C43</f>
        <v>0</v>
      </c>
      <c r="D43" s="14">
        <f>'(2015-16b)'!E44+'(2015-16b)'!F44+'(2015-16c)'!D43+'(2015-16d)'!D43</f>
        <v>0</v>
      </c>
      <c r="E43" s="14">
        <f>'(2015-16b)'!G44+'(2015-16b)'!H44+'(2015-16c)'!E43+'(2015-16d)'!E43</f>
        <v>0</v>
      </c>
      <c r="F43" s="14">
        <f>'(2015-16b)'!I44+'(2015-16b)'!J44+'(2015-16c)'!F43+'(2015-16d)'!F43</f>
        <v>0</v>
      </c>
      <c r="H43" s="8"/>
      <c r="I43" s="8"/>
      <c r="J43" s="8"/>
      <c r="K43" s="8"/>
    </row>
    <row r="44" spans="1:11" s="11" customFormat="1" ht="25.5" customHeight="1" x14ac:dyDescent="0.3">
      <c r="B44" s="6" t="s">
        <v>47</v>
      </c>
      <c r="C44" s="18">
        <f>SUM(C45:C51)</f>
        <v>698</v>
      </c>
      <c r="D44" s="18">
        <f>SUM(D45:D51)</f>
        <v>194</v>
      </c>
      <c r="E44" s="18">
        <f>SUM(E45:E51)</f>
        <v>15</v>
      </c>
      <c r="F44" s="18">
        <f>SUM(F45:F51)</f>
        <v>0</v>
      </c>
      <c r="H44" s="8"/>
      <c r="I44" s="8"/>
      <c r="J44" s="8"/>
      <c r="K44" s="8"/>
    </row>
    <row r="45" spans="1:11" ht="12.75" customHeight="1" x14ac:dyDescent="0.3">
      <c r="A45" s="12">
        <v>66</v>
      </c>
      <c r="B45" s="19" t="s">
        <v>48</v>
      </c>
      <c r="C45" s="14">
        <f>'(2015-16b)'!C46+'(2015-16b)'!D46+'(2015-16c)'!C45+'(2015-16d)'!C45</f>
        <v>119</v>
      </c>
      <c r="D45" s="14">
        <f>'(2015-16b)'!E46+'(2015-16b)'!F46+'(2015-16c)'!D45+'(2015-16d)'!D45</f>
        <v>22</v>
      </c>
      <c r="E45" s="14">
        <f>'(2015-16b)'!G46+'(2015-16b)'!H46+'(2015-16c)'!E45+'(2015-16d)'!E45</f>
        <v>0</v>
      </c>
      <c r="F45" s="14">
        <f>'(2015-16b)'!I46+'(2015-16b)'!J46+'(2015-16c)'!F45+'(2015-16d)'!F45</f>
        <v>0</v>
      </c>
      <c r="H45" s="8"/>
      <c r="I45" s="8"/>
      <c r="J45" s="8"/>
      <c r="K45" s="8"/>
    </row>
    <row r="46" spans="1:11" ht="12.75" customHeight="1" x14ac:dyDescent="0.3">
      <c r="A46" s="12">
        <v>78</v>
      </c>
      <c r="B46" s="13" t="s">
        <v>49</v>
      </c>
      <c r="C46" s="14">
        <f>'(2015-16b)'!C47+'(2015-16b)'!D47+'(2015-16c)'!C46+'(2015-16d)'!C46</f>
        <v>52</v>
      </c>
      <c r="D46" s="14">
        <f>'(2015-16b)'!E47+'(2015-16b)'!F47+'(2015-16c)'!D46+'(2015-16d)'!D46</f>
        <v>14</v>
      </c>
      <c r="E46" s="14">
        <f>'(2015-16b)'!G47+'(2015-16b)'!H47+'(2015-16c)'!E46+'(2015-16d)'!E46</f>
        <v>0</v>
      </c>
      <c r="F46" s="14">
        <f>'(2015-16b)'!I47+'(2015-16b)'!J47+'(2015-16c)'!F46+'(2015-16d)'!F46</f>
        <v>0</v>
      </c>
      <c r="H46" s="8"/>
      <c r="I46" s="8"/>
      <c r="J46" s="8"/>
      <c r="K46" s="8"/>
    </row>
    <row r="47" spans="1:11" ht="12.75" customHeight="1" x14ac:dyDescent="0.3">
      <c r="A47" s="12">
        <v>89</v>
      </c>
      <c r="B47" s="13" t="s">
        <v>50</v>
      </c>
      <c r="C47" s="14">
        <f>'(2015-16b)'!C48+'(2015-16b)'!D48+'(2015-16c)'!C47+'(2015-16d)'!C47</f>
        <v>98</v>
      </c>
      <c r="D47" s="14">
        <f>'(2015-16b)'!E48+'(2015-16b)'!F48+'(2015-16c)'!D47+'(2015-16d)'!D47</f>
        <v>8</v>
      </c>
      <c r="E47" s="14">
        <f>'(2015-16b)'!G48+'(2015-16b)'!H48+'(2015-16c)'!E47+'(2015-16d)'!E47</f>
        <v>8</v>
      </c>
      <c r="F47" s="14">
        <f>'(2015-16b)'!I48+'(2015-16b)'!J48+'(2015-16c)'!F47+'(2015-16d)'!F47</f>
        <v>0</v>
      </c>
      <c r="H47" s="8"/>
      <c r="I47" s="8"/>
      <c r="J47" s="8"/>
      <c r="K47" s="8"/>
    </row>
    <row r="48" spans="1:11" ht="12.75" customHeight="1" x14ac:dyDescent="0.3">
      <c r="A48" s="12">
        <v>93</v>
      </c>
      <c r="B48" s="13" t="s">
        <v>51</v>
      </c>
      <c r="C48" s="14">
        <f>'(2015-16b)'!C49+'(2015-16b)'!D49+'(2015-16c)'!C48+'(2015-16d)'!C48</f>
        <v>36</v>
      </c>
      <c r="D48" s="14">
        <f>'(2015-16b)'!E49+'(2015-16b)'!F49+'(2015-16c)'!D48+'(2015-16d)'!D48</f>
        <v>9</v>
      </c>
      <c r="E48" s="14">
        <f>'(2015-16b)'!G49+'(2015-16b)'!H49+'(2015-16c)'!E48+'(2015-16d)'!E48</f>
        <v>0</v>
      </c>
      <c r="F48" s="14">
        <f>'(2015-16b)'!I49+'(2015-16b)'!J49+'(2015-16c)'!F48+'(2015-16d)'!F48</f>
        <v>0</v>
      </c>
      <c r="H48" s="8"/>
      <c r="I48" s="8"/>
      <c r="J48" s="8"/>
      <c r="K48" s="8"/>
    </row>
    <row r="49" spans="1:11" ht="12.75" customHeight="1" x14ac:dyDescent="0.3">
      <c r="A49" s="12">
        <v>95</v>
      </c>
      <c r="B49" s="13" t="s">
        <v>52</v>
      </c>
      <c r="C49" s="14">
        <f>'(2015-16b)'!C50+'(2015-16b)'!D50+'(2015-16c)'!C49+'(2015-16d)'!C49</f>
        <v>94</v>
      </c>
      <c r="D49" s="14">
        <f>'(2015-16b)'!E50+'(2015-16b)'!F50+'(2015-16c)'!D49+'(2015-16d)'!D49</f>
        <v>18</v>
      </c>
      <c r="E49" s="14">
        <f>'(2015-16b)'!G50+'(2015-16b)'!H50+'(2015-16c)'!E49+'(2015-16d)'!E49</f>
        <v>3</v>
      </c>
      <c r="F49" s="14">
        <f>'(2015-16b)'!I50+'(2015-16b)'!J50+'(2015-16c)'!F49+'(2015-16d)'!F49</f>
        <v>0</v>
      </c>
      <c r="H49" s="8"/>
      <c r="I49" s="8"/>
      <c r="J49" s="8"/>
      <c r="K49" s="8"/>
    </row>
    <row r="50" spans="1:11" ht="12.75" customHeight="1" x14ac:dyDescent="0.3">
      <c r="A50" s="12">
        <v>97</v>
      </c>
      <c r="B50" s="13" t="s">
        <v>53</v>
      </c>
      <c r="C50" s="14">
        <f>'(2015-16b)'!C51+'(2015-16b)'!D51+'(2015-16c)'!C50+'(2015-16d)'!C50</f>
        <v>102</v>
      </c>
      <c r="D50" s="14">
        <f>'(2015-16b)'!E51+'(2015-16b)'!F51+'(2015-16c)'!D50+'(2015-16d)'!D50</f>
        <v>25</v>
      </c>
      <c r="E50" s="14">
        <f>'(2015-16b)'!G51+'(2015-16b)'!H51+'(2015-16c)'!E50+'(2015-16d)'!E50</f>
        <v>1</v>
      </c>
      <c r="F50" s="14">
        <f>'(2015-16b)'!I51+'(2015-16b)'!J51+'(2015-16c)'!F50+'(2015-16d)'!F50</f>
        <v>0</v>
      </c>
      <c r="H50" s="8"/>
      <c r="I50" s="8"/>
      <c r="J50" s="8"/>
      <c r="K50" s="8"/>
    </row>
    <row r="51" spans="1:11" ht="12.75" customHeight="1" x14ac:dyDescent="0.3">
      <c r="A51" s="12">
        <v>77</v>
      </c>
      <c r="B51" s="20" t="s">
        <v>54</v>
      </c>
      <c r="C51" s="14">
        <f>'(2015-16b)'!C52+'(2015-16b)'!D52+'(2015-16c)'!C51+'(2015-16d)'!C51</f>
        <v>197</v>
      </c>
      <c r="D51" s="14">
        <f>'(2015-16b)'!E52+'(2015-16b)'!F52+'(2015-16c)'!D51+'(2015-16d)'!D51</f>
        <v>98</v>
      </c>
      <c r="E51" s="14">
        <f>'(2015-16b)'!G52+'(2015-16b)'!H52+'(2015-16c)'!E51+'(2015-16d)'!E51</f>
        <v>3</v>
      </c>
      <c r="F51" s="14">
        <f>'(2015-16b)'!I52+'(2015-16b)'!J52+'(2015-16c)'!F51+'(2015-16d)'!F51</f>
        <v>0</v>
      </c>
      <c r="H51" s="8"/>
      <c r="I51" s="8"/>
      <c r="J51" s="8"/>
      <c r="K51" s="8"/>
    </row>
    <row r="53" spans="1:11" ht="12.75" customHeight="1" x14ac:dyDescent="0.3">
      <c r="B53" s="12" t="s">
        <v>55</v>
      </c>
      <c r="C53" s="22"/>
    </row>
    <row r="54" spans="1:11" ht="12.75" customHeight="1" x14ac:dyDescent="0.3">
      <c r="B54" s="291" t="s">
        <v>56</v>
      </c>
      <c r="C54" s="292"/>
      <c r="D54" s="292"/>
      <c r="E54" s="292"/>
      <c r="F54" s="292"/>
    </row>
    <row r="55" spans="1:11" ht="12.75" customHeight="1" x14ac:dyDescent="0.3">
      <c r="B55" s="292"/>
      <c r="C55" s="292"/>
      <c r="D55" s="292"/>
      <c r="E55" s="292"/>
      <c r="F55" s="292"/>
    </row>
    <row r="56" spans="1:11" ht="12.75" customHeight="1" x14ac:dyDescent="0.3">
      <c r="B56" s="292"/>
      <c r="C56" s="292"/>
      <c r="D56" s="292"/>
      <c r="E56" s="292"/>
      <c r="F56" s="292"/>
    </row>
    <row r="57" spans="1:11" ht="12.75" customHeight="1" x14ac:dyDescent="0.3">
      <c r="B57" s="292"/>
      <c r="C57" s="292"/>
      <c r="D57" s="292"/>
      <c r="E57" s="292"/>
      <c r="F57" s="292"/>
    </row>
    <row r="58" spans="1:11" ht="12.75" customHeight="1" x14ac:dyDescent="0.3">
      <c r="B58" s="292"/>
      <c r="C58" s="292"/>
      <c r="D58" s="292"/>
      <c r="E58" s="292"/>
      <c r="F58" s="292"/>
    </row>
    <row r="59" spans="1:11" ht="12.75" customHeight="1" x14ac:dyDescent="0.3">
      <c r="B59" s="292"/>
      <c r="C59" s="292"/>
      <c r="D59" s="292"/>
      <c r="E59" s="292"/>
      <c r="F59" s="292"/>
    </row>
    <row r="60" spans="1:11" ht="39" customHeight="1" x14ac:dyDescent="0.3">
      <c r="B60" s="292"/>
      <c r="C60" s="292"/>
      <c r="D60" s="292"/>
      <c r="E60" s="292"/>
      <c r="F60" s="292"/>
    </row>
    <row r="61" spans="1:11" ht="12.75" customHeight="1" x14ac:dyDescent="0.3">
      <c r="B61" s="23"/>
      <c r="C61" s="23"/>
      <c r="D61" s="23"/>
      <c r="E61" s="23"/>
      <c r="F61" s="23"/>
    </row>
    <row r="62" spans="1:11" ht="12.75" customHeight="1" x14ac:dyDescent="0.3">
      <c r="B62" s="24" t="s">
        <v>57</v>
      </c>
      <c r="C62" s="25"/>
      <c r="D62" s="25"/>
      <c r="E62" s="25"/>
    </row>
    <row r="63" spans="1:11" x14ac:dyDescent="0.3">
      <c r="B63" s="26"/>
      <c r="C63" s="25"/>
      <c r="D63" s="25"/>
      <c r="E63" s="25"/>
    </row>
    <row r="64" spans="1:11" x14ac:dyDescent="0.3">
      <c r="C64" s="25"/>
      <c r="D64" s="25"/>
      <c r="E64" s="25"/>
    </row>
    <row r="65" spans="2:5" x14ac:dyDescent="0.3">
      <c r="B65" s="27"/>
      <c r="C65" s="25"/>
      <c r="D65" s="25"/>
      <c r="E65" s="25"/>
    </row>
    <row r="66" spans="2:5" x14ac:dyDescent="0.3">
      <c r="C66" s="25"/>
      <c r="D66" s="25"/>
      <c r="E66" s="25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FF0000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28" hidden="1" customWidth="1"/>
    <col min="2" max="2" width="24.7265625" style="2" customWidth="1"/>
    <col min="3" max="3" width="11" style="2" customWidth="1"/>
    <col min="4" max="4" width="11.7265625" style="2" customWidth="1"/>
    <col min="5" max="10" width="11" style="2" customWidth="1"/>
    <col min="11" max="256" width="9.26953125" style="2"/>
    <col min="257" max="257" width="0" style="2" hidden="1" customWidth="1"/>
    <col min="258" max="258" width="24.7265625" style="2" customWidth="1"/>
    <col min="259" max="259" width="11" style="2" customWidth="1"/>
    <col min="260" max="260" width="11.7265625" style="2" customWidth="1"/>
    <col min="261" max="266" width="11" style="2" customWidth="1"/>
    <col min="267" max="512" width="9.26953125" style="2"/>
    <col min="513" max="513" width="0" style="2" hidden="1" customWidth="1"/>
    <col min="514" max="514" width="24.7265625" style="2" customWidth="1"/>
    <col min="515" max="515" width="11" style="2" customWidth="1"/>
    <col min="516" max="516" width="11.7265625" style="2" customWidth="1"/>
    <col min="517" max="522" width="11" style="2" customWidth="1"/>
    <col min="523" max="768" width="9.26953125" style="2"/>
    <col min="769" max="769" width="0" style="2" hidden="1" customWidth="1"/>
    <col min="770" max="770" width="24.7265625" style="2" customWidth="1"/>
    <col min="771" max="771" width="11" style="2" customWidth="1"/>
    <col min="772" max="772" width="11.7265625" style="2" customWidth="1"/>
    <col min="773" max="778" width="11" style="2" customWidth="1"/>
    <col min="779" max="1024" width="9.26953125" style="2"/>
    <col min="1025" max="1025" width="0" style="2" hidden="1" customWidth="1"/>
    <col min="1026" max="1026" width="24.7265625" style="2" customWidth="1"/>
    <col min="1027" max="1027" width="11" style="2" customWidth="1"/>
    <col min="1028" max="1028" width="11.7265625" style="2" customWidth="1"/>
    <col min="1029" max="1034" width="11" style="2" customWidth="1"/>
    <col min="1035" max="1280" width="9.26953125" style="2"/>
    <col min="1281" max="1281" width="0" style="2" hidden="1" customWidth="1"/>
    <col min="1282" max="1282" width="24.7265625" style="2" customWidth="1"/>
    <col min="1283" max="1283" width="11" style="2" customWidth="1"/>
    <col min="1284" max="1284" width="11.7265625" style="2" customWidth="1"/>
    <col min="1285" max="1290" width="11" style="2" customWidth="1"/>
    <col min="1291" max="1536" width="9.26953125" style="2"/>
    <col min="1537" max="1537" width="0" style="2" hidden="1" customWidth="1"/>
    <col min="1538" max="1538" width="24.7265625" style="2" customWidth="1"/>
    <col min="1539" max="1539" width="11" style="2" customWidth="1"/>
    <col min="1540" max="1540" width="11.7265625" style="2" customWidth="1"/>
    <col min="1541" max="1546" width="11" style="2" customWidth="1"/>
    <col min="1547" max="1792" width="9.26953125" style="2"/>
    <col min="1793" max="1793" width="0" style="2" hidden="1" customWidth="1"/>
    <col min="1794" max="1794" width="24.7265625" style="2" customWidth="1"/>
    <col min="1795" max="1795" width="11" style="2" customWidth="1"/>
    <col min="1796" max="1796" width="11.7265625" style="2" customWidth="1"/>
    <col min="1797" max="1802" width="11" style="2" customWidth="1"/>
    <col min="1803" max="2048" width="9.26953125" style="2"/>
    <col min="2049" max="2049" width="0" style="2" hidden="1" customWidth="1"/>
    <col min="2050" max="2050" width="24.7265625" style="2" customWidth="1"/>
    <col min="2051" max="2051" width="11" style="2" customWidth="1"/>
    <col min="2052" max="2052" width="11.7265625" style="2" customWidth="1"/>
    <col min="2053" max="2058" width="11" style="2" customWidth="1"/>
    <col min="2059" max="2304" width="9.26953125" style="2"/>
    <col min="2305" max="2305" width="0" style="2" hidden="1" customWidth="1"/>
    <col min="2306" max="2306" width="24.7265625" style="2" customWidth="1"/>
    <col min="2307" max="2307" width="11" style="2" customWidth="1"/>
    <col min="2308" max="2308" width="11.7265625" style="2" customWidth="1"/>
    <col min="2309" max="2314" width="11" style="2" customWidth="1"/>
    <col min="2315" max="2560" width="9.26953125" style="2"/>
    <col min="2561" max="2561" width="0" style="2" hidden="1" customWidth="1"/>
    <col min="2562" max="2562" width="24.7265625" style="2" customWidth="1"/>
    <col min="2563" max="2563" width="11" style="2" customWidth="1"/>
    <col min="2564" max="2564" width="11.7265625" style="2" customWidth="1"/>
    <col min="2565" max="2570" width="11" style="2" customWidth="1"/>
    <col min="2571" max="2816" width="9.26953125" style="2"/>
    <col min="2817" max="2817" width="0" style="2" hidden="1" customWidth="1"/>
    <col min="2818" max="2818" width="24.7265625" style="2" customWidth="1"/>
    <col min="2819" max="2819" width="11" style="2" customWidth="1"/>
    <col min="2820" max="2820" width="11.7265625" style="2" customWidth="1"/>
    <col min="2821" max="2826" width="11" style="2" customWidth="1"/>
    <col min="2827" max="3072" width="9.26953125" style="2"/>
    <col min="3073" max="3073" width="0" style="2" hidden="1" customWidth="1"/>
    <col min="3074" max="3074" width="24.7265625" style="2" customWidth="1"/>
    <col min="3075" max="3075" width="11" style="2" customWidth="1"/>
    <col min="3076" max="3076" width="11.7265625" style="2" customWidth="1"/>
    <col min="3077" max="3082" width="11" style="2" customWidth="1"/>
    <col min="3083" max="3328" width="9.26953125" style="2"/>
    <col min="3329" max="3329" width="0" style="2" hidden="1" customWidth="1"/>
    <col min="3330" max="3330" width="24.7265625" style="2" customWidth="1"/>
    <col min="3331" max="3331" width="11" style="2" customWidth="1"/>
    <col min="3332" max="3332" width="11.7265625" style="2" customWidth="1"/>
    <col min="3333" max="3338" width="11" style="2" customWidth="1"/>
    <col min="3339" max="3584" width="9.26953125" style="2"/>
    <col min="3585" max="3585" width="0" style="2" hidden="1" customWidth="1"/>
    <col min="3586" max="3586" width="24.7265625" style="2" customWidth="1"/>
    <col min="3587" max="3587" width="11" style="2" customWidth="1"/>
    <col min="3588" max="3588" width="11.7265625" style="2" customWidth="1"/>
    <col min="3589" max="3594" width="11" style="2" customWidth="1"/>
    <col min="3595" max="3840" width="9.26953125" style="2"/>
    <col min="3841" max="3841" width="0" style="2" hidden="1" customWidth="1"/>
    <col min="3842" max="3842" width="24.7265625" style="2" customWidth="1"/>
    <col min="3843" max="3843" width="11" style="2" customWidth="1"/>
    <col min="3844" max="3844" width="11.7265625" style="2" customWidth="1"/>
    <col min="3845" max="3850" width="11" style="2" customWidth="1"/>
    <col min="3851" max="4096" width="9.26953125" style="2"/>
    <col min="4097" max="4097" width="0" style="2" hidden="1" customWidth="1"/>
    <col min="4098" max="4098" width="24.7265625" style="2" customWidth="1"/>
    <col min="4099" max="4099" width="11" style="2" customWidth="1"/>
    <col min="4100" max="4100" width="11.7265625" style="2" customWidth="1"/>
    <col min="4101" max="4106" width="11" style="2" customWidth="1"/>
    <col min="4107" max="4352" width="9.26953125" style="2"/>
    <col min="4353" max="4353" width="0" style="2" hidden="1" customWidth="1"/>
    <col min="4354" max="4354" width="24.7265625" style="2" customWidth="1"/>
    <col min="4355" max="4355" width="11" style="2" customWidth="1"/>
    <col min="4356" max="4356" width="11.7265625" style="2" customWidth="1"/>
    <col min="4357" max="4362" width="11" style="2" customWidth="1"/>
    <col min="4363" max="4608" width="9.26953125" style="2"/>
    <col min="4609" max="4609" width="0" style="2" hidden="1" customWidth="1"/>
    <col min="4610" max="4610" width="24.7265625" style="2" customWidth="1"/>
    <col min="4611" max="4611" width="11" style="2" customWidth="1"/>
    <col min="4612" max="4612" width="11.7265625" style="2" customWidth="1"/>
    <col min="4613" max="4618" width="11" style="2" customWidth="1"/>
    <col min="4619" max="4864" width="9.26953125" style="2"/>
    <col min="4865" max="4865" width="0" style="2" hidden="1" customWidth="1"/>
    <col min="4866" max="4866" width="24.7265625" style="2" customWidth="1"/>
    <col min="4867" max="4867" width="11" style="2" customWidth="1"/>
    <col min="4868" max="4868" width="11.7265625" style="2" customWidth="1"/>
    <col min="4869" max="4874" width="11" style="2" customWidth="1"/>
    <col min="4875" max="5120" width="9.26953125" style="2"/>
    <col min="5121" max="5121" width="0" style="2" hidden="1" customWidth="1"/>
    <col min="5122" max="5122" width="24.7265625" style="2" customWidth="1"/>
    <col min="5123" max="5123" width="11" style="2" customWidth="1"/>
    <col min="5124" max="5124" width="11.7265625" style="2" customWidth="1"/>
    <col min="5125" max="5130" width="11" style="2" customWidth="1"/>
    <col min="5131" max="5376" width="9.26953125" style="2"/>
    <col min="5377" max="5377" width="0" style="2" hidden="1" customWidth="1"/>
    <col min="5378" max="5378" width="24.7265625" style="2" customWidth="1"/>
    <col min="5379" max="5379" width="11" style="2" customWidth="1"/>
    <col min="5380" max="5380" width="11.7265625" style="2" customWidth="1"/>
    <col min="5381" max="5386" width="11" style="2" customWidth="1"/>
    <col min="5387" max="5632" width="9.26953125" style="2"/>
    <col min="5633" max="5633" width="0" style="2" hidden="1" customWidth="1"/>
    <col min="5634" max="5634" width="24.7265625" style="2" customWidth="1"/>
    <col min="5635" max="5635" width="11" style="2" customWidth="1"/>
    <col min="5636" max="5636" width="11.7265625" style="2" customWidth="1"/>
    <col min="5637" max="5642" width="11" style="2" customWidth="1"/>
    <col min="5643" max="5888" width="9.26953125" style="2"/>
    <col min="5889" max="5889" width="0" style="2" hidden="1" customWidth="1"/>
    <col min="5890" max="5890" width="24.7265625" style="2" customWidth="1"/>
    <col min="5891" max="5891" width="11" style="2" customWidth="1"/>
    <col min="5892" max="5892" width="11.7265625" style="2" customWidth="1"/>
    <col min="5893" max="5898" width="11" style="2" customWidth="1"/>
    <col min="5899" max="6144" width="9.26953125" style="2"/>
    <col min="6145" max="6145" width="0" style="2" hidden="1" customWidth="1"/>
    <col min="6146" max="6146" width="24.7265625" style="2" customWidth="1"/>
    <col min="6147" max="6147" width="11" style="2" customWidth="1"/>
    <col min="6148" max="6148" width="11.7265625" style="2" customWidth="1"/>
    <col min="6149" max="6154" width="11" style="2" customWidth="1"/>
    <col min="6155" max="6400" width="9.26953125" style="2"/>
    <col min="6401" max="6401" width="0" style="2" hidden="1" customWidth="1"/>
    <col min="6402" max="6402" width="24.7265625" style="2" customWidth="1"/>
    <col min="6403" max="6403" width="11" style="2" customWidth="1"/>
    <col min="6404" max="6404" width="11.7265625" style="2" customWidth="1"/>
    <col min="6405" max="6410" width="11" style="2" customWidth="1"/>
    <col min="6411" max="6656" width="9.26953125" style="2"/>
    <col min="6657" max="6657" width="0" style="2" hidden="1" customWidth="1"/>
    <col min="6658" max="6658" width="24.7265625" style="2" customWidth="1"/>
    <col min="6659" max="6659" width="11" style="2" customWidth="1"/>
    <col min="6660" max="6660" width="11.7265625" style="2" customWidth="1"/>
    <col min="6661" max="6666" width="11" style="2" customWidth="1"/>
    <col min="6667" max="6912" width="9.26953125" style="2"/>
    <col min="6913" max="6913" width="0" style="2" hidden="1" customWidth="1"/>
    <col min="6914" max="6914" width="24.7265625" style="2" customWidth="1"/>
    <col min="6915" max="6915" width="11" style="2" customWidth="1"/>
    <col min="6916" max="6916" width="11.7265625" style="2" customWidth="1"/>
    <col min="6917" max="6922" width="11" style="2" customWidth="1"/>
    <col min="6923" max="7168" width="9.26953125" style="2"/>
    <col min="7169" max="7169" width="0" style="2" hidden="1" customWidth="1"/>
    <col min="7170" max="7170" width="24.7265625" style="2" customWidth="1"/>
    <col min="7171" max="7171" width="11" style="2" customWidth="1"/>
    <col min="7172" max="7172" width="11.7265625" style="2" customWidth="1"/>
    <col min="7173" max="7178" width="11" style="2" customWidth="1"/>
    <col min="7179" max="7424" width="9.26953125" style="2"/>
    <col min="7425" max="7425" width="0" style="2" hidden="1" customWidth="1"/>
    <col min="7426" max="7426" width="24.7265625" style="2" customWidth="1"/>
    <col min="7427" max="7427" width="11" style="2" customWidth="1"/>
    <col min="7428" max="7428" width="11.7265625" style="2" customWidth="1"/>
    <col min="7429" max="7434" width="11" style="2" customWidth="1"/>
    <col min="7435" max="7680" width="9.26953125" style="2"/>
    <col min="7681" max="7681" width="0" style="2" hidden="1" customWidth="1"/>
    <col min="7682" max="7682" width="24.7265625" style="2" customWidth="1"/>
    <col min="7683" max="7683" width="11" style="2" customWidth="1"/>
    <col min="7684" max="7684" width="11.7265625" style="2" customWidth="1"/>
    <col min="7685" max="7690" width="11" style="2" customWidth="1"/>
    <col min="7691" max="7936" width="9.26953125" style="2"/>
    <col min="7937" max="7937" width="0" style="2" hidden="1" customWidth="1"/>
    <col min="7938" max="7938" width="24.7265625" style="2" customWidth="1"/>
    <col min="7939" max="7939" width="11" style="2" customWidth="1"/>
    <col min="7940" max="7940" width="11.7265625" style="2" customWidth="1"/>
    <col min="7941" max="7946" width="11" style="2" customWidth="1"/>
    <col min="7947" max="8192" width="9.26953125" style="2"/>
    <col min="8193" max="8193" width="0" style="2" hidden="1" customWidth="1"/>
    <col min="8194" max="8194" width="24.7265625" style="2" customWidth="1"/>
    <col min="8195" max="8195" width="11" style="2" customWidth="1"/>
    <col min="8196" max="8196" width="11.7265625" style="2" customWidth="1"/>
    <col min="8197" max="8202" width="11" style="2" customWidth="1"/>
    <col min="8203" max="8448" width="9.26953125" style="2"/>
    <col min="8449" max="8449" width="0" style="2" hidden="1" customWidth="1"/>
    <col min="8450" max="8450" width="24.7265625" style="2" customWidth="1"/>
    <col min="8451" max="8451" width="11" style="2" customWidth="1"/>
    <col min="8452" max="8452" width="11.7265625" style="2" customWidth="1"/>
    <col min="8453" max="8458" width="11" style="2" customWidth="1"/>
    <col min="8459" max="8704" width="9.26953125" style="2"/>
    <col min="8705" max="8705" width="0" style="2" hidden="1" customWidth="1"/>
    <col min="8706" max="8706" width="24.7265625" style="2" customWidth="1"/>
    <col min="8707" max="8707" width="11" style="2" customWidth="1"/>
    <col min="8708" max="8708" width="11.7265625" style="2" customWidth="1"/>
    <col min="8709" max="8714" width="11" style="2" customWidth="1"/>
    <col min="8715" max="8960" width="9.26953125" style="2"/>
    <col min="8961" max="8961" width="0" style="2" hidden="1" customWidth="1"/>
    <col min="8962" max="8962" width="24.7265625" style="2" customWidth="1"/>
    <col min="8963" max="8963" width="11" style="2" customWidth="1"/>
    <col min="8964" max="8964" width="11.7265625" style="2" customWidth="1"/>
    <col min="8965" max="8970" width="11" style="2" customWidth="1"/>
    <col min="8971" max="9216" width="9.26953125" style="2"/>
    <col min="9217" max="9217" width="0" style="2" hidden="1" customWidth="1"/>
    <col min="9218" max="9218" width="24.7265625" style="2" customWidth="1"/>
    <col min="9219" max="9219" width="11" style="2" customWidth="1"/>
    <col min="9220" max="9220" width="11.7265625" style="2" customWidth="1"/>
    <col min="9221" max="9226" width="11" style="2" customWidth="1"/>
    <col min="9227" max="9472" width="9.26953125" style="2"/>
    <col min="9473" max="9473" width="0" style="2" hidden="1" customWidth="1"/>
    <col min="9474" max="9474" width="24.7265625" style="2" customWidth="1"/>
    <col min="9475" max="9475" width="11" style="2" customWidth="1"/>
    <col min="9476" max="9476" width="11.7265625" style="2" customWidth="1"/>
    <col min="9477" max="9482" width="11" style="2" customWidth="1"/>
    <col min="9483" max="9728" width="9.26953125" style="2"/>
    <col min="9729" max="9729" width="0" style="2" hidden="1" customWidth="1"/>
    <col min="9730" max="9730" width="24.7265625" style="2" customWidth="1"/>
    <col min="9731" max="9731" width="11" style="2" customWidth="1"/>
    <col min="9732" max="9732" width="11.7265625" style="2" customWidth="1"/>
    <col min="9733" max="9738" width="11" style="2" customWidth="1"/>
    <col min="9739" max="9984" width="9.26953125" style="2"/>
    <col min="9985" max="9985" width="0" style="2" hidden="1" customWidth="1"/>
    <col min="9986" max="9986" width="24.7265625" style="2" customWidth="1"/>
    <col min="9987" max="9987" width="11" style="2" customWidth="1"/>
    <col min="9988" max="9988" width="11.7265625" style="2" customWidth="1"/>
    <col min="9989" max="9994" width="11" style="2" customWidth="1"/>
    <col min="9995" max="10240" width="9.26953125" style="2"/>
    <col min="10241" max="10241" width="0" style="2" hidden="1" customWidth="1"/>
    <col min="10242" max="10242" width="24.7265625" style="2" customWidth="1"/>
    <col min="10243" max="10243" width="11" style="2" customWidth="1"/>
    <col min="10244" max="10244" width="11.7265625" style="2" customWidth="1"/>
    <col min="10245" max="10250" width="11" style="2" customWidth="1"/>
    <col min="10251" max="10496" width="9.26953125" style="2"/>
    <col min="10497" max="10497" width="0" style="2" hidden="1" customWidth="1"/>
    <col min="10498" max="10498" width="24.7265625" style="2" customWidth="1"/>
    <col min="10499" max="10499" width="11" style="2" customWidth="1"/>
    <col min="10500" max="10500" width="11.7265625" style="2" customWidth="1"/>
    <col min="10501" max="10506" width="11" style="2" customWidth="1"/>
    <col min="10507" max="10752" width="9.26953125" style="2"/>
    <col min="10753" max="10753" width="0" style="2" hidden="1" customWidth="1"/>
    <col min="10754" max="10754" width="24.7265625" style="2" customWidth="1"/>
    <col min="10755" max="10755" width="11" style="2" customWidth="1"/>
    <col min="10756" max="10756" width="11.7265625" style="2" customWidth="1"/>
    <col min="10757" max="10762" width="11" style="2" customWidth="1"/>
    <col min="10763" max="11008" width="9.26953125" style="2"/>
    <col min="11009" max="11009" width="0" style="2" hidden="1" customWidth="1"/>
    <col min="11010" max="11010" width="24.7265625" style="2" customWidth="1"/>
    <col min="11011" max="11011" width="11" style="2" customWidth="1"/>
    <col min="11012" max="11012" width="11.7265625" style="2" customWidth="1"/>
    <col min="11013" max="11018" width="11" style="2" customWidth="1"/>
    <col min="11019" max="11264" width="9.26953125" style="2"/>
    <col min="11265" max="11265" width="0" style="2" hidden="1" customWidth="1"/>
    <col min="11266" max="11266" width="24.7265625" style="2" customWidth="1"/>
    <col min="11267" max="11267" width="11" style="2" customWidth="1"/>
    <col min="11268" max="11268" width="11.7265625" style="2" customWidth="1"/>
    <col min="11269" max="11274" width="11" style="2" customWidth="1"/>
    <col min="11275" max="11520" width="9.26953125" style="2"/>
    <col min="11521" max="11521" width="0" style="2" hidden="1" customWidth="1"/>
    <col min="11522" max="11522" width="24.7265625" style="2" customWidth="1"/>
    <col min="11523" max="11523" width="11" style="2" customWidth="1"/>
    <col min="11524" max="11524" width="11.7265625" style="2" customWidth="1"/>
    <col min="11525" max="11530" width="11" style="2" customWidth="1"/>
    <col min="11531" max="11776" width="9.26953125" style="2"/>
    <col min="11777" max="11777" width="0" style="2" hidden="1" customWidth="1"/>
    <col min="11778" max="11778" width="24.7265625" style="2" customWidth="1"/>
    <col min="11779" max="11779" width="11" style="2" customWidth="1"/>
    <col min="11780" max="11780" width="11.7265625" style="2" customWidth="1"/>
    <col min="11781" max="11786" width="11" style="2" customWidth="1"/>
    <col min="11787" max="12032" width="9.26953125" style="2"/>
    <col min="12033" max="12033" width="0" style="2" hidden="1" customWidth="1"/>
    <col min="12034" max="12034" width="24.7265625" style="2" customWidth="1"/>
    <col min="12035" max="12035" width="11" style="2" customWidth="1"/>
    <col min="12036" max="12036" width="11.7265625" style="2" customWidth="1"/>
    <col min="12037" max="12042" width="11" style="2" customWidth="1"/>
    <col min="12043" max="12288" width="9.26953125" style="2"/>
    <col min="12289" max="12289" width="0" style="2" hidden="1" customWidth="1"/>
    <col min="12290" max="12290" width="24.7265625" style="2" customWidth="1"/>
    <col min="12291" max="12291" width="11" style="2" customWidth="1"/>
    <col min="12292" max="12292" width="11.7265625" style="2" customWidth="1"/>
    <col min="12293" max="12298" width="11" style="2" customWidth="1"/>
    <col min="12299" max="12544" width="9.26953125" style="2"/>
    <col min="12545" max="12545" width="0" style="2" hidden="1" customWidth="1"/>
    <col min="12546" max="12546" width="24.7265625" style="2" customWidth="1"/>
    <col min="12547" max="12547" width="11" style="2" customWidth="1"/>
    <col min="12548" max="12548" width="11.7265625" style="2" customWidth="1"/>
    <col min="12549" max="12554" width="11" style="2" customWidth="1"/>
    <col min="12555" max="12800" width="9.26953125" style="2"/>
    <col min="12801" max="12801" width="0" style="2" hidden="1" customWidth="1"/>
    <col min="12802" max="12802" width="24.7265625" style="2" customWidth="1"/>
    <col min="12803" max="12803" width="11" style="2" customWidth="1"/>
    <col min="12804" max="12804" width="11.7265625" style="2" customWidth="1"/>
    <col min="12805" max="12810" width="11" style="2" customWidth="1"/>
    <col min="12811" max="13056" width="9.26953125" style="2"/>
    <col min="13057" max="13057" width="0" style="2" hidden="1" customWidth="1"/>
    <col min="13058" max="13058" width="24.7265625" style="2" customWidth="1"/>
    <col min="13059" max="13059" width="11" style="2" customWidth="1"/>
    <col min="13060" max="13060" width="11.7265625" style="2" customWidth="1"/>
    <col min="13061" max="13066" width="11" style="2" customWidth="1"/>
    <col min="13067" max="13312" width="9.26953125" style="2"/>
    <col min="13313" max="13313" width="0" style="2" hidden="1" customWidth="1"/>
    <col min="13314" max="13314" width="24.7265625" style="2" customWidth="1"/>
    <col min="13315" max="13315" width="11" style="2" customWidth="1"/>
    <col min="13316" max="13316" width="11.7265625" style="2" customWidth="1"/>
    <col min="13317" max="13322" width="11" style="2" customWidth="1"/>
    <col min="13323" max="13568" width="9.26953125" style="2"/>
    <col min="13569" max="13569" width="0" style="2" hidden="1" customWidth="1"/>
    <col min="13570" max="13570" width="24.7265625" style="2" customWidth="1"/>
    <col min="13571" max="13571" width="11" style="2" customWidth="1"/>
    <col min="13572" max="13572" width="11.7265625" style="2" customWidth="1"/>
    <col min="13573" max="13578" width="11" style="2" customWidth="1"/>
    <col min="13579" max="13824" width="9.26953125" style="2"/>
    <col min="13825" max="13825" width="0" style="2" hidden="1" customWidth="1"/>
    <col min="13826" max="13826" width="24.7265625" style="2" customWidth="1"/>
    <col min="13827" max="13827" width="11" style="2" customWidth="1"/>
    <col min="13828" max="13828" width="11.7265625" style="2" customWidth="1"/>
    <col min="13829" max="13834" width="11" style="2" customWidth="1"/>
    <col min="13835" max="14080" width="9.26953125" style="2"/>
    <col min="14081" max="14081" width="0" style="2" hidden="1" customWidth="1"/>
    <col min="14082" max="14082" width="24.7265625" style="2" customWidth="1"/>
    <col min="14083" max="14083" width="11" style="2" customWidth="1"/>
    <col min="14084" max="14084" width="11.7265625" style="2" customWidth="1"/>
    <col min="14085" max="14090" width="11" style="2" customWidth="1"/>
    <col min="14091" max="14336" width="9.26953125" style="2"/>
    <col min="14337" max="14337" width="0" style="2" hidden="1" customWidth="1"/>
    <col min="14338" max="14338" width="24.7265625" style="2" customWidth="1"/>
    <col min="14339" max="14339" width="11" style="2" customWidth="1"/>
    <col min="14340" max="14340" width="11.7265625" style="2" customWidth="1"/>
    <col min="14341" max="14346" width="11" style="2" customWidth="1"/>
    <col min="14347" max="14592" width="9.26953125" style="2"/>
    <col min="14593" max="14593" width="0" style="2" hidden="1" customWidth="1"/>
    <col min="14594" max="14594" width="24.7265625" style="2" customWidth="1"/>
    <col min="14595" max="14595" width="11" style="2" customWidth="1"/>
    <col min="14596" max="14596" width="11.7265625" style="2" customWidth="1"/>
    <col min="14597" max="14602" width="11" style="2" customWidth="1"/>
    <col min="14603" max="14848" width="9.26953125" style="2"/>
    <col min="14849" max="14849" width="0" style="2" hidden="1" customWidth="1"/>
    <col min="14850" max="14850" width="24.7265625" style="2" customWidth="1"/>
    <col min="14851" max="14851" width="11" style="2" customWidth="1"/>
    <col min="14852" max="14852" width="11.7265625" style="2" customWidth="1"/>
    <col min="14853" max="14858" width="11" style="2" customWidth="1"/>
    <col min="14859" max="15104" width="9.26953125" style="2"/>
    <col min="15105" max="15105" width="0" style="2" hidden="1" customWidth="1"/>
    <col min="15106" max="15106" width="24.7265625" style="2" customWidth="1"/>
    <col min="15107" max="15107" width="11" style="2" customWidth="1"/>
    <col min="15108" max="15108" width="11.7265625" style="2" customWidth="1"/>
    <col min="15109" max="15114" width="11" style="2" customWidth="1"/>
    <col min="15115" max="15360" width="9.26953125" style="2"/>
    <col min="15361" max="15361" width="0" style="2" hidden="1" customWidth="1"/>
    <col min="15362" max="15362" width="24.7265625" style="2" customWidth="1"/>
    <col min="15363" max="15363" width="11" style="2" customWidth="1"/>
    <col min="15364" max="15364" width="11.7265625" style="2" customWidth="1"/>
    <col min="15365" max="15370" width="11" style="2" customWidth="1"/>
    <col min="15371" max="15616" width="9.26953125" style="2"/>
    <col min="15617" max="15617" width="0" style="2" hidden="1" customWidth="1"/>
    <col min="15618" max="15618" width="24.7265625" style="2" customWidth="1"/>
    <col min="15619" max="15619" width="11" style="2" customWidth="1"/>
    <col min="15620" max="15620" width="11.7265625" style="2" customWidth="1"/>
    <col min="15621" max="15626" width="11" style="2" customWidth="1"/>
    <col min="15627" max="15872" width="9.26953125" style="2"/>
    <col min="15873" max="15873" width="0" style="2" hidden="1" customWidth="1"/>
    <col min="15874" max="15874" width="24.7265625" style="2" customWidth="1"/>
    <col min="15875" max="15875" width="11" style="2" customWidth="1"/>
    <col min="15876" max="15876" width="11.7265625" style="2" customWidth="1"/>
    <col min="15877" max="15882" width="11" style="2" customWidth="1"/>
    <col min="15883" max="16128" width="9.26953125" style="2"/>
    <col min="16129" max="16129" width="0" style="2" hidden="1" customWidth="1"/>
    <col min="16130" max="16130" width="24.7265625" style="2" customWidth="1"/>
    <col min="16131" max="16131" width="11" style="2" customWidth="1"/>
    <col min="16132" max="16132" width="11.7265625" style="2" customWidth="1"/>
    <col min="16133" max="16138" width="11" style="2" customWidth="1"/>
    <col min="16139" max="16384" width="9.26953125" style="2"/>
  </cols>
  <sheetData>
    <row r="1" spans="1:12" ht="48" customHeight="1" x14ac:dyDescent="0.3">
      <c r="B1" s="298" t="s">
        <v>58</v>
      </c>
      <c r="C1" s="298"/>
      <c r="D1" s="298"/>
      <c r="E1" s="298"/>
      <c r="F1" s="298"/>
      <c r="G1" s="298"/>
      <c r="H1" s="298"/>
      <c r="I1" s="298"/>
      <c r="J1" s="298"/>
    </row>
    <row r="2" spans="1:12" ht="12.75" customHeight="1" x14ac:dyDescent="0.3">
      <c r="B2" s="299"/>
      <c r="C2" s="304" t="s">
        <v>1</v>
      </c>
      <c r="D2" s="304"/>
      <c r="E2" s="306" t="s">
        <v>2</v>
      </c>
      <c r="F2" s="306"/>
      <c r="G2" s="306"/>
      <c r="H2" s="306"/>
      <c r="I2" s="307" t="s">
        <v>5</v>
      </c>
      <c r="J2" s="307"/>
    </row>
    <row r="3" spans="1:12" ht="30" customHeight="1" x14ac:dyDescent="0.3">
      <c r="A3" s="29"/>
      <c r="B3" s="299"/>
      <c r="C3" s="305"/>
      <c r="D3" s="305"/>
      <c r="E3" s="30" t="s">
        <v>3</v>
      </c>
      <c r="F3" s="30"/>
      <c r="G3" s="30" t="s">
        <v>4</v>
      </c>
      <c r="H3" s="30"/>
      <c r="I3" s="305"/>
      <c r="J3" s="305"/>
    </row>
    <row r="4" spans="1:12" ht="45.75" customHeight="1" x14ac:dyDescent="0.3">
      <c r="B4" s="303"/>
      <c r="C4" s="31" t="s">
        <v>59</v>
      </c>
      <c r="D4" s="32" t="s">
        <v>60</v>
      </c>
      <c r="E4" s="31" t="s">
        <v>59</v>
      </c>
      <c r="F4" s="32" t="s">
        <v>60</v>
      </c>
      <c r="G4" s="31" t="s">
        <v>59</v>
      </c>
      <c r="H4" s="32" t="s">
        <v>60</v>
      </c>
      <c r="I4" s="31" t="s">
        <v>59</v>
      </c>
      <c r="J4" s="32" t="s">
        <v>60</v>
      </c>
    </row>
    <row r="5" spans="1:12" ht="30" customHeight="1" x14ac:dyDescent="0.3">
      <c r="B5" s="11" t="s">
        <v>6</v>
      </c>
      <c r="C5" s="18">
        <f t="shared" ref="C5:J5" si="0">C6+C45</f>
        <v>693</v>
      </c>
      <c r="D5" s="18">
        <f t="shared" si="0"/>
        <v>356</v>
      </c>
      <c r="E5" s="18">
        <f t="shared" si="0"/>
        <v>142</v>
      </c>
      <c r="F5" s="18">
        <f t="shared" si="0"/>
        <v>85</v>
      </c>
      <c r="G5" s="18">
        <f t="shared" si="0"/>
        <v>11</v>
      </c>
      <c r="H5" s="18">
        <f t="shared" si="0"/>
        <v>5</v>
      </c>
      <c r="I5" s="18">
        <f t="shared" si="0"/>
        <v>1</v>
      </c>
      <c r="J5" s="18">
        <f t="shared" si="0"/>
        <v>0</v>
      </c>
      <c r="L5" s="8"/>
    </row>
    <row r="6" spans="1:12" s="11" customFormat="1" ht="25.5" customHeight="1" x14ac:dyDescent="0.3">
      <c r="A6" s="33"/>
      <c r="B6" s="11" t="s">
        <v>7</v>
      </c>
      <c r="C6" s="34">
        <f t="shared" ref="C6:J6" si="1">SUM(C7:C44)</f>
        <v>456</v>
      </c>
      <c r="D6" s="34">
        <f t="shared" si="1"/>
        <v>248</v>
      </c>
      <c r="E6" s="34">
        <f t="shared" si="1"/>
        <v>69</v>
      </c>
      <c r="F6" s="34">
        <f t="shared" si="1"/>
        <v>37</v>
      </c>
      <c r="G6" s="34">
        <f t="shared" si="1"/>
        <v>7</v>
      </c>
      <c r="H6" s="34">
        <f t="shared" si="1"/>
        <v>3</v>
      </c>
      <c r="I6" s="34">
        <f t="shared" si="1"/>
        <v>1</v>
      </c>
      <c r="J6" s="34">
        <f t="shared" si="1"/>
        <v>0</v>
      </c>
    </row>
    <row r="7" spans="1:12" ht="12.75" customHeight="1" x14ac:dyDescent="0.3">
      <c r="A7" s="35">
        <v>51</v>
      </c>
      <c r="B7" s="2" t="s">
        <v>8</v>
      </c>
      <c r="C7" s="36">
        <v>27</v>
      </c>
      <c r="D7" s="36">
        <v>6</v>
      </c>
      <c r="E7" s="36">
        <v>7</v>
      </c>
      <c r="F7" s="36">
        <v>1</v>
      </c>
      <c r="G7" s="36">
        <v>1</v>
      </c>
      <c r="H7" s="36">
        <v>0</v>
      </c>
      <c r="I7" s="36">
        <v>0</v>
      </c>
      <c r="J7" s="36">
        <v>0</v>
      </c>
    </row>
    <row r="8" spans="1:12" ht="12.75" customHeight="1" x14ac:dyDescent="0.3">
      <c r="A8" s="35">
        <v>52</v>
      </c>
      <c r="B8" s="2" t="s">
        <v>9</v>
      </c>
      <c r="C8" s="36">
        <v>9</v>
      </c>
      <c r="D8" s="36">
        <v>7</v>
      </c>
      <c r="E8" s="36">
        <v>2</v>
      </c>
      <c r="F8" s="36">
        <v>1</v>
      </c>
      <c r="G8" s="36">
        <v>2</v>
      </c>
      <c r="H8" s="36">
        <v>0</v>
      </c>
      <c r="I8" s="36">
        <v>0</v>
      </c>
      <c r="J8" s="36">
        <v>0</v>
      </c>
    </row>
    <row r="9" spans="1:12" ht="12.75" customHeight="1" x14ac:dyDescent="0.3">
      <c r="A9" s="35">
        <v>86</v>
      </c>
      <c r="B9" s="2" t="s">
        <v>10</v>
      </c>
      <c r="C9" s="36">
        <v>16</v>
      </c>
      <c r="D9" s="36">
        <v>5</v>
      </c>
      <c r="E9" s="36">
        <v>3</v>
      </c>
      <c r="F9" s="36">
        <v>3</v>
      </c>
      <c r="G9" s="36">
        <v>0</v>
      </c>
      <c r="H9" s="36">
        <v>0</v>
      </c>
      <c r="I9" s="36">
        <v>0</v>
      </c>
      <c r="J9" s="36">
        <v>0</v>
      </c>
    </row>
    <row r="10" spans="1:12" ht="12.75" customHeight="1" x14ac:dyDescent="0.3">
      <c r="A10" s="35">
        <v>53</v>
      </c>
      <c r="B10" s="2" t="s">
        <v>11</v>
      </c>
      <c r="C10" s="36">
        <v>5</v>
      </c>
      <c r="D10" s="36">
        <v>2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</row>
    <row r="11" spans="1:12" ht="12.75" customHeight="1" x14ac:dyDescent="0.3">
      <c r="A11" s="35">
        <v>54</v>
      </c>
      <c r="B11" s="2" t="s">
        <v>12</v>
      </c>
      <c r="C11" s="36">
        <v>17</v>
      </c>
      <c r="D11" s="36">
        <v>18</v>
      </c>
      <c r="E11" s="36">
        <v>0</v>
      </c>
      <c r="F11" s="36">
        <v>1</v>
      </c>
      <c r="G11" s="36">
        <v>0</v>
      </c>
      <c r="H11" s="36">
        <v>0</v>
      </c>
      <c r="I11" s="36">
        <v>0</v>
      </c>
      <c r="J11" s="36">
        <v>0</v>
      </c>
    </row>
    <row r="12" spans="1:12" ht="12.75" customHeight="1" x14ac:dyDescent="0.3">
      <c r="A12" s="35">
        <v>55</v>
      </c>
      <c r="B12" s="2" t="s">
        <v>13</v>
      </c>
      <c r="C12" s="36">
        <v>10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</row>
    <row r="13" spans="1:12" ht="12.75" customHeight="1" x14ac:dyDescent="0.3">
      <c r="A13" s="35">
        <v>56</v>
      </c>
      <c r="B13" s="2" t="s">
        <v>14</v>
      </c>
      <c r="C13" s="36">
        <v>6</v>
      </c>
      <c r="D13" s="36">
        <v>6</v>
      </c>
      <c r="E13" s="36">
        <v>2</v>
      </c>
      <c r="F13" s="36">
        <v>0</v>
      </c>
      <c r="G13" s="36">
        <v>1</v>
      </c>
      <c r="H13" s="36">
        <v>0</v>
      </c>
      <c r="I13" s="36">
        <v>0</v>
      </c>
      <c r="J13" s="36">
        <v>0</v>
      </c>
    </row>
    <row r="14" spans="1:12" ht="12.75" customHeight="1" x14ac:dyDescent="0.3">
      <c r="A14" s="35">
        <v>57</v>
      </c>
      <c r="B14" s="2" t="s">
        <v>15</v>
      </c>
      <c r="C14" s="36">
        <v>8</v>
      </c>
      <c r="D14" s="36">
        <v>0</v>
      </c>
      <c r="E14" s="36">
        <v>1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</row>
    <row r="15" spans="1:12" ht="12.75" customHeight="1" x14ac:dyDescent="0.3">
      <c r="A15" s="35">
        <v>59</v>
      </c>
      <c r="B15" s="2" t="s">
        <v>16</v>
      </c>
      <c r="C15" s="36">
        <v>1</v>
      </c>
      <c r="D15" s="36">
        <v>2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2" ht="12.75" customHeight="1" x14ac:dyDescent="0.3">
      <c r="A16" s="35">
        <v>60</v>
      </c>
      <c r="B16" s="2" t="s">
        <v>17</v>
      </c>
      <c r="C16" s="36">
        <v>9</v>
      </c>
      <c r="D16" s="36">
        <v>4</v>
      </c>
      <c r="E16" s="36">
        <v>1</v>
      </c>
      <c r="F16" s="36">
        <v>1</v>
      </c>
      <c r="G16" s="36">
        <v>0</v>
      </c>
      <c r="H16" s="36">
        <v>0</v>
      </c>
      <c r="I16" s="36">
        <v>0</v>
      </c>
      <c r="J16" s="36">
        <v>0</v>
      </c>
    </row>
    <row r="17" spans="1:10" ht="12.75" customHeight="1" x14ac:dyDescent="0.3">
      <c r="A17" s="35">
        <v>61</v>
      </c>
      <c r="B17" s="38" t="s">
        <v>18</v>
      </c>
      <c r="C17" s="36">
        <v>16</v>
      </c>
      <c r="D17" s="36">
        <v>7</v>
      </c>
      <c r="E17" s="36">
        <v>4</v>
      </c>
      <c r="F17" s="36">
        <v>1</v>
      </c>
      <c r="G17" s="36">
        <v>0</v>
      </c>
      <c r="H17" s="36">
        <v>1</v>
      </c>
      <c r="I17" s="36">
        <v>0</v>
      </c>
      <c r="J17" s="36">
        <v>0</v>
      </c>
    </row>
    <row r="18" spans="1:10" s="183" customFormat="1" ht="12.75" customHeight="1" x14ac:dyDescent="0.3">
      <c r="A18" s="35"/>
      <c r="B18" s="130" t="s">
        <v>122</v>
      </c>
      <c r="C18" s="36">
        <v>21</v>
      </c>
      <c r="D18" s="36">
        <v>9</v>
      </c>
      <c r="E18" s="36">
        <v>1</v>
      </c>
      <c r="F18" s="36">
        <v>1</v>
      </c>
      <c r="G18" s="36">
        <v>0</v>
      </c>
      <c r="H18" s="36">
        <v>0</v>
      </c>
      <c r="I18" s="36">
        <v>0</v>
      </c>
      <c r="J18" s="36">
        <v>0</v>
      </c>
    </row>
    <row r="19" spans="1:10" ht="12.75" customHeight="1" x14ac:dyDescent="0.3">
      <c r="A19" s="35">
        <v>58</v>
      </c>
      <c r="B19" s="2" t="s">
        <v>20</v>
      </c>
      <c r="C19" s="36">
        <v>4</v>
      </c>
      <c r="D19" s="36">
        <v>3</v>
      </c>
      <c r="E19" s="36">
        <v>0</v>
      </c>
      <c r="F19" s="36">
        <v>1</v>
      </c>
      <c r="G19" s="36">
        <v>0</v>
      </c>
      <c r="H19" s="36">
        <v>0</v>
      </c>
      <c r="I19" s="36">
        <v>0</v>
      </c>
      <c r="J19" s="36">
        <v>0</v>
      </c>
    </row>
    <row r="20" spans="1:10" ht="12.75" customHeight="1" x14ac:dyDescent="0.3">
      <c r="A20" s="35">
        <v>63</v>
      </c>
      <c r="B20" s="2" t="s">
        <v>21</v>
      </c>
      <c r="C20" s="36">
        <v>20</v>
      </c>
      <c r="D20" s="36">
        <v>15</v>
      </c>
      <c r="E20" s="36">
        <v>1</v>
      </c>
      <c r="F20" s="36">
        <v>1</v>
      </c>
      <c r="G20" s="36">
        <v>0</v>
      </c>
      <c r="H20" s="36">
        <v>0</v>
      </c>
      <c r="I20" s="36">
        <v>1</v>
      </c>
      <c r="J20" s="36">
        <v>0</v>
      </c>
    </row>
    <row r="21" spans="1:10" ht="12.75" customHeight="1" x14ac:dyDescent="0.3">
      <c r="A21" s="35">
        <v>64</v>
      </c>
      <c r="B21" s="2" t="s">
        <v>22</v>
      </c>
      <c r="C21" s="36">
        <v>37</v>
      </c>
      <c r="D21" s="36">
        <v>19</v>
      </c>
      <c r="E21" s="36">
        <v>5</v>
      </c>
      <c r="F21" s="36">
        <v>5</v>
      </c>
      <c r="G21" s="36">
        <v>0</v>
      </c>
      <c r="H21" s="36">
        <v>0</v>
      </c>
      <c r="I21" s="36">
        <v>0</v>
      </c>
      <c r="J21" s="36">
        <v>0</v>
      </c>
    </row>
    <row r="22" spans="1:10" ht="12.75" customHeight="1" x14ac:dyDescent="0.3">
      <c r="A22" s="35">
        <v>65</v>
      </c>
      <c r="B22" s="2" t="s">
        <v>23</v>
      </c>
      <c r="C22" s="36">
        <v>2</v>
      </c>
      <c r="D22" s="36">
        <v>2</v>
      </c>
      <c r="E22" s="36">
        <v>1</v>
      </c>
      <c r="F22" s="36">
        <v>0</v>
      </c>
      <c r="G22" s="36">
        <v>1</v>
      </c>
      <c r="H22" s="36">
        <v>0</v>
      </c>
      <c r="I22" s="36">
        <v>0</v>
      </c>
      <c r="J22" s="36">
        <v>0</v>
      </c>
    </row>
    <row r="23" spans="1:10" ht="12.75" customHeight="1" x14ac:dyDescent="0.3">
      <c r="A23" s="35">
        <v>67</v>
      </c>
      <c r="B23" s="2" t="s">
        <v>24</v>
      </c>
      <c r="C23" s="36">
        <v>24</v>
      </c>
      <c r="D23" s="36">
        <v>24</v>
      </c>
      <c r="E23" s="36">
        <v>7</v>
      </c>
      <c r="F23" s="36">
        <v>4</v>
      </c>
      <c r="G23" s="36">
        <v>0</v>
      </c>
      <c r="H23" s="36">
        <v>0</v>
      </c>
      <c r="I23" s="36">
        <v>0</v>
      </c>
      <c r="J23" s="36">
        <v>0</v>
      </c>
    </row>
    <row r="24" spans="1:10" ht="12.75" customHeight="1" x14ac:dyDescent="0.3">
      <c r="A24" s="35">
        <v>68</v>
      </c>
      <c r="B24" s="2" t="s">
        <v>25</v>
      </c>
      <c r="C24" s="36">
        <v>7</v>
      </c>
      <c r="D24" s="36">
        <v>3</v>
      </c>
      <c r="E24" s="36">
        <v>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</row>
    <row r="25" spans="1:10" ht="12.75" customHeight="1" x14ac:dyDescent="0.3">
      <c r="A25" s="35">
        <v>69</v>
      </c>
      <c r="B25" s="2" t="s">
        <v>26</v>
      </c>
      <c r="C25" s="36">
        <v>11</v>
      </c>
      <c r="D25" s="36">
        <v>3</v>
      </c>
      <c r="E25" s="36">
        <v>1</v>
      </c>
      <c r="F25" s="36">
        <v>1</v>
      </c>
      <c r="G25" s="36">
        <v>0</v>
      </c>
      <c r="H25" s="36">
        <v>0</v>
      </c>
      <c r="I25" s="36">
        <v>0</v>
      </c>
      <c r="J25" s="36">
        <v>0</v>
      </c>
    </row>
    <row r="26" spans="1:10" ht="12.75" customHeight="1" x14ac:dyDescent="0.3">
      <c r="A26" s="35">
        <v>70</v>
      </c>
      <c r="B26" s="2" t="s">
        <v>27</v>
      </c>
      <c r="C26" s="36">
        <v>21</v>
      </c>
      <c r="D26" s="36">
        <v>7</v>
      </c>
      <c r="E26" s="36">
        <v>1</v>
      </c>
      <c r="F26" s="36">
        <v>1</v>
      </c>
      <c r="G26" s="36">
        <v>1</v>
      </c>
      <c r="H26" s="36">
        <v>1</v>
      </c>
      <c r="I26" s="36">
        <v>0</v>
      </c>
      <c r="J26" s="36">
        <v>0</v>
      </c>
    </row>
    <row r="27" spans="1:10" ht="12.75" customHeight="1" x14ac:dyDescent="0.3">
      <c r="A27" s="35">
        <v>71</v>
      </c>
      <c r="B27" s="39" t="s">
        <v>28</v>
      </c>
      <c r="C27" s="36">
        <v>4</v>
      </c>
      <c r="D27" s="36">
        <v>2</v>
      </c>
      <c r="E27" s="36">
        <v>2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ht="12.75" customHeight="1" x14ac:dyDescent="0.3">
      <c r="A28" s="35">
        <v>73</v>
      </c>
      <c r="B28" s="2" t="s">
        <v>29</v>
      </c>
      <c r="C28" s="36">
        <v>19</v>
      </c>
      <c r="D28" s="36">
        <v>13</v>
      </c>
      <c r="E28" s="36">
        <v>3</v>
      </c>
      <c r="F28" s="36">
        <v>5</v>
      </c>
      <c r="G28" s="36">
        <v>0</v>
      </c>
      <c r="H28" s="36">
        <v>0</v>
      </c>
      <c r="I28" s="36">
        <v>0</v>
      </c>
      <c r="J28" s="36">
        <v>0</v>
      </c>
    </row>
    <row r="29" spans="1:10" ht="12.75" customHeight="1" x14ac:dyDescent="0.3">
      <c r="A29" s="35">
        <v>74</v>
      </c>
      <c r="B29" s="2" t="s">
        <v>30</v>
      </c>
      <c r="C29" s="36">
        <v>15</v>
      </c>
      <c r="D29" s="36">
        <v>7</v>
      </c>
      <c r="E29" s="36">
        <v>4</v>
      </c>
      <c r="F29" s="36">
        <v>2</v>
      </c>
      <c r="G29" s="36">
        <v>0</v>
      </c>
      <c r="H29" s="36">
        <v>0</v>
      </c>
      <c r="I29" s="36">
        <v>0</v>
      </c>
      <c r="J29" s="36">
        <v>0</v>
      </c>
    </row>
    <row r="30" spans="1:10" ht="12.75" customHeight="1" x14ac:dyDescent="0.3">
      <c r="A30" s="35">
        <v>75</v>
      </c>
      <c r="B30" s="2" t="s">
        <v>31</v>
      </c>
      <c r="C30" s="36">
        <v>12</v>
      </c>
      <c r="D30" s="36">
        <v>2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</row>
    <row r="31" spans="1:10" ht="12.75" customHeight="1" x14ac:dyDescent="0.3">
      <c r="A31" s="35">
        <v>76</v>
      </c>
      <c r="B31" s="2" t="s">
        <v>32</v>
      </c>
      <c r="C31" s="36">
        <v>10</v>
      </c>
      <c r="D31" s="36">
        <v>19</v>
      </c>
      <c r="E31" s="36">
        <v>2</v>
      </c>
      <c r="F31" s="36">
        <v>1</v>
      </c>
      <c r="G31" s="36">
        <v>0</v>
      </c>
      <c r="H31" s="36">
        <v>0</v>
      </c>
      <c r="I31" s="36">
        <v>0</v>
      </c>
      <c r="J31" s="36">
        <v>0</v>
      </c>
    </row>
    <row r="32" spans="1:10" ht="12.75" customHeight="1" x14ac:dyDescent="0.3">
      <c r="A32" s="35">
        <v>79</v>
      </c>
      <c r="B32" s="2" t="s">
        <v>33</v>
      </c>
      <c r="C32" s="36">
        <v>16</v>
      </c>
      <c r="D32" s="36">
        <v>8</v>
      </c>
      <c r="E32" s="36">
        <v>1</v>
      </c>
      <c r="F32" s="36">
        <v>4</v>
      </c>
      <c r="G32" s="36">
        <v>0</v>
      </c>
      <c r="H32" s="36">
        <v>0</v>
      </c>
      <c r="I32" s="36">
        <v>0</v>
      </c>
      <c r="J32" s="36">
        <v>0</v>
      </c>
    </row>
    <row r="33" spans="1:12" ht="12.75" customHeight="1" x14ac:dyDescent="0.3">
      <c r="A33" s="35">
        <v>80</v>
      </c>
      <c r="B33" s="2" t="s">
        <v>34</v>
      </c>
      <c r="C33" s="36">
        <v>7</v>
      </c>
      <c r="D33" s="36">
        <v>6</v>
      </c>
      <c r="E33" s="36">
        <v>1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</row>
    <row r="34" spans="1:12" ht="12.75" customHeight="1" x14ac:dyDescent="0.3">
      <c r="A34" s="35">
        <v>81</v>
      </c>
      <c r="B34" s="2" t="s">
        <v>35</v>
      </c>
      <c r="C34" s="36">
        <v>16</v>
      </c>
      <c r="D34" s="36">
        <v>10</v>
      </c>
      <c r="E34" s="36">
        <v>1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</row>
    <row r="35" spans="1:12" ht="12.75" customHeight="1" x14ac:dyDescent="0.3">
      <c r="A35" s="35">
        <v>83</v>
      </c>
      <c r="B35" s="2" t="s">
        <v>36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</row>
    <row r="36" spans="1:12" ht="12.75" customHeight="1" x14ac:dyDescent="0.3">
      <c r="A36" s="35">
        <v>84</v>
      </c>
      <c r="B36" s="2" t="s">
        <v>37</v>
      </c>
      <c r="C36" s="36">
        <v>7</v>
      </c>
      <c r="D36" s="36">
        <v>5</v>
      </c>
      <c r="E36" s="36">
        <v>1</v>
      </c>
      <c r="F36" s="36">
        <v>1</v>
      </c>
      <c r="G36" s="36">
        <v>0</v>
      </c>
      <c r="H36" s="36">
        <v>0</v>
      </c>
      <c r="I36" s="36">
        <v>0</v>
      </c>
      <c r="J36" s="36">
        <v>0</v>
      </c>
    </row>
    <row r="37" spans="1:12" ht="12.75" customHeight="1" x14ac:dyDescent="0.3">
      <c r="A37" s="35">
        <v>85</v>
      </c>
      <c r="B37" s="2" t="s">
        <v>38</v>
      </c>
      <c r="C37" s="36">
        <v>7</v>
      </c>
      <c r="D37" s="36">
        <v>2</v>
      </c>
      <c r="E37" s="36">
        <v>1</v>
      </c>
      <c r="F37" s="36">
        <v>0</v>
      </c>
      <c r="G37" s="36">
        <v>0</v>
      </c>
      <c r="H37" s="36">
        <v>1</v>
      </c>
      <c r="I37" s="36">
        <v>0</v>
      </c>
      <c r="J37" s="36">
        <v>0</v>
      </c>
    </row>
    <row r="38" spans="1:12" ht="12.75" customHeight="1" x14ac:dyDescent="0.3">
      <c r="A38" s="35">
        <v>87</v>
      </c>
      <c r="B38" s="2" t="s">
        <v>39</v>
      </c>
      <c r="C38" s="36">
        <v>4</v>
      </c>
      <c r="D38" s="36">
        <v>7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</row>
    <row r="39" spans="1:12" ht="12.75" customHeight="1" x14ac:dyDescent="0.3">
      <c r="A39" s="35">
        <v>90</v>
      </c>
      <c r="B39" s="2" t="s">
        <v>40</v>
      </c>
      <c r="C39" s="36">
        <v>17</v>
      </c>
      <c r="D39" s="36">
        <v>4</v>
      </c>
      <c r="E39" s="36">
        <v>5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</row>
    <row r="40" spans="1:12" ht="12.75" customHeight="1" x14ac:dyDescent="0.3">
      <c r="A40" s="35">
        <v>91</v>
      </c>
      <c r="B40" s="2" t="s">
        <v>41</v>
      </c>
      <c r="C40" s="36">
        <v>18</v>
      </c>
      <c r="D40" s="36">
        <v>6</v>
      </c>
      <c r="E40" s="36">
        <v>4</v>
      </c>
      <c r="F40" s="36">
        <v>1</v>
      </c>
      <c r="G40" s="36">
        <v>0</v>
      </c>
      <c r="H40" s="36">
        <v>0</v>
      </c>
      <c r="I40" s="36">
        <v>0</v>
      </c>
      <c r="J40" s="36">
        <v>0</v>
      </c>
      <c r="K40" s="11"/>
    </row>
    <row r="41" spans="1:12" ht="12.75" customHeight="1" x14ac:dyDescent="0.3">
      <c r="A41" s="35">
        <v>92</v>
      </c>
      <c r="B41" s="2" t="s">
        <v>42</v>
      </c>
      <c r="C41" s="36">
        <v>16</v>
      </c>
      <c r="D41" s="36">
        <v>2</v>
      </c>
      <c r="E41" s="36">
        <v>4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</row>
    <row r="42" spans="1:12" ht="12.75" customHeight="1" x14ac:dyDescent="0.3">
      <c r="A42" s="35">
        <v>94</v>
      </c>
      <c r="B42" s="2" t="s">
        <v>43</v>
      </c>
      <c r="C42" s="36">
        <v>7</v>
      </c>
      <c r="D42" s="36">
        <v>1</v>
      </c>
      <c r="E42" s="36">
        <v>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</row>
    <row r="43" spans="1:12" ht="12.75" customHeight="1" x14ac:dyDescent="0.3">
      <c r="A43" s="35">
        <v>96</v>
      </c>
      <c r="B43" s="2" t="s">
        <v>44</v>
      </c>
      <c r="C43" s="36">
        <v>7</v>
      </c>
      <c r="D43" s="36">
        <v>12</v>
      </c>
      <c r="E43" s="36">
        <v>0</v>
      </c>
      <c r="F43" s="36">
        <v>1</v>
      </c>
      <c r="G43" s="36">
        <v>1</v>
      </c>
      <c r="H43" s="36">
        <v>0</v>
      </c>
      <c r="I43" s="36">
        <v>0</v>
      </c>
      <c r="J43" s="36">
        <v>0</v>
      </c>
      <c r="L43" s="11"/>
    </row>
    <row r="44" spans="1:12" ht="12.75" customHeight="1" x14ac:dyDescent="0.3">
      <c r="A44" s="35">
        <v>72</v>
      </c>
      <c r="B44" s="39" t="s">
        <v>46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</row>
    <row r="45" spans="1:12" s="11" customFormat="1" ht="25.5" customHeight="1" x14ac:dyDescent="0.3">
      <c r="B45" s="11" t="s">
        <v>47</v>
      </c>
      <c r="C45" s="42">
        <f>SUM(C46:C52)</f>
        <v>237</v>
      </c>
      <c r="D45" s="42">
        <f t="shared" ref="D45:J45" si="2">SUM(D46:D52)</f>
        <v>108</v>
      </c>
      <c r="E45" s="42">
        <f t="shared" si="2"/>
        <v>73</v>
      </c>
      <c r="F45" s="42">
        <f t="shared" si="2"/>
        <v>48</v>
      </c>
      <c r="G45" s="42">
        <f t="shared" si="2"/>
        <v>4</v>
      </c>
      <c r="H45" s="42">
        <f t="shared" si="2"/>
        <v>2</v>
      </c>
      <c r="I45" s="42">
        <f t="shared" si="2"/>
        <v>0</v>
      </c>
      <c r="J45" s="42">
        <f t="shared" si="2"/>
        <v>0</v>
      </c>
    </row>
    <row r="46" spans="1:12" ht="12.75" customHeight="1" x14ac:dyDescent="0.3">
      <c r="A46" s="35">
        <v>66</v>
      </c>
      <c r="B46" s="2" t="s">
        <v>48</v>
      </c>
      <c r="C46" s="36">
        <v>53</v>
      </c>
      <c r="D46" s="36">
        <v>5</v>
      </c>
      <c r="E46" s="36">
        <v>8</v>
      </c>
      <c r="F46" s="36">
        <v>3</v>
      </c>
      <c r="G46" s="36">
        <v>0</v>
      </c>
      <c r="H46" s="36">
        <v>0</v>
      </c>
      <c r="I46" s="36">
        <v>0</v>
      </c>
      <c r="J46" s="36">
        <v>0</v>
      </c>
    </row>
    <row r="47" spans="1:12" ht="12.75" customHeight="1" x14ac:dyDescent="0.3">
      <c r="A47" s="35">
        <v>78</v>
      </c>
      <c r="B47" s="2" t="s">
        <v>49</v>
      </c>
      <c r="C47" s="36">
        <v>9</v>
      </c>
      <c r="D47" s="36">
        <v>7</v>
      </c>
      <c r="E47" s="36">
        <v>2</v>
      </c>
      <c r="F47" s="36">
        <v>4</v>
      </c>
      <c r="G47" s="36">
        <v>0</v>
      </c>
      <c r="H47" s="36">
        <v>0</v>
      </c>
      <c r="I47" s="36">
        <v>0</v>
      </c>
      <c r="J47" s="36">
        <v>0</v>
      </c>
    </row>
    <row r="48" spans="1:12" ht="12.75" customHeight="1" x14ac:dyDescent="0.3">
      <c r="A48" s="35">
        <v>89</v>
      </c>
      <c r="B48" s="2" t="s">
        <v>50</v>
      </c>
      <c r="C48" s="36">
        <v>20</v>
      </c>
      <c r="D48" s="36">
        <v>10</v>
      </c>
      <c r="E48" s="36">
        <v>2</v>
      </c>
      <c r="F48" s="36">
        <v>1</v>
      </c>
      <c r="G48" s="36">
        <v>2</v>
      </c>
      <c r="H48" s="36">
        <v>1</v>
      </c>
      <c r="I48" s="36">
        <v>0</v>
      </c>
      <c r="J48" s="36">
        <v>0</v>
      </c>
    </row>
    <row r="49" spans="1:12" ht="12.75" customHeight="1" x14ac:dyDescent="0.3">
      <c r="A49" s="35">
        <v>93</v>
      </c>
      <c r="B49" s="2" t="s">
        <v>51</v>
      </c>
      <c r="C49" s="36">
        <v>8</v>
      </c>
      <c r="D49" s="36">
        <v>7</v>
      </c>
      <c r="E49" s="36">
        <v>3</v>
      </c>
      <c r="F49" s="36">
        <v>1</v>
      </c>
      <c r="G49" s="36">
        <v>0</v>
      </c>
      <c r="H49" s="36">
        <v>0</v>
      </c>
      <c r="I49" s="36">
        <v>0</v>
      </c>
      <c r="J49" s="36">
        <v>0</v>
      </c>
    </row>
    <row r="50" spans="1:12" ht="12.75" customHeight="1" x14ac:dyDescent="0.3">
      <c r="A50" s="35">
        <v>95</v>
      </c>
      <c r="B50" s="2" t="s">
        <v>52</v>
      </c>
      <c r="C50" s="36">
        <v>34</v>
      </c>
      <c r="D50" s="36">
        <v>5</v>
      </c>
      <c r="E50" s="36">
        <v>8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</row>
    <row r="51" spans="1:12" ht="12.75" customHeight="1" x14ac:dyDescent="0.3">
      <c r="A51" s="35">
        <v>97</v>
      </c>
      <c r="B51" s="2" t="s">
        <v>53</v>
      </c>
      <c r="C51" s="36">
        <v>36</v>
      </c>
      <c r="D51" s="36">
        <v>11</v>
      </c>
      <c r="E51" s="36">
        <v>10</v>
      </c>
      <c r="F51" s="36">
        <v>2</v>
      </c>
      <c r="G51" s="36">
        <v>0</v>
      </c>
      <c r="H51" s="36">
        <v>0</v>
      </c>
      <c r="I51" s="36">
        <v>0</v>
      </c>
      <c r="J51" s="36">
        <v>0</v>
      </c>
    </row>
    <row r="52" spans="1:12" ht="12.75" customHeight="1" x14ac:dyDescent="0.3">
      <c r="A52" s="35">
        <v>77</v>
      </c>
      <c r="B52" s="43" t="s">
        <v>54</v>
      </c>
      <c r="C52" s="36">
        <v>77</v>
      </c>
      <c r="D52" s="36">
        <v>63</v>
      </c>
      <c r="E52" s="36">
        <v>40</v>
      </c>
      <c r="F52" s="36">
        <v>37</v>
      </c>
      <c r="G52" s="36">
        <v>2</v>
      </c>
      <c r="H52" s="36">
        <v>1</v>
      </c>
      <c r="I52" s="36">
        <v>0</v>
      </c>
      <c r="J52" s="36">
        <v>0</v>
      </c>
    </row>
    <row r="53" spans="1:12" s="41" customFormat="1" ht="13.5" customHeight="1" x14ac:dyDescent="0.3">
      <c r="A53" s="28"/>
      <c r="C53" s="46"/>
      <c r="D53" s="47"/>
      <c r="E53" s="46"/>
      <c r="F53" s="46"/>
      <c r="G53" s="46"/>
      <c r="H53" s="46"/>
      <c r="I53" s="46"/>
      <c r="J53" s="46"/>
      <c r="K53" s="2"/>
      <c r="L53" s="2"/>
    </row>
    <row r="54" spans="1:12" ht="18.75" customHeight="1" x14ac:dyDescent="0.3">
      <c r="B54" s="35" t="s">
        <v>55</v>
      </c>
    </row>
    <row r="55" spans="1:12" x14ac:dyDescent="0.3">
      <c r="B55" s="319" t="s">
        <v>56</v>
      </c>
      <c r="C55" s="319"/>
      <c r="D55" s="319"/>
      <c r="E55" s="319"/>
      <c r="F55" s="319"/>
      <c r="G55" s="319"/>
      <c r="H55" s="319"/>
      <c r="I55" s="319"/>
      <c r="J55" s="319"/>
    </row>
    <row r="56" spans="1:12" ht="12.75" customHeight="1" x14ac:dyDescent="0.3">
      <c r="B56" s="319"/>
      <c r="C56" s="319"/>
      <c r="D56" s="319"/>
      <c r="E56" s="319"/>
      <c r="F56" s="319"/>
      <c r="G56" s="319"/>
      <c r="H56" s="319"/>
      <c r="I56" s="319"/>
      <c r="J56" s="319"/>
    </row>
    <row r="57" spans="1:12" ht="18.75" customHeight="1" x14ac:dyDescent="0.3">
      <c r="B57" s="319"/>
      <c r="C57" s="319"/>
      <c r="D57" s="319"/>
      <c r="E57" s="319"/>
      <c r="F57" s="319"/>
      <c r="G57" s="319"/>
      <c r="H57" s="319"/>
      <c r="I57" s="319"/>
      <c r="J57" s="319"/>
    </row>
    <row r="58" spans="1:12" ht="18.75" customHeight="1" x14ac:dyDescent="0.3">
      <c r="B58" s="319"/>
      <c r="C58" s="319"/>
      <c r="D58" s="319"/>
      <c r="E58" s="319"/>
      <c r="F58" s="319"/>
      <c r="G58" s="319"/>
      <c r="H58" s="319"/>
      <c r="I58" s="319"/>
      <c r="J58" s="319"/>
    </row>
    <row r="59" spans="1:12" ht="18.75" customHeight="1" x14ac:dyDescent="0.3">
      <c r="B59" s="319"/>
      <c r="C59" s="319"/>
      <c r="D59" s="319"/>
      <c r="E59" s="319"/>
      <c r="F59" s="319"/>
      <c r="G59" s="319"/>
      <c r="H59" s="319"/>
      <c r="I59" s="319"/>
      <c r="J59" s="319"/>
    </row>
    <row r="60" spans="1:12" ht="17.25" customHeight="1" x14ac:dyDescent="0.3"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12" ht="15.75" customHeight="1" x14ac:dyDescent="0.3">
      <c r="B61" s="35" t="s">
        <v>61</v>
      </c>
    </row>
    <row r="62" spans="1:12" ht="9.75" customHeight="1" x14ac:dyDescent="0.3">
      <c r="B62" s="319"/>
      <c r="C62" s="319"/>
      <c r="D62" s="319"/>
      <c r="E62" s="48"/>
      <c r="F62" s="48"/>
      <c r="G62" s="48"/>
      <c r="H62" s="48"/>
      <c r="I62" s="48"/>
      <c r="J62" s="48"/>
    </row>
    <row r="63" spans="1:12" ht="18.75" customHeight="1" x14ac:dyDescent="0.3">
      <c r="B63" s="24" t="s">
        <v>62</v>
      </c>
    </row>
    <row r="64" spans="1:12" x14ac:dyDescent="0.3">
      <c r="B64" s="26"/>
    </row>
    <row r="66" spans="2:2" x14ac:dyDescent="0.3">
      <c r="B66" s="27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FF0000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3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9.26953125" style="3"/>
    <col min="257" max="257" width="0" style="3" hidden="1" customWidth="1"/>
    <col min="258" max="258" width="24.7265625" style="3" customWidth="1"/>
    <col min="259" max="259" width="18" style="3" customWidth="1"/>
    <col min="260" max="260" width="18.453125" style="3" customWidth="1"/>
    <col min="261" max="261" width="13.7265625" style="3" customWidth="1"/>
    <col min="262" max="262" width="14" style="3" customWidth="1"/>
    <col min="263" max="512" width="9.26953125" style="3"/>
    <col min="513" max="513" width="0" style="3" hidden="1" customWidth="1"/>
    <col min="514" max="514" width="24.7265625" style="3" customWidth="1"/>
    <col min="515" max="515" width="18" style="3" customWidth="1"/>
    <col min="516" max="516" width="18.453125" style="3" customWidth="1"/>
    <col min="517" max="517" width="13.7265625" style="3" customWidth="1"/>
    <col min="518" max="518" width="14" style="3" customWidth="1"/>
    <col min="519" max="768" width="9.26953125" style="3"/>
    <col min="769" max="769" width="0" style="3" hidden="1" customWidth="1"/>
    <col min="770" max="770" width="24.7265625" style="3" customWidth="1"/>
    <col min="771" max="771" width="18" style="3" customWidth="1"/>
    <col min="772" max="772" width="18.453125" style="3" customWidth="1"/>
    <col min="773" max="773" width="13.7265625" style="3" customWidth="1"/>
    <col min="774" max="774" width="14" style="3" customWidth="1"/>
    <col min="775" max="1024" width="9.26953125" style="3"/>
    <col min="1025" max="1025" width="0" style="3" hidden="1" customWidth="1"/>
    <col min="1026" max="1026" width="24.7265625" style="3" customWidth="1"/>
    <col min="1027" max="1027" width="18" style="3" customWidth="1"/>
    <col min="1028" max="1028" width="18.453125" style="3" customWidth="1"/>
    <col min="1029" max="1029" width="13.7265625" style="3" customWidth="1"/>
    <col min="1030" max="1030" width="14" style="3" customWidth="1"/>
    <col min="1031" max="1280" width="9.26953125" style="3"/>
    <col min="1281" max="1281" width="0" style="3" hidden="1" customWidth="1"/>
    <col min="1282" max="1282" width="24.7265625" style="3" customWidth="1"/>
    <col min="1283" max="1283" width="18" style="3" customWidth="1"/>
    <col min="1284" max="1284" width="18.453125" style="3" customWidth="1"/>
    <col min="1285" max="1285" width="13.7265625" style="3" customWidth="1"/>
    <col min="1286" max="1286" width="14" style="3" customWidth="1"/>
    <col min="1287" max="1536" width="9.26953125" style="3"/>
    <col min="1537" max="1537" width="0" style="3" hidden="1" customWidth="1"/>
    <col min="1538" max="1538" width="24.7265625" style="3" customWidth="1"/>
    <col min="1539" max="1539" width="18" style="3" customWidth="1"/>
    <col min="1540" max="1540" width="18.453125" style="3" customWidth="1"/>
    <col min="1541" max="1541" width="13.7265625" style="3" customWidth="1"/>
    <col min="1542" max="1542" width="14" style="3" customWidth="1"/>
    <col min="1543" max="1792" width="9.26953125" style="3"/>
    <col min="1793" max="1793" width="0" style="3" hidden="1" customWidth="1"/>
    <col min="1794" max="1794" width="24.7265625" style="3" customWidth="1"/>
    <col min="1795" max="1795" width="18" style="3" customWidth="1"/>
    <col min="1796" max="1796" width="18.453125" style="3" customWidth="1"/>
    <col min="1797" max="1797" width="13.7265625" style="3" customWidth="1"/>
    <col min="1798" max="1798" width="14" style="3" customWidth="1"/>
    <col min="1799" max="2048" width="9.26953125" style="3"/>
    <col min="2049" max="2049" width="0" style="3" hidden="1" customWidth="1"/>
    <col min="2050" max="2050" width="24.7265625" style="3" customWidth="1"/>
    <col min="2051" max="2051" width="18" style="3" customWidth="1"/>
    <col min="2052" max="2052" width="18.453125" style="3" customWidth="1"/>
    <col min="2053" max="2053" width="13.7265625" style="3" customWidth="1"/>
    <col min="2054" max="2054" width="14" style="3" customWidth="1"/>
    <col min="2055" max="2304" width="9.26953125" style="3"/>
    <col min="2305" max="2305" width="0" style="3" hidden="1" customWidth="1"/>
    <col min="2306" max="2306" width="24.7265625" style="3" customWidth="1"/>
    <col min="2307" max="2307" width="18" style="3" customWidth="1"/>
    <col min="2308" max="2308" width="18.453125" style="3" customWidth="1"/>
    <col min="2309" max="2309" width="13.7265625" style="3" customWidth="1"/>
    <col min="2310" max="2310" width="14" style="3" customWidth="1"/>
    <col min="2311" max="2560" width="9.26953125" style="3"/>
    <col min="2561" max="2561" width="0" style="3" hidden="1" customWidth="1"/>
    <col min="2562" max="2562" width="24.7265625" style="3" customWidth="1"/>
    <col min="2563" max="2563" width="18" style="3" customWidth="1"/>
    <col min="2564" max="2564" width="18.453125" style="3" customWidth="1"/>
    <col min="2565" max="2565" width="13.7265625" style="3" customWidth="1"/>
    <col min="2566" max="2566" width="14" style="3" customWidth="1"/>
    <col min="2567" max="2816" width="9.26953125" style="3"/>
    <col min="2817" max="2817" width="0" style="3" hidden="1" customWidth="1"/>
    <col min="2818" max="2818" width="24.7265625" style="3" customWidth="1"/>
    <col min="2819" max="2819" width="18" style="3" customWidth="1"/>
    <col min="2820" max="2820" width="18.453125" style="3" customWidth="1"/>
    <col min="2821" max="2821" width="13.7265625" style="3" customWidth="1"/>
    <col min="2822" max="2822" width="14" style="3" customWidth="1"/>
    <col min="2823" max="3072" width="9.26953125" style="3"/>
    <col min="3073" max="3073" width="0" style="3" hidden="1" customWidth="1"/>
    <col min="3074" max="3074" width="24.7265625" style="3" customWidth="1"/>
    <col min="3075" max="3075" width="18" style="3" customWidth="1"/>
    <col min="3076" max="3076" width="18.453125" style="3" customWidth="1"/>
    <col min="3077" max="3077" width="13.7265625" style="3" customWidth="1"/>
    <col min="3078" max="3078" width="14" style="3" customWidth="1"/>
    <col min="3079" max="3328" width="9.26953125" style="3"/>
    <col min="3329" max="3329" width="0" style="3" hidden="1" customWidth="1"/>
    <col min="3330" max="3330" width="24.7265625" style="3" customWidth="1"/>
    <col min="3331" max="3331" width="18" style="3" customWidth="1"/>
    <col min="3332" max="3332" width="18.453125" style="3" customWidth="1"/>
    <col min="3333" max="3333" width="13.7265625" style="3" customWidth="1"/>
    <col min="3334" max="3334" width="14" style="3" customWidth="1"/>
    <col min="3335" max="3584" width="9.26953125" style="3"/>
    <col min="3585" max="3585" width="0" style="3" hidden="1" customWidth="1"/>
    <col min="3586" max="3586" width="24.7265625" style="3" customWidth="1"/>
    <col min="3587" max="3587" width="18" style="3" customWidth="1"/>
    <col min="3588" max="3588" width="18.453125" style="3" customWidth="1"/>
    <col min="3589" max="3589" width="13.7265625" style="3" customWidth="1"/>
    <col min="3590" max="3590" width="14" style="3" customWidth="1"/>
    <col min="3591" max="3840" width="9.26953125" style="3"/>
    <col min="3841" max="3841" width="0" style="3" hidden="1" customWidth="1"/>
    <col min="3842" max="3842" width="24.7265625" style="3" customWidth="1"/>
    <col min="3843" max="3843" width="18" style="3" customWidth="1"/>
    <col min="3844" max="3844" width="18.453125" style="3" customWidth="1"/>
    <col min="3845" max="3845" width="13.7265625" style="3" customWidth="1"/>
    <col min="3846" max="3846" width="14" style="3" customWidth="1"/>
    <col min="3847" max="4096" width="9.26953125" style="3"/>
    <col min="4097" max="4097" width="0" style="3" hidden="1" customWidth="1"/>
    <col min="4098" max="4098" width="24.7265625" style="3" customWidth="1"/>
    <col min="4099" max="4099" width="18" style="3" customWidth="1"/>
    <col min="4100" max="4100" width="18.453125" style="3" customWidth="1"/>
    <col min="4101" max="4101" width="13.7265625" style="3" customWidth="1"/>
    <col min="4102" max="4102" width="14" style="3" customWidth="1"/>
    <col min="4103" max="4352" width="9.26953125" style="3"/>
    <col min="4353" max="4353" width="0" style="3" hidden="1" customWidth="1"/>
    <col min="4354" max="4354" width="24.7265625" style="3" customWidth="1"/>
    <col min="4355" max="4355" width="18" style="3" customWidth="1"/>
    <col min="4356" max="4356" width="18.453125" style="3" customWidth="1"/>
    <col min="4357" max="4357" width="13.7265625" style="3" customWidth="1"/>
    <col min="4358" max="4358" width="14" style="3" customWidth="1"/>
    <col min="4359" max="4608" width="9.26953125" style="3"/>
    <col min="4609" max="4609" width="0" style="3" hidden="1" customWidth="1"/>
    <col min="4610" max="4610" width="24.7265625" style="3" customWidth="1"/>
    <col min="4611" max="4611" width="18" style="3" customWidth="1"/>
    <col min="4612" max="4612" width="18.453125" style="3" customWidth="1"/>
    <col min="4613" max="4613" width="13.7265625" style="3" customWidth="1"/>
    <col min="4614" max="4614" width="14" style="3" customWidth="1"/>
    <col min="4615" max="4864" width="9.26953125" style="3"/>
    <col min="4865" max="4865" width="0" style="3" hidden="1" customWidth="1"/>
    <col min="4866" max="4866" width="24.7265625" style="3" customWidth="1"/>
    <col min="4867" max="4867" width="18" style="3" customWidth="1"/>
    <col min="4868" max="4868" width="18.453125" style="3" customWidth="1"/>
    <col min="4869" max="4869" width="13.7265625" style="3" customWidth="1"/>
    <col min="4870" max="4870" width="14" style="3" customWidth="1"/>
    <col min="4871" max="5120" width="9.26953125" style="3"/>
    <col min="5121" max="5121" width="0" style="3" hidden="1" customWidth="1"/>
    <col min="5122" max="5122" width="24.7265625" style="3" customWidth="1"/>
    <col min="5123" max="5123" width="18" style="3" customWidth="1"/>
    <col min="5124" max="5124" width="18.453125" style="3" customWidth="1"/>
    <col min="5125" max="5125" width="13.7265625" style="3" customWidth="1"/>
    <col min="5126" max="5126" width="14" style="3" customWidth="1"/>
    <col min="5127" max="5376" width="9.26953125" style="3"/>
    <col min="5377" max="5377" width="0" style="3" hidden="1" customWidth="1"/>
    <col min="5378" max="5378" width="24.7265625" style="3" customWidth="1"/>
    <col min="5379" max="5379" width="18" style="3" customWidth="1"/>
    <col min="5380" max="5380" width="18.453125" style="3" customWidth="1"/>
    <col min="5381" max="5381" width="13.7265625" style="3" customWidth="1"/>
    <col min="5382" max="5382" width="14" style="3" customWidth="1"/>
    <col min="5383" max="5632" width="9.26953125" style="3"/>
    <col min="5633" max="5633" width="0" style="3" hidden="1" customWidth="1"/>
    <col min="5634" max="5634" width="24.7265625" style="3" customWidth="1"/>
    <col min="5635" max="5635" width="18" style="3" customWidth="1"/>
    <col min="5636" max="5636" width="18.453125" style="3" customWidth="1"/>
    <col min="5637" max="5637" width="13.7265625" style="3" customWidth="1"/>
    <col min="5638" max="5638" width="14" style="3" customWidth="1"/>
    <col min="5639" max="5888" width="9.26953125" style="3"/>
    <col min="5889" max="5889" width="0" style="3" hidden="1" customWidth="1"/>
    <col min="5890" max="5890" width="24.7265625" style="3" customWidth="1"/>
    <col min="5891" max="5891" width="18" style="3" customWidth="1"/>
    <col min="5892" max="5892" width="18.453125" style="3" customWidth="1"/>
    <col min="5893" max="5893" width="13.7265625" style="3" customWidth="1"/>
    <col min="5894" max="5894" width="14" style="3" customWidth="1"/>
    <col min="5895" max="6144" width="9.26953125" style="3"/>
    <col min="6145" max="6145" width="0" style="3" hidden="1" customWidth="1"/>
    <col min="6146" max="6146" width="24.7265625" style="3" customWidth="1"/>
    <col min="6147" max="6147" width="18" style="3" customWidth="1"/>
    <col min="6148" max="6148" width="18.453125" style="3" customWidth="1"/>
    <col min="6149" max="6149" width="13.7265625" style="3" customWidth="1"/>
    <col min="6150" max="6150" width="14" style="3" customWidth="1"/>
    <col min="6151" max="6400" width="9.26953125" style="3"/>
    <col min="6401" max="6401" width="0" style="3" hidden="1" customWidth="1"/>
    <col min="6402" max="6402" width="24.7265625" style="3" customWidth="1"/>
    <col min="6403" max="6403" width="18" style="3" customWidth="1"/>
    <col min="6404" max="6404" width="18.453125" style="3" customWidth="1"/>
    <col min="6405" max="6405" width="13.7265625" style="3" customWidth="1"/>
    <col min="6406" max="6406" width="14" style="3" customWidth="1"/>
    <col min="6407" max="6656" width="9.26953125" style="3"/>
    <col min="6657" max="6657" width="0" style="3" hidden="1" customWidth="1"/>
    <col min="6658" max="6658" width="24.7265625" style="3" customWidth="1"/>
    <col min="6659" max="6659" width="18" style="3" customWidth="1"/>
    <col min="6660" max="6660" width="18.453125" style="3" customWidth="1"/>
    <col min="6661" max="6661" width="13.7265625" style="3" customWidth="1"/>
    <col min="6662" max="6662" width="14" style="3" customWidth="1"/>
    <col min="6663" max="6912" width="9.26953125" style="3"/>
    <col min="6913" max="6913" width="0" style="3" hidden="1" customWidth="1"/>
    <col min="6914" max="6914" width="24.7265625" style="3" customWidth="1"/>
    <col min="6915" max="6915" width="18" style="3" customWidth="1"/>
    <col min="6916" max="6916" width="18.453125" style="3" customWidth="1"/>
    <col min="6917" max="6917" width="13.7265625" style="3" customWidth="1"/>
    <col min="6918" max="6918" width="14" style="3" customWidth="1"/>
    <col min="6919" max="7168" width="9.26953125" style="3"/>
    <col min="7169" max="7169" width="0" style="3" hidden="1" customWidth="1"/>
    <col min="7170" max="7170" width="24.7265625" style="3" customWidth="1"/>
    <col min="7171" max="7171" width="18" style="3" customWidth="1"/>
    <col min="7172" max="7172" width="18.453125" style="3" customWidth="1"/>
    <col min="7173" max="7173" width="13.7265625" style="3" customWidth="1"/>
    <col min="7174" max="7174" width="14" style="3" customWidth="1"/>
    <col min="7175" max="7424" width="9.26953125" style="3"/>
    <col min="7425" max="7425" width="0" style="3" hidden="1" customWidth="1"/>
    <col min="7426" max="7426" width="24.7265625" style="3" customWidth="1"/>
    <col min="7427" max="7427" width="18" style="3" customWidth="1"/>
    <col min="7428" max="7428" width="18.453125" style="3" customWidth="1"/>
    <col min="7429" max="7429" width="13.7265625" style="3" customWidth="1"/>
    <col min="7430" max="7430" width="14" style="3" customWidth="1"/>
    <col min="7431" max="7680" width="9.26953125" style="3"/>
    <col min="7681" max="7681" width="0" style="3" hidden="1" customWidth="1"/>
    <col min="7682" max="7682" width="24.7265625" style="3" customWidth="1"/>
    <col min="7683" max="7683" width="18" style="3" customWidth="1"/>
    <col min="7684" max="7684" width="18.453125" style="3" customWidth="1"/>
    <col min="7685" max="7685" width="13.7265625" style="3" customWidth="1"/>
    <col min="7686" max="7686" width="14" style="3" customWidth="1"/>
    <col min="7687" max="7936" width="9.26953125" style="3"/>
    <col min="7937" max="7937" width="0" style="3" hidden="1" customWidth="1"/>
    <col min="7938" max="7938" width="24.7265625" style="3" customWidth="1"/>
    <col min="7939" max="7939" width="18" style="3" customWidth="1"/>
    <col min="7940" max="7940" width="18.453125" style="3" customWidth="1"/>
    <col min="7941" max="7941" width="13.7265625" style="3" customWidth="1"/>
    <col min="7942" max="7942" width="14" style="3" customWidth="1"/>
    <col min="7943" max="8192" width="9.26953125" style="3"/>
    <col min="8193" max="8193" width="0" style="3" hidden="1" customWidth="1"/>
    <col min="8194" max="8194" width="24.7265625" style="3" customWidth="1"/>
    <col min="8195" max="8195" width="18" style="3" customWidth="1"/>
    <col min="8196" max="8196" width="18.453125" style="3" customWidth="1"/>
    <col min="8197" max="8197" width="13.7265625" style="3" customWidth="1"/>
    <col min="8198" max="8198" width="14" style="3" customWidth="1"/>
    <col min="8199" max="8448" width="9.26953125" style="3"/>
    <col min="8449" max="8449" width="0" style="3" hidden="1" customWidth="1"/>
    <col min="8450" max="8450" width="24.7265625" style="3" customWidth="1"/>
    <col min="8451" max="8451" width="18" style="3" customWidth="1"/>
    <col min="8452" max="8452" width="18.453125" style="3" customWidth="1"/>
    <col min="8453" max="8453" width="13.7265625" style="3" customWidth="1"/>
    <col min="8454" max="8454" width="14" style="3" customWidth="1"/>
    <col min="8455" max="8704" width="9.26953125" style="3"/>
    <col min="8705" max="8705" width="0" style="3" hidden="1" customWidth="1"/>
    <col min="8706" max="8706" width="24.7265625" style="3" customWidth="1"/>
    <col min="8707" max="8707" width="18" style="3" customWidth="1"/>
    <col min="8708" max="8708" width="18.453125" style="3" customWidth="1"/>
    <col min="8709" max="8709" width="13.7265625" style="3" customWidth="1"/>
    <col min="8710" max="8710" width="14" style="3" customWidth="1"/>
    <col min="8711" max="8960" width="9.26953125" style="3"/>
    <col min="8961" max="8961" width="0" style="3" hidden="1" customWidth="1"/>
    <col min="8962" max="8962" width="24.7265625" style="3" customWidth="1"/>
    <col min="8963" max="8963" width="18" style="3" customWidth="1"/>
    <col min="8964" max="8964" width="18.453125" style="3" customWidth="1"/>
    <col min="8965" max="8965" width="13.7265625" style="3" customWidth="1"/>
    <col min="8966" max="8966" width="14" style="3" customWidth="1"/>
    <col min="8967" max="9216" width="9.26953125" style="3"/>
    <col min="9217" max="9217" width="0" style="3" hidden="1" customWidth="1"/>
    <col min="9218" max="9218" width="24.7265625" style="3" customWidth="1"/>
    <col min="9219" max="9219" width="18" style="3" customWidth="1"/>
    <col min="9220" max="9220" width="18.453125" style="3" customWidth="1"/>
    <col min="9221" max="9221" width="13.7265625" style="3" customWidth="1"/>
    <col min="9222" max="9222" width="14" style="3" customWidth="1"/>
    <col min="9223" max="9472" width="9.26953125" style="3"/>
    <col min="9473" max="9473" width="0" style="3" hidden="1" customWidth="1"/>
    <col min="9474" max="9474" width="24.7265625" style="3" customWidth="1"/>
    <col min="9475" max="9475" width="18" style="3" customWidth="1"/>
    <col min="9476" max="9476" width="18.453125" style="3" customWidth="1"/>
    <col min="9477" max="9477" width="13.7265625" style="3" customWidth="1"/>
    <col min="9478" max="9478" width="14" style="3" customWidth="1"/>
    <col min="9479" max="9728" width="9.26953125" style="3"/>
    <col min="9729" max="9729" width="0" style="3" hidden="1" customWidth="1"/>
    <col min="9730" max="9730" width="24.7265625" style="3" customWidth="1"/>
    <col min="9731" max="9731" width="18" style="3" customWidth="1"/>
    <col min="9732" max="9732" width="18.453125" style="3" customWidth="1"/>
    <col min="9733" max="9733" width="13.7265625" style="3" customWidth="1"/>
    <col min="9734" max="9734" width="14" style="3" customWidth="1"/>
    <col min="9735" max="9984" width="9.26953125" style="3"/>
    <col min="9985" max="9985" width="0" style="3" hidden="1" customWidth="1"/>
    <col min="9986" max="9986" width="24.7265625" style="3" customWidth="1"/>
    <col min="9987" max="9987" width="18" style="3" customWidth="1"/>
    <col min="9988" max="9988" width="18.453125" style="3" customWidth="1"/>
    <col min="9989" max="9989" width="13.7265625" style="3" customWidth="1"/>
    <col min="9990" max="9990" width="14" style="3" customWidth="1"/>
    <col min="9991" max="10240" width="9.26953125" style="3"/>
    <col min="10241" max="10241" width="0" style="3" hidden="1" customWidth="1"/>
    <col min="10242" max="10242" width="24.7265625" style="3" customWidth="1"/>
    <col min="10243" max="10243" width="18" style="3" customWidth="1"/>
    <col min="10244" max="10244" width="18.453125" style="3" customWidth="1"/>
    <col min="10245" max="10245" width="13.7265625" style="3" customWidth="1"/>
    <col min="10246" max="10246" width="14" style="3" customWidth="1"/>
    <col min="10247" max="10496" width="9.26953125" style="3"/>
    <col min="10497" max="10497" width="0" style="3" hidden="1" customWidth="1"/>
    <col min="10498" max="10498" width="24.7265625" style="3" customWidth="1"/>
    <col min="10499" max="10499" width="18" style="3" customWidth="1"/>
    <col min="10500" max="10500" width="18.453125" style="3" customWidth="1"/>
    <col min="10501" max="10501" width="13.7265625" style="3" customWidth="1"/>
    <col min="10502" max="10502" width="14" style="3" customWidth="1"/>
    <col min="10503" max="10752" width="9.26953125" style="3"/>
    <col min="10753" max="10753" width="0" style="3" hidden="1" customWidth="1"/>
    <col min="10754" max="10754" width="24.7265625" style="3" customWidth="1"/>
    <col min="10755" max="10755" width="18" style="3" customWidth="1"/>
    <col min="10756" max="10756" width="18.453125" style="3" customWidth="1"/>
    <col min="10757" max="10757" width="13.7265625" style="3" customWidth="1"/>
    <col min="10758" max="10758" width="14" style="3" customWidth="1"/>
    <col min="10759" max="11008" width="9.26953125" style="3"/>
    <col min="11009" max="11009" width="0" style="3" hidden="1" customWidth="1"/>
    <col min="11010" max="11010" width="24.7265625" style="3" customWidth="1"/>
    <col min="11011" max="11011" width="18" style="3" customWidth="1"/>
    <col min="11012" max="11012" width="18.453125" style="3" customWidth="1"/>
    <col min="11013" max="11013" width="13.7265625" style="3" customWidth="1"/>
    <col min="11014" max="11014" width="14" style="3" customWidth="1"/>
    <col min="11015" max="11264" width="9.26953125" style="3"/>
    <col min="11265" max="11265" width="0" style="3" hidden="1" customWidth="1"/>
    <col min="11266" max="11266" width="24.7265625" style="3" customWidth="1"/>
    <col min="11267" max="11267" width="18" style="3" customWidth="1"/>
    <col min="11268" max="11268" width="18.453125" style="3" customWidth="1"/>
    <col min="11269" max="11269" width="13.7265625" style="3" customWidth="1"/>
    <col min="11270" max="11270" width="14" style="3" customWidth="1"/>
    <col min="11271" max="11520" width="9.26953125" style="3"/>
    <col min="11521" max="11521" width="0" style="3" hidden="1" customWidth="1"/>
    <col min="11522" max="11522" width="24.7265625" style="3" customWidth="1"/>
    <col min="11523" max="11523" width="18" style="3" customWidth="1"/>
    <col min="11524" max="11524" width="18.453125" style="3" customWidth="1"/>
    <col min="11525" max="11525" width="13.7265625" style="3" customWidth="1"/>
    <col min="11526" max="11526" width="14" style="3" customWidth="1"/>
    <col min="11527" max="11776" width="9.26953125" style="3"/>
    <col min="11777" max="11777" width="0" style="3" hidden="1" customWidth="1"/>
    <col min="11778" max="11778" width="24.7265625" style="3" customWidth="1"/>
    <col min="11779" max="11779" width="18" style="3" customWidth="1"/>
    <col min="11780" max="11780" width="18.453125" style="3" customWidth="1"/>
    <col min="11781" max="11781" width="13.7265625" style="3" customWidth="1"/>
    <col min="11782" max="11782" width="14" style="3" customWidth="1"/>
    <col min="11783" max="12032" width="9.26953125" style="3"/>
    <col min="12033" max="12033" width="0" style="3" hidden="1" customWidth="1"/>
    <col min="12034" max="12034" width="24.7265625" style="3" customWidth="1"/>
    <col min="12035" max="12035" width="18" style="3" customWidth="1"/>
    <col min="12036" max="12036" width="18.453125" style="3" customWidth="1"/>
    <col min="12037" max="12037" width="13.7265625" style="3" customWidth="1"/>
    <col min="12038" max="12038" width="14" style="3" customWidth="1"/>
    <col min="12039" max="12288" width="9.26953125" style="3"/>
    <col min="12289" max="12289" width="0" style="3" hidden="1" customWidth="1"/>
    <col min="12290" max="12290" width="24.7265625" style="3" customWidth="1"/>
    <col min="12291" max="12291" width="18" style="3" customWidth="1"/>
    <col min="12292" max="12292" width="18.453125" style="3" customWidth="1"/>
    <col min="12293" max="12293" width="13.7265625" style="3" customWidth="1"/>
    <col min="12294" max="12294" width="14" style="3" customWidth="1"/>
    <col min="12295" max="12544" width="9.26953125" style="3"/>
    <col min="12545" max="12545" width="0" style="3" hidden="1" customWidth="1"/>
    <col min="12546" max="12546" width="24.7265625" style="3" customWidth="1"/>
    <col min="12547" max="12547" width="18" style="3" customWidth="1"/>
    <col min="12548" max="12548" width="18.453125" style="3" customWidth="1"/>
    <col min="12549" max="12549" width="13.7265625" style="3" customWidth="1"/>
    <col min="12550" max="12550" width="14" style="3" customWidth="1"/>
    <col min="12551" max="12800" width="9.26953125" style="3"/>
    <col min="12801" max="12801" width="0" style="3" hidden="1" customWidth="1"/>
    <col min="12802" max="12802" width="24.7265625" style="3" customWidth="1"/>
    <col min="12803" max="12803" width="18" style="3" customWidth="1"/>
    <col min="12804" max="12804" width="18.453125" style="3" customWidth="1"/>
    <col min="12805" max="12805" width="13.7265625" style="3" customWidth="1"/>
    <col min="12806" max="12806" width="14" style="3" customWidth="1"/>
    <col min="12807" max="13056" width="9.26953125" style="3"/>
    <col min="13057" max="13057" width="0" style="3" hidden="1" customWidth="1"/>
    <col min="13058" max="13058" width="24.7265625" style="3" customWidth="1"/>
    <col min="13059" max="13059" width="18" style="3" customWidth="1"/>
    <col min="13060" max="13060" width="18.453125" style="3" customWidth="1"/>
    <col min="13061" max="13061" width="13.7265625" style="3" customWidth="1"/>
    <col min="13062" max="13062" width="14" style="3" customWidth="1"/>
    <col min="13063" max="13312" width="9.26953125" style="3"/>
    <col min="13313" max="13313" width="0" style="3" hidden="1" customWidth="1"/>
    <col min="13314" max="13314" width="24.7265625" style="3" customWidth="1"/>
    <col min="13315" max="13315" width="18" style="3" customWidth="1"/>
    <col min="13316" max="13316" width="18.453125" style="3" customWidth="1"/>
    <col min="13317" max="13317" width="13.7265625" style="3" customWidth="1"/>
    <col min="13318" max="13318" width="14" style="3" customWidth="1"/>
    <col min="13319" max="13568" width="9.26953125" style="3"/>
    <col min="13569" max="13569" width="0" style="3" hidden="1" customWidth="1"/>
    <col min="13570" max="13570" width="24.7265625" style="3" customWidth="1"/>
    <col min="13571" max="13571" width="18" style="3" customWidth="1"/>
    <col min="13572" max="13572" width="18.453125" style="3" customWidth="1"/>
    <col min="13573" max="13573" width="13.7265625" style="3" customWidth="1"/>
    <col min="13574" max="13574" width="14" style="3" customWidth="1"/>
    <col min="13575" max="13824" width="9.26953125" style="3"/>
    <col min="13825" max="13825" width="0" style="3" hidden="1" customWidth="1"/>
    <col min="13826" max="13826" width="24.7265625" style="3" customWidth="1"/>
    <col min="13827" max="13827" width="18" style="3" customWidth="1"/>
    <col min="13828" max="13828" width="18.453125" style="3" customWidth="1"/>
    <col min="13829" max="13829" width="13.7265625" style="3" customWidth="1"/>
    <col min="13830" max="13830" width="14" style="3" customWidth="1"/>
    <col min="13831" max="14080" width="9.26953125" style="3"/>
    <col min="14081" max="14081" width="0" style="3" hidden="1" customWidth="1"/>
    <col min="14082" max="14082" width="24.7265625" style="3" customWidth="1"/>
    <col min="14083" max="14083" width="18" style="3" customWidth="1"/>
    <col min="14084" max="14084" width="18.453125" style="3" customWidth="1"/>
    <col min="14085" max="14085" width="13.7265625" style="3" customWidth="1"/>
    <col min="14086" max="14086" width="14" style="3" customWidth="1"/>
    <col min="14087" max="14336" width="9.26953125" style="3"/>
    <col min="14337" max="14337" width="0" style="3" hidden="1" customWidth="1"/>
    <col min="14338" max="14338" width="24.7265625" style="3" customWidth="1"/>
    <col min="14339" max="14339" width="18" style="3" customWidth="1"/>
    <col min="14340" max="14340" width="18.453125" style="3" customWidth="1"/>
    <col min="14341" max="14341" width="13.7265625" style="3" customWidth="1"/>
    <col min="14342" max="14342" width="14" style="3" customWidth="1"/>
    <col min="14343" max="14592" width="9.26953125" style="3"/>
    <col min="14593" max="14593" width="0" style="3" hidden="1" customWidth="1"/>
    <col min="14594" max="14594" width="24.7265625" style="3" customWidth="1"/>
    <col min="14595" max="14595" width="18" style="3" customWidth="1"/>
    <col min="14596" max="14596" width="18.453125" style="3" customWidth="1"/>
    <col min="14597" max="14597" width="13.7265625" style="3" customWidth="1"/>
    <col min="14598" max="14598" width="14" style="3" customWidth="1"/>
    <col min="14599" max="14848" width="9.26953125" style="3"/>
    <col min="14849" max="14849" width="0" style="3" hidden="1" customWidth="1"/>
    <col min="14850" max="14850" width="24.7265625" style="3" customWidth="1"/>
    <col min="14851" max="14851" width="18" style="3" customWidth="1"/>
    <col min="14852" max="14852" width="18.453125" style="3" customWidth="1"/>
    <col min="14853" max="14853" width="13.7265625" style="3" customWidth="1"/>
    <col min="14854" max="14854" width="14" style="3" customWidth="1"/>
    <col min="14855" max="15104" width="9.26953125" style="3"/>
    <col min="15105" max="15105" width="0" style="3" hidden="1" customWidth="1"/>
    <col min="15106" max="15106" width="24.7265625" style="3" customWidth="1"/>
    <col min="15107" max="15107" width="18" style="3" customWidth="1"/>
    <col min="15108" max="15108" width="18.453125" style="3" customWidth="1"/>
    <col min="15109" max="15109" width="13.7265625" style="3" customWidth="1"/>
    <col min="15110" max="15110" width="14" style="3" customWidth="1"/>
    <col min="15111" max="15360" width="9.26953125" style="3"/>
    <col min="15361" max="15361" width="0" style="3" hidden="1" customWidth="1"/>
    <col min="15362" max="15362" width="24.7265625" style="3" customWidth="1"/>
    <col min="15363" max="15363" width="18" style="3" customWidth="1"/>
    <col min="15364" max="15364" width="18.453125" style="3" customWidth="1"/>
    <col min="15365" max="15365" width="13.7265625" style="3" customWidth="1"/>
    <col min="15366" max="15366" width="14" style="3" customWidth="1"/>
    <col min="15367" max="15616" width="9.26953125" style="3"/>
    <col min="15617" max="15617" width="0" style="3" hidden="1" customWidth="1"/>
    <col min="15618" max="15618" width="24.7265625" style="3" customWidth="1"/>
    <col min="15619" max="15619" width="18" style="3" customWidth="1"/>
    <col min="15620" max="15620" width="18.453125" style="3" customWidth="1"/>
    <col min="15621" max="15621" width="13.7265625" style="3" customWidth="1"/>
    <col min="15622" max="15622" width="14" style="3" customWidth="1"/>
    <col min="15623" max="15872" width="9.26953125" style="3"/>
    <col min="15873" max="15873" width="0" style="3" hidden="1" customWidth="1"/>
    <col min="15874" max="15874" width="24.7265625" style="3" customWidth="1"/>
    <col min="15875" max="15875" width="18" style="3" customWidth="1"/>
    <col min="15876" max="15876" width="18.453125" style="3" customWidth="1"/>
    <col min="15877" max="15877" width="13.7265625" style="3" customWidth="1"/>
    <col min="15878" max="15878" width="14" style="3" customWidth="1"/>
    <col min="15879" max="16128" width="9.26953125" style="3"/>
    <col min="16129" max="16129" width="0" style="3" hidden="1" customWidth="1"/>
    <col min="16130" max="16130" width="24.7265625" style="3" customWidth="1"/>
    <col min="16131" max="16131" width="18" style="3" customWidth="1"/>
    <col min="16132" max="16132" width="18.453125" style="3" customWidth="1"/>
    <col min="16133" max="16133" width="13.7265625" style="3" customWidth="1"/>
    <col min="16134" max="16134" width="14" style="3" customWidth="1"/>
    <col min="16135" max="16384" width="9.26953125" style="3"/>
  </cols>
  <sheetData>
    <row r="1" spans="1:9" ht="48.75" customHeight="1" x14ac:dyDescent="0.3">
      <c r="B1" s="316"/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f>C5+C44</f>
        <v>980</v>
      </c>
      <c r="D4" s="49">
        <f>D5+D44</f>
        <v>163</v>
      </c>
      <c r="E4" s="49">
        <f>E5+E44</f>
        <v>23</v>
      </c>
      <c r="F4" s="49">
        <f>F5+F44</f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f>SUM(C6:C43)</f>
        <v>784</v>
      </c>
      <c r="D5" s="42">
        <f>SUM(D6:D43)</f>
        <v>114</v>
      </c>
      <c r="E5" s="42">
        <f>SUM(E6:E43)</f>
        <v>18</v>
      </c>
      <c r="F5" s="42">
        <f>SUM(F6:F43)</f>
        <v>0</v>
      </c>
    </row>
    <row r="6" spans="1:9" x14ac:dyDescent="0.3">
      <c r="A6" s="12">
        <v>51</v>
      </c>
      <c r="B6" s="3" t="s">
        <v>8</v>
      </c>
      <c r="C6" s="37">
        <v>40</v>
      </c>
      <c r="D6" s="37">
        <v>7</v>
      </c>
      <c r="E6" s="37">
        <v>0</v>
      </c>
      <c r="F6" s="37">
        <v>0</v>
      </c>
    </row>
    <row r="7" spans="1:9" x14ac:dyDescent="0.3">
      <c r="A7" s="12">
        <v>52</v>
      </c>
      <c r="B7" s="3" t="s">
        <v>9</v>
      </c>
      <c r="C7" s="37">
        <v>33</v>
      </c>
      <c r="D7" s="37">
        <v>5</v>
      </c>
      <c r="E7" s="37">
        <v>4</v>
      </c>
      <c r="F7" s="37">
        <v>0</v>
      </c>
    </row>
    <row r="8" spans="1:9" x14ac:dyDescent="0.3">
      <c r="A8" s="12">
        <v>86</v>
      </c>
      <c r="B8" s="3" t="s">
        <v>10</v>
      </c>
      <c r="C8" s="37">
        <v>20</v>
      </c>
      <c r="D8" s="37">
        <v>2</v>
      </c>
      <c r="E8" s="37">
        <v>0</v>
      </c>
      <c r="F8" s="37">
        <v>0</v>
      </c>
    </row>
    <row r="9" spans="1:9" x14ac:dyDescent="0.3">
      <c r="A9" s="12">
        <v>53</v>
      </c>
      <c r="B9" s="3" t="s">
        <v>11</v>
      </c>
      <c r="C9" s="37">
        <v>7</v>
      </c>
      <c r="D9" s="37">
        <v>2</v>
      </c>
      <c r="E9" s="37">
        <v>0</v>
      </c>
      <c r="F9" s="37">
        <v>0</v>
      </c>
    </row>
    <row r="10" spans="1:9" x14ac:dyDescent="0.3">
      <c r="A10" s="12">
        <v>54</v>
      </c>
      <c r="B10" s="3" t="s">
        <v>12</v>
      </c>
      <c r="C10" s="37">
        <v>34</v>
      </c>
      <c r="D10" s="37">
        <v>1</v>
      </c>
      <c r="E10" s="37">
        <v>0</v>
      </c>
      <c r="F10" s="37">
        <v>0</v>
      </c>
    </row>
    <row r="11" spans="1:9" x14ac:dyDescent="0.3">
      <c r="A11" s="12">
        <v>55</v>
      </c>
      <c r="B11" s="3" t="s">
        <v>13</v>
      </c>
      <c r="C11" s="37">
        <v>24</v>
      </c>
      <c r="D11" s="37">
        <v>2</v>
      </c>
      <c r="E11" s="37">
        <v>0</v>
      </c>
      <c r="F11" s="37">
        <v>0</v>
      </c>
    </row>
    <row r="12" spans="1:9" x14ac:dyDescent="0.3">
      <c r="A12" s="12">
        <v>56</v>
      </c>
      <c r="B12" s="3" t="s">
        <v>14</v>
      </c>
      <c r="C12" s="37">
        <v>5</v>
      </c>
      <c r="D12" s="37">
        <v>1</v>
      </c>
      <c r="E12" s="37">
        <v>0</v>
      </c>
      <c r="F12" s="37">
        <v>0</v>
      </c>
    </row>
    <row r="13" spans="1:9" x14ac:dyDescent="0.3">
      <c r="A13" s="12">
        <v>57</v>
      </c>
      <c r="B13" s="3" t="s">
        <v>15</v>
      </c>
      <c r="C13" s="37">
        <v>9</v>
      </c>
      <c r="D13" s="37">
        <v>1</v>
      </c>
      <c r="E13" s="37">
        <v>0</v>
      </c>
      <c r="F13" s="37">
        <v>0</v>
      </c>
    </row>
    <row r="14" spans="1:9" x14ac:dyDescent="0.3">
      <c r="A14" s="12">
        <v>59</v>
      </c>
      <c r="B14" s="3" t="s">
        <v>16</v>
      </c>
      <c r="C14" s="37">
        <v>11</v>
      </c>
      <c r="D14" s="37">
        <v>1</v>
      </c>
      <c r="E14" s="37">
        <v>1</v>
      </c>
      <c r="F14" s="37">
        <v>0</v>
      </c>
    </row>
    <row r="15" spans="1:9" x14ac:dyDescent="0.3">
      <c r="A15" s="12">
        <v>60</v>
      </c>
      <c r="B15" s="3" t="s">
        <v>17</v>
      </c>
      <c r="C15" s="37">
        <v>9</v>
      </c>
      <c r="D15" s="37">
        <v>0</v>
      </c>
      <c r="E15" s="37">
        <v>1</v>
      </c>
      <c r="F15" s="37">
        <v>0</v>
      </c>
    </row>
    <row r="16" spans="1:9" x14ac:dyDescent="0.3">
      <c r="A16" s="12">
        <v>61</v>
      </c>
      <c r="B16" s="38" t="s">
        <v>18</v>
      </c>
      <c r="C16" s="37">
        <v>30</v>
      </c>
      <c r="D16" s="37">
        <v>7</v>
      </c>
      <c r="E16" s="37">
        <v>0</v>
      </c>
      <c r="F16" s="37">
        <v>0</v>
      </c>
    </row>
    <row r="17" spans="1:6" s="183" customFormat="1" x14ac:dyDescent="0.3">
      <c r="A17" s="12"/>
      <c r="B17" s="130" t="s">
        <v>122</v>
      </c>
      <c r="C17" s="37">
        <v>35</v>
      </c>
      <c r="D17" s="37">
        <v>0</v>
      </c>
      <c r="E17" s="37">
        <v>2</v>
      </c>
      <c r="F17" s="37">
        <v>0</v>
      </c>
    </row>
    <row r="18" spans="1:6" x14ac:dyDescent="0.3">
      <c r="A18" s="12">
        <v>58</v>
      </c>
      <c r="B18" s="3" t="s">
        <v>20</v>
      </c>
      <c r="C18" s="37">
        <v>4</v>
      </c>
      <c r="D18" s="37">
        <v>2</v>
      </c>
      <c r="E18" s="37">
        <v>0</v>
      </c>
      <c r="F18" s="37">
        <v>0</v>
      </c>
    </row>
    <row r="19" spans="1:6" x14ac:dyDescent="0.3">
      <c r="A19" s="12">
        <v>63</v>
      </c>
      <c r="B19" s="3" t="s">
        <v>21</v>
      </c>
      <c r="C19" s="37">
        <v>32</v>
      </c>
      <c r="D19" s="37">
        <v>4</v>
      </c>
      <c r="E19" s="37">
        <v>3</v>
      </c>
      <c r="F19" s="37">
        <v>0</v>
      </c>
    </row>
    <row r="20" spans="1:6" x14ac:dyDescent="0.3">
      <c r="A20" s="12">
        <v>64</v>
      </c>
      <c r="B20" s="3" t="s">
        <v>22</v>
      </c>
      <c r="C20" s="37">
        <v>28</v>
      </c>
      <c r="D20" s="37">
        <v>8</v>
      </c>
      <c r="E20" s="37">
        <v>0</v>
      </c>
      <c r="F20" s="37">
        <v>0</v>
      </c>
    </row>
    <row r="21" spans="1:6" x14ac:dyDescent="0.3">
      <c r="A21" s="12">
        <v>65</v>
      </c>
      <c r="B21" s="3" t="s">
        <v>23</v>
      </c>
      <c r="C21" s="37">
        <v>19</v>
      </c>
      <c r="D21" s="37">
        <v>0</v>
      </c>
      <c r="E21" s="37">
        <v>0</v>
      </c>
      <c r="F21" s="37">
        <v>0</v>
      </c>
    </row>
    <row r="22" spans="1:6" x14ac:dyDescent="0.3">
      <c r="A22" s="12">
        <v>67</v>
      </c>
      <c r="B22" s="3" t="s">
        <v>24</v>
      </c>
      <c r="C22" s="37">
        <v>41</v>
      </c>
      <c r="D22" s="37">
        <v>5</v>
      </c>
      <c r="E22" s="37">
        <v>0</v>
      </c>
      <c r="F22" s="37">
        <v>0</v>
      </c>
    </row>
    <row r="23" spans="1:6" x14ac:dyDescent="0.3">
      <c r="A23" s="12">
        <v>68</v>
      </c>
      <c r="B23" s="3" t="s">
        <v>25</v>
      </c>
      <c r="C23" s="37">
        <v>22</v>
      </c>
      <c r="D23" s="37">
        <v>3</v>
      </c>
      <c r="E23" s="37">
        <v>0</v>
      </c>
      <c r="F23" s="37">
        <v>0</v>
      </c>
    </row>
    <row r="24" spans="1:6" x14ac:dyDescent="0.3">
      <c r="A24" s="12">
        <v>69</v>
      </c>
      <c r="B24" s="3" t="s">
        <v>26</v>
      </c>
      <c r="C24" s="37">
        <v>36</v>
      </c>
      <c r="D24" s="37">
        <v>8</v>
      </c>
      <c r="E24" s="37">
        <v>1</v>
      </c>
      <c r="F24" s="37">
        <v>0</v>
      </c>
    </row>
    <row r="25" spans="1:6" x14ac:dyDescent="0.3">
      <c r="A25" s="12">
        <v>70</v>
      </c>
      <c r="B25" s="3" t="s">
        <v>27</v>
      </c>
      <c r="C25" s="37">
        <v>48</v>
      </c>
      <c r="D25" s="37">
        <v>5</v>
      </c>
      <c r="E25" s="37">
        <v>2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5</v>
      </c>
      <c r="D26" s="37">
        <v>0</v>
      </c>
      <c r="E26" s="37">
        <v>0</v>
      </c>
      <c r="F26" s="37">
        <v>0</v>
      </c>
    </row>
    <row r="27" spans="1:6" x14ac:dyDescent="0.3">
      <c r="A27" s="12">
        <v>73</v>
      </c>
      <c r="B27" s="3" t="s">
        <v>29</v>
      </c>
      <c r="C27" s="37">
        <v>16</v>
      </c>
      <c r="D27" s="37">
        <v>3</v>
      </c>
      <c r="E27" s="37">
        <v>0</v>
      </c>
      <c r="F27" s="37">
        <v>0</v>
      </c>
    </row>
    <row r="28" spans="1:6" x14ac:dyDescent="0.3">
      <c r="A28" s="12">
        <v>74</v>
      </c>
      <c r="B28" s="3" t="s">
        <v>30</v>
      </c>
      <c r="C28" s="37">
        <v>15</v>
      </c>
      <c r="D28" s="37">
        <v>4</v>
      </c>
      <c r="E28" s="37">
        <v>0</v>
      </c>
      <c r="F28" s="37">
        <v>0</v>
      </c>
    </row>
    <row r="29" spans="1:6" x14ac:dyDescent="0.3">
      <c r="A29" s="12">
        <v>75</v>
      </c>
      <c r="B29" s="3" t="s">
        <v>31</v>
      </c>
      <c r="C29" s="37">
        <v>18</v>
      </c>
      <c r="D29" s="37">
        <v>2</v>
      </c>
      <c r="E29" s="37">
        <v>1</v>
      </c>
      <c r="F29" s="37">
        <v>0</v>
      </c>
    </row>
    <row r="30" spans="1:6" x14ac:dyDescent="0.3">
      <c r="A30" s="12">
        <v>76</v>
      </c>
      <c r="B30" s="3" t="s">
        <v>32</v>
      </c>
      <c r="C30" s="37">
        <v>19</v>
      </c>
      <c r="D30" s="37">
        <v>4</v>
      </c>
      <c r="E30" s="37">
        <v>0</v>
      </c>
      <c r="F30" s="37">
        <v>0</v>
      </c>
    </row>
    <row r="31" spans="1:6" x14ac:dyDescent="0.3">
      <c r="A31" s="12">
        <v>79</v>
      </c>
      <c r="B31" s="3" t="s">
        <v>33</v>
      </c>
      <c r="C31" s="37">
        <v>40</v>
      </c>
      <c r="D31" s="37">
        <v>14</v>
      </c>
      <c r="E31" s="37">
        <v>0</v>
      </c>
      <c r="F31" s="37">
        <v>0</v>
      </c>
    </row>
    <row r="32" spans="1:6" x14ac:dyDescent="0.3">
      <c r="A32" s="12">
        <v>80</v>
      </c>
      <c r="B32" s="3" t="s">
        <v>34</v>
      </c>
      <c r="C32" s="37">
        <v>34</v>
      </c>
      <c r="D32" s="37">
        <v>2</v>
      </c>
      <c r="E32" s="37">
        <v>2</v>
      </c>
      <c r="F32" s="37">
        <v>0</v>
      </c>
    </row>
    <row r="33" spans="1:10" x14ac:dyDescent="0.3">
      <c r="A33" s="12">
        <v>81</v>
      </c>
      <c r="B33" s="3" t="s">
        <v>35</v>
      </c>
      <c r="C33" s="37">
        <v>15</v>
      </c>
      <c r="D33" s="37">
        <v>1</v>
      </c>
      <c r="E33" s="37">
        <v>0</v>
      </c>
      <c r="F33" s="37">
        <v>0</v>
      </c>
    </row>
    <row r="34" spans="1:10" x14ac:dyDescent="0.3">
      <c r="A34" s="12">
        <v>83</v>
      </c>
      <c r="B34" s="3" t="s">
        <v>36</v>
      </c>
      <c r="C34" s="37">
        <v>13</v>
      </c>
      <c r="D34" s="37">
        <v>4</v>
      </c>
      <c r="E34" s="37">
        <v>0</v>
      </c>
      <c r="F34" s="37">
        <v>0</v>
      </c>
    </row>
    <row r="35" spans="1:10" x14ac:dyDescent="0.3">
      <c r="A35" s="12">
        <v>84</v>
      </c>
      <c r="B35" s="3" t="s">
        <v>37</v>
      </c>
      <c r="C35" s="37">
        <v>10</v>
      </c>
      <c r="D35" s="37">
        <v>2</v>
      </c>
      <c r="E35" s="37">
        <v>0</v>
      </c>
      <c r="F35" s="37">
        <v>0</v>
      </c>
    </row>
    <row r="36" spans="1:10" ht="14" x14ac:dyDescent="0.3">
      <c r="A36" s="12">
        <v>85</v>
      </c>
      <c r="B36" s="3" t="s">
        <v>38</v>
      </c>
      <c r="C36" s="37">
        <v>23</v>
      </c>
      <c r="D36" s="37">
        <v>5</v>
      </c>
      <c r="E36" s="37">
        <v>0</v>
      </c>
      <c r="F36" s="37">
        <v>0</v>
      </c>
      <c r="G36" s="11"/>
    </row>
    <row r="37" spans="1:10" ht="14" x14ac:dyDescent="0.3">
      <c r="A37" s="12">
        <v>87</v>
      </c>
      <c r="B37" s="3" t="s">
        <v>39</v>
      </c>
      <c r="C37" s="37">
        <v>8</v>
      </c>
      <c r="D37" s="37">
        <v>0</v>
      </c>
      <c r="E37" s="37">
        <v>0</v>
      </c>
      <c r="F37" s="37">
        <v>0</v>
      </c>
      <c r="H37" s="11"/>
      <c r="I37" s="11"/>
    </row>
    <row r="38" spans="1:10" x14ac:dyDescent="0.3">
      <c r="A38" s="12">
        <v>90</v>
      </c>
      <c r="B38" s="3" t="s">
        <v>40</v>
      </c>
      <c r="C38" s="37">
        <v>10</v>
      </c>
      <c r="D38" s="37">
        <v>3</v>
      </c>
      <c r="E38" s="37">
        <v>0</v>
      </c>
      <c r="F38" s="37">
        <v>0</v>
      </c>
    </row>
    <row r="39" spans="1:10" x14ac:dyDescent="0.3">
      <c r="A39" s="12">
        <v>91</v>
      </c>
      <c r="B39" s="3" t="s">
        <v>41</v>
      </c>
      <c r="C39" s="37">
        <v>26</v>
      </c>
      <c r="D39" s="37">
        <v>1</v>
      </c>
      <c r="E39" s="37">
        <v>0</v>
      </c>
      <c r="F39" s="37">
        <v>0</v>
      </c>
    </row>
    <row r="40" spans="1:10" x14ac:dyDescent="0.3">
      <c r="A40" s="12">
        <v>92</v>
      </c>
      <c r="B40" s="3" t="s">
        <v>42</v>
      </c>
      <c r="C40" s="37">
        <v>17</v>
      </c>
      <c r="D40" s="37">
        <v>1</v>
      </c>
      <c r="E40" s="37">
        <v>1</v>
      </c>
      <c r="F40" s="37">
        <v>0</v>
      </c>
    </row>
    <row r="41" spans="1:10" x14ac:dyDescent="0.3">
      <c r="A41" s="12">
        <v>94</v>
      </c>
      <c r="B41" s="3" t="s">
        <v>43</v>
      </c>
      <c r="C41" s="37">
        <v>11</v>
      </c>
      <c r="D41" s="37">
        <v>3</v>
      </c>
      <c r="E41" s="37">
        <v>0</v>
      </c>
      <c r="F41" s="37">
        <v>0</v>
      </c>
    </row>
    <row r="42" spans="1:10" ht="14" x14ac:dyDescent="0.3">
      <c r="A42" s="12">
        <v>96</v>
      </c>
      <c r="B42" s="3" t="s">
        <v>44</v>
      </c>
      <c r="C42" s="37">
        <v>17</v>
      </c>
      <c r="D42" s="37">
        <v>1</v>
      </c>
      <c r="E42" s="37">
        <v>0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f>SUM(C45:C51)</f>
        <v>196</v>
      </c>
      <c r="D44" s="42">
        <f t="shared" ref="D44:F44" si="0">SUM(D45:D51)</f>
        <v>49</v>
      </c>
      <c r="E44" s="42">
        <f t="shared" si="0"/>
        <v>5</v>
      </c>
      <c r="F44" s="42">
        <f t="shared" si="0"/>
        <v>0</v>
      </c>
    </row>
    <row r="45" spans="1:10" x14ac:dyDescent="0.3">
      <c r="A45" s="12">
        <v>66</v>
      </c>
      <c r="B45" s="3" t="s">
        <v>48</v>
      </c>
      <c r="C45" s="37">
        <v>34</v>
      </c>
      <c r="D45" s="37">
        <v>10</v>
      </c>
      <c r="E45" s="37">
        <v>0</v>
      </c>
      <c r="F45" s="37">
        <v>0</v>
      </c>
    </row>
    <row r="46" spans="1:10" x14ac:dyDescent="0.3">
      <c r="A46" s="12">
        <v>78</v>
      </c>
      <c r="B46" s="3" t="s">
        <v>49</v>
      </c>
      <c r="C46" s="37">
        <v>10</v>
      </c>
      <c r="D46" s="37">
        <v>3</v>
      </c>
      <c r="E46" s="37">
        <v>0</v>
      </c>
      <c r="F46" s="37">
        <v>0</v>
      </c>
    </row>
    <row r="47" spans="1:10" x14ac:dyDescent="0.3">
      <c r="A47" s="12">
        <v>89</v>
      </c>
      <c r="B47" s="3" t="s">
        <v>50</v>
      </c>
      <c r="C47" s="37">
        <v>38</v>
      </c>
      <c r="D47" s="37">
        <v>3</v>
      </c>
      <c r="E47" s="37">
        <v>3</v>
      </c>
      <c r="F47" s="37">
        <v>0</v>
      </c>
    </row>
    <row r="48" spans="1:10" x14ac:dyDescent="0.3">
      <c r="A48" s="12">
        <v>93</v>
      </c>
      <c r="B48" s="3" t="s">
        <v>51</v>
      </c>
      <c r="C48" s="37">
        <v>12</v>
      </c>
      <c r="D48" s="37">
        <v>2</v>
      </c>
      <c r="E48" s="37">
        <v>0</v>
      </c>
      <c r="F48" s="37">
        <v>0</v>
      </c>
    </row>
    <row r="49" spans="1:6" x14ac:dyDescent="0.3">
      <c r="A49" s="12">
        <v>95</v>
      </c>
      <c r="B49" s="3" t="s">
        <v>52</v>
      </c>
      <c r="C49" s="37">
        <v>20</v>
      </c>
      <c r="D49" s="37">
        <v>4</v>
      </c>
      <c r="E49" s="37">
        <v>1</v>
      </c>
      <c r="F49" s="37">
        <v>0</v>
      </c>
    </row>
    <row r="50" spans="1:6" x14ac:dyDescent="0.3">
      <c r="A50" s="12">
        <v>97</v>
      </c>
      <c r="B50" s="3" t="s">
        <v>53</v>
      </c>
      <c r="C50" s="37">
        <v>34</v>
      </c>
      <c r="D50" s="37">
        <v>8</v>
      </c>
      <c r="E50" s="37">
        <v>1</v>
      </c>
      <c r="F50" s="37">
        <v>0</v>
      </c>
    </row>
    <row r="51" spans="1:6" x14ac:dyDescent="0.3">
      <c r="A51" s="12">
        <v>77</v>
      </c>
      <c r="B51" s="43" t="s">
        <v>54</v>
      </c>
      <c r="C51" s="37">
        <v>48</v>
      </c>
      <c r="D51" s="37">
        <v>19</v>
      </c>
      <c r="E51" s="37">
        <v>0</v>
      </c>
      <c r="F51" s="37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53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rgb="FFFF0000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3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9.26953125" style="3"/>
    <col min="257" max="257" width="0" style="3" hidden="1" customWidth="1"/>
    <col min="258" max="258" width="24.7265625" style="3" customWidth="1"/>
    <col min="259" max="259" width="18" style="3" customWidth="1"/>
    <col min="260" max="260" width="18.453125" style="3" customWidth="1"/>
    <col min="261" max="261" width="13.7265625" style="3" customWidth="1"/>
    <col min="262" max="262" width="14" style="3" customWidth="1"/>
    <col min="263" max="512" width="9.26953125" style="3"/>
    <col min="513" max="513" width="0" style="3" hidden="1" customWidth="1"/>
    <col min="514" max="514" width="24.7265625" style="3" customWidth="1"/>
    <col min="515" max="515" width="18" style="3" customWidth="1"/>
    <col min="516" max="516" width="18.453125" style="3" customWidth="1"/>
    <col min="517" max="517" width="13.7265625" style="3" customWidth="1"/>
    <col min="518" max="518" width="14" style="3" customWidth="1"/>
    <col min="519" max="768" width="9.26953125" style="3"/>
    <col min="769" max="769" width="0" style="3" hidden="1" customWidth="1"/>
    <col min="770" max="770" width="24.7265625" style="3" customWidth="1"/>
    <col min="771" max="771" width="18" style="3" customWidth="1"/>
    <col min="772" max="772" width="18.453125" style="3" customWidth="1"/>
    <col min="773" max="773" width="13.7265625" style="3" customWidth="1"/>
    <col min="774" max="774" width="14" style="3" customWidth="1"/>
    <col min="775" max="1024" width="9.26953125" style="3"/>
    <col min="1025" max="1025" width="0" style="3" hidden="1" customWidth="1"/>
    <col min="1026" max="1026" width="24.7265625" style="3" customWidth="1"/>
    <col min="1027" max="1027" width="18" style="3" customWidth="1"/>
    <col min="1028" max="1028" width="18.453125" style="3" customWidth="1"/>
    <col min="1029" max="1029" width="13.7265625" style="3" customWidth="1"/>
    <col min="1030" max="1030" width="14" style="3" customWidth="1"/>
    <col min="1031" max="1280" width="9.26953125" style="3"/>
    <col min="1281" max="1281" width="0" style="3" hidden="1" customWidth="1"/>
    <col min="1282" max="1282" width="24.7265625" style="3" customWidth="1"/>
    <col min="1283" max="1283" width="18" style="3" customWidth="1"/>
    <col min="1284" max="1284" width="18.453125" style="3" customWidth="1"/>
    <col min="1285" max="1285" width="13.7265625" style="3" customWidth="1"/>
    <col min="1286" max="1286" width="14" style="3" customWidth="1"/>
    <col min="1287" max="1536" width="9.26953125" style="3"/>
    <col min="1537" max="1537" width="0" style="3" hidden="1" customWidth="1"/>
    <col min="1538" max="1538" width="24.7265625" style="3" customWidth="1"/>
    <col min="1539" max="1539" width="18" style="3" customWidth="1"/>
    <col min="1540" max="1540" width="18.453125" style="3" customWidth="1"/>
    <col min="1541" max="1541" width="13.7265625" style="3" customWidth="1"/>
    <col min="1542" max="1542" width="14" style="3" customWidth="1"/>
    <col min="1543" max="1792" width="9.26953125" style="3"/>
    <col min="1793" max="1793" width="0" style="3" hidden="1" customWidth="1"/>
    <col min="1794" max="1794" width="24.7265625" style="3" customWidth="1"/>
    <col min="1795" max="1795" width="18" style="3" customWidth="1"/>
    <col min="1796" max="1796" width="18.453125" style="3" customWidth="1"/>
    <col min="1797" max="1797" width="13.7265625" style="3" customWidth="1"/>
    <col min="1798" max="1798" width="14" style="3" customWidth="1"/>
    <col min="1799" max="2048" width="9.26953125" style="3"/>
    <col min="2049" max="2049" width="0" style="3" hidden="1" customWidth="1"/>
    <col min="2050" max="2050" width="24.7265625" style="3" customWidth="1"/>
    <col min="2051" max="2051" width="18" style="3" customWidth="1"/>
    <col min="2052" max="2052" width="18.453125" style="3" customWidth="1"/>
    <col min="2053" max="2053" width="13.7265625" style="3" customWidth="1"/>
    <col min="2054" max="2054" width="14" style="3" customWidth="1"/>
    <col min="2055" max="2304" width="9.26953125" style="3"/>
    <col min="2305" max="2305" width="0" style="3" hidden="1" customWidth="1"/>
    <col min="2306" max="2306" width="24.7265625" style="3" customWidth="1"/>
    <col min="2307" max="2307" width="18" style="3" customWidth="1"/>
    <col min="2308" max="2308" width="18.453125" style="3" customWidth="1"/>
    <col min="2309" max="2309" width="13.7265625" style="3" customWidth="1"/>
    <col min="2310" max="2310" width="14" style="3" customWidth="1"/>
    <col min="2311" max="2560" width="9.26953125" style="3"/>
    <col min="2561" max="2561" width="0" style="3" hidden="1" customWidth="1"/>
    <col min="2562" max="2562" width="24.7265625" style="3" customWidth="1"/>
    <col min="2563" max="2563" width="18" style="3" customWidth="1"/>
    <col min="2564" max="2564" width="18.453125" style="3" customWidth="1"/>
    <col min="2565" max="2565" width="13.7265625" style="3" customWidth="1"/>
    <col min="2566" max="2566" width="14" style="3" customWidth="1"/>
    <col min="2567" max="2816" width="9.26953125" style="3"/>
    <col min="2817" max="2817" width="0" style="3" hidden="1" customWidth="1"/>
    <col min="2818" max="2818" width="24.7265625" style="3" customWidth="1"/>
    <col min="2819" max="2819" width="18" style="3" customWidth="1"/>
    <col min="2820" max="2820" width="18.453125" style="3" customWidth="1"/>
    <col min="2821" max="2821" width="13.7265625" style="3" customWidth="1"/>
    <col min="2822" max="2822" width="14" style="3" customWidth="1"/>
    <col min="2823" max="3072" width="9.26953125" style="3"/>
    <col min="3073" max="3073" width="0" style="3" hidden="1" customWidth="1"/>
    <col min="3074" max="3074" width="24.7265625" style="3" customWidth="1"/>
    <col min="3075" max="3075" width="18" style="3" customWidth="1"/>
    <col min="3076" max="3076" width="18.453125" style="3" customWidth="1"/>
    <col min="3077" max="3077" width="13.7265625" style="3" customWidth="1"/>
    <col min="3078" max="3078" width="14" style="3" customWidth="1"/>
    <col min="3079" max="3328" width="9.26953125" style="3"/>
    <col min="3329" max="3329" width="0" style="3" hidden="1" customWidth="1"/>
    <col min="3330" max="3330" width="24.7265625" style="3" customWidth="1"/>
    <col min="3331" max="3331" width="18" style="3" customWidth="1"/>
    <col min="3332" max="3332" width="18.453125" style="3" customWidth="1"/>
    <col min="3333" max="3333" width="13.7265625" style="3" customWidth="1"/>
    <col min="3334" max="3334" width="14" style="3" customWidth="1"/>
    <col min="3335" max="3584" width="9.26953125" style="3"/>
    <col min="3585" max="3585" width="0" style="3" hidden="1" customWidth="1"/>
    <col min="3586" max="3586" width="24.7265625" style="3" customWidth="1"/>
    <col min="3587" max="3587" width="18" style="3" customWidth="1"/>
    <col min="3588" max="3588" width="18.453125" style="3" customWidth="1"/>
    <col min="3589" max="3589" width="13.7265625" style="3" customWidth="1"/>
    <col min="3590" max="3590" width="14" style="3" customWidth="1"/>
    <col min="3591" max="3840" width="9.26953125" style="3"/>
    <col min="3841" max="3841" width="0" style="3" hidden="1" customWidth="1"/>
    <col min="3842" max="3842" width="24.7265625" style="3" customWidth="1"/>
    <col min="3843" max="3843" width="18" style="3" customWidth="1"/>
    <col min="3844" max="3844" width="18.453125" style="3" customWidth="1"/>
    <col min="3845" max="3845" width="13.7265625" style="3" customWidth="1"/>
    <col min="3846" max="3846" width="14" style="3" customWidth="1"/>
    <col min="3847" max="4096" width="9.26953125" style="3"/>
    <col min="4097" max="4097" width="0" style="3" hidden="1" customWidth="1"/>
    <col min="4098" max="4098" width="24.7265625" style="3" customWidth="1"/>
    <col min="4099" max="4099" width="18" style="3" customWidth="1"/>
    <col min="4100" max="4100" width="18.453125" style="3" customWidth="1"/>
    <col min="4101" max="4101" width="13.7265625" style="3" customWidth="1"/>
    <col min="4102" max="4102" width="14" style="3" customWidth="1"/>
    <col min="4103" max="4352" width="9.26953125" style="3"/>
    <col min="4353" max="4353" width="0" style="3" hidden="1" customWidth="1"/>
    <col min="4354" max="4354" width="24.7265625" style="3" customWidth="1"/>
    <col min="4355" max="4355" width="18" style="3" customWidth="1"/>
    <col min="4356" max="4356" width="18.453125" style="3" customWidth="1"/>
    <col min="4357" max="4357" width="13.7265625" style="3" customWidth="1"/>
    <col min="4358" max="4358" width="14" style="3" customWidth="1"/>
    <col min="4359" max="4608" width="9.26953125" style="3"/>
    <col min="4609" max="4609" width="0" style="3" hidden="1" customWidth="1"/>
    <col min="4610" max="4610" width="24.7265625" style="3" customWidth="1"/>
    <col min="4611" max="4611" width="18" style="3" customWidth="1"/>
    <col min="4612" max="4612" width="18.453125" style="3" customWidth="1"/>
    <col min="4613" max="4613" width="13.7265625" style="3" customWidth="1"/>
    <col min="4614" max="4614" width="14" style="3" customWidth="1"/>
    <col min="4615" max="4864" width="9.26953125" style="3"/>
    <col min="4865" max="4865" width="0" style="3" hidden="1" customWidth="1"/>
    <col min="4866" max="4866" width="24.7265625" style="3" customWidth="1"/>
    <col min="4867" max="4867" width="18" style="3" customWidth="1"/>
    <col min="4868" max="4868" width="18.453125" style="3" customWidth="1"/>
    <col min="4869" max="4869" width="13.7265625" style="3" customWidth="1"/>
    <col min="4870" max="4870" width="14" style="3" customWidth="1"/>
    <col min="4871" max="5120" width="9.26953125" style="3"/>
    <col min="5121" max="5121" width="0" style="3" hidden="1" customWidth="1"/>
    <col min="5122" max="5122" width="24.7265625" style="3" customWidth="1"/>
    <col min="5123" max="5123" width="18" style="3" customWidth="1"/>
    <col min="5124" max="5124" width="18.453125" style="3" customWidth="1"/>
    <col min="5125" max="5125" width="13.7265625" style="3" customWidth="1"/>
    <col min="5126" max="5126" width="14" style="3" customWidth="1"/>
    <col min="5127" max="5376" width="9.26953125" style="3"/>
    <col min="5377" max="5377" width="0" style="3" hidden="1" customWidth="1"/>
    <col min="5378" max="5378" width="24.7265625" style="3" customWidth="1"/>
    <col min="5379" max="5379" width="18" style="3" customWidth="1"/>
    <col min="5380" max="5380" width="18.453125" style="3" customWidth="1"/>
    <col min="5381" max="5381" width="13.7265625" style="3" customWidth="1"/>
    <col min="5382" max="5382" width="14" style="3" customWidth="1"/>
    <col min="5383" max="5632" width="9.26953125" style="3"/>
    <col min="5633" max="5633" width="0" style="3" hidden="1" customWidth="1"/>
    <col min="5634" max="5634" width="24.7265625" style="3" customWidth="1"/>
    <col min="5635" max="5635" width="18" style="3" customWidth="1"/>
    <col min="5636" max="5636" width="18.453125" style="3" customWidth="1"/>
    <col min="5637" max="5637" width="13.7265625" style="3" customWidth="1"/>
    <col min="5638" max="5638" width="14" style="3" customWidth="1"/>
    <col min="5639" max="5888" width="9.26953125" style="3"/>
    <col min="5889" max="5889" width="0" style="3" hidden="1" customWidth="1"/>
    <col min="5890" max="5890" width="24.7265625" style="3" customWidth="1"/>
    <col min="5891" max="5891" width="18" style="3" customWidth="1"/>
    <col min="5892" max="5892" width="18.453125" style="3" customWidth="1"/>
    <col min="5893" max="5893" width="13.7265625" style="3" customWidth="1"/>
    <col min="5894" max="5894" width="14" style="3" customWidth="1"/>
    <col min="5895" max="6144" width="9.26953125" style="3"/>
    <col min="6145" max="6145" width="0" style="3" hidden="1" customWidth="1"/>
    <col min="6146" max="6146" width="24.7265625" style="3" customWidth="1"/>
    <col min="6147" max="6147" width="18" style="3" customWidth="1"/>
    <col min="6148" max="6148" width="18.453125" style="3" customWidth="1"/>
    <col min="6149" max="6149" width="13.7265625" style="3" customWidth="1"/>
    <col min="6150" max="6150" width="14" style="3" customWidth="1"/>
    <col min="6151" max="6400" width="9.26953125" style="3"/>
    <col min="6401" max="6401" width="0" style="3" hidden="1" customWidth="1"/>
    <col min="6402" max="6402" width="24.7265625" style="3" customWidth="1"/>
    <col min="6403" max="6403" width="18" style="3" customWidth="1"/>
    <col min="6404" max="6404" width="18.453125" style="3" customWidth="1"/>
    <col min="6405" max="6405" width="13.7265625" style="3" customWidth="1"/>
    <col min="6406" max="6406" width="14" style="3" customWidth="1"/>
    <col min="6407" max="6656" width="9.26953125" style="3"/>
    <col min="6657" max="6657" width="0" style="3" hidden="1" customWidth="1"/>
    <col min="6658" max="6658" width="24.7265625" style="3" customWidth="1"/>
    <col min="6659" max="6659" width="18" style="3" customWidth="1"/>
    <col min="6660" max="6660" width="18.453125" style="3" customWidth="1"/>
    <col min="6661" max="6661" width="13.7265625" style="3" customWidth="1"/>
    <col min="6662" max="6662" width="14" style="3" customWidth="1"/>
    <col min="6663" max="6912" width="9.26953125" style="3"/>
    <col min="6913" max="6913" width="0" style="3" hidden="1" customWidth="1"/>
    <col min="6914" max="6914" width="24.7265625" style="3" customWidth="1"/>
    <col min="6915" max="6915" width="18" style="3" customWidth="1"/>
    <col min="6916" max="6916" width="18.453125" style="3" customWidth="1"/>
    <col min="6917" max="6917" width="13.7265625" style="3" customWidth="1"/>
    <col min="6918" max="6918" width="14" style="3" customWidth="1"/>
    <col min="6919" max="7168" width="9.26953125" style="3"/>
    <col min="7169" max="7169" width="0" style="3" hidden="1" customWidth="1"/>
    <col min="7170" max="7170" width="24.7265625" style="3" customWidth="1"/>
    <col min="7171" max="7171" width="18" style="3" customWidth="1"/>
    <col min="7172" max="7172" width="18.453125" style="3" customWidth="1"/>
    <col min="7173" max="7173" width="13.7265625" style="3" customWidth="1"/>
    <col min="7174" max="7174" width="14" style="3" customWidth="1"/>
    <col min="7175" max="7424" width="9.26953125" style="3"/>
    <col min="7425" max="7425" width="0" style="3" hidden="1" customWidth="1"/>
    <col min="7426" max="7426" width="24.7265625" style="3" customWidth="1"/>
    <col min="7427" max="7427" width="18" style="3" customWidth="1"/>
    <col min="7428" max="7428" width="18.453125" style="3" customWidth="1"/>
    <col min="7429" max="7429" width="13.7265625" style="3" customWidth="1"/>
    <col min="7430" max="7430" width="14" style="3" customWidth="1"/>
    <col min="7431" max="7680" width="9.26953125" style="3"/>
    <col min="7681" max="7681" width="0" style="3" hidden="1" customWidth="1"/>
    <col min="7682" max="7682" width="24.7265625" style="3" customWidth="1"/>
    <col min="7683" max="7683" width="18" style="3" customWidth="1"/>
    <col min="7684" max="7684" width="18.453125" style="3" customWidth="1"/>
    <col min="7685" max="7685" width="13.7265625" style="3" customWidth="1"/>
    <col min="7686" max="7686" width="14" style="3" customWidth="1"/>
    <col min="7687" max="7936" width="9.26953125" style="3"/>
    <col min="7937" max="7937" width="0" style="3" hidden="1" customWidth="1"/>
    <col min="7938" max="7938" width="24.7265625" style="3" customWidth="1"/>
    <col min="7939" max="7939" width="18" style="3" customWidth="1"/>
    <col min="7940" max="7940" width="18.453125" style="3" customWidth="1"/>
    <col min="7941" max="7941" width="13.7265625" style="3" customWidth="1"/>
    <col min="7942" max="7942" width="14" style="3" customWidth="1"/>
    <col min="7943" max="8192" width="9.26953125" style="3"/>
    <col min="8193" max="8193" width="0" style="3" hidden="1" customWidth="1"/>
    <col min="8194" max="8194" width="24.7265625" style="3" customWidth="1"/>
    <col min="8195" max="8195" width="18" style="3" customWidth="1"/>
    <col min="8196" max="8196" width="18.453125" style="3" customWidth="1"/>
    <col min="8197" max="8197" width="13.7265625" style="3" customWidth="1"/>
    <col min="8198" max="8198" width="14" style="3" customWidth="1"/>
    <col min="8199" max="8448" width="9.26953125" style="3"/>
    <col min="8449" max="8449" width="0" style="3" hidden="1" customWidth="1"/>
    <col min="8450" max="8450" width="24.7265625" style="3" customWidth="1"/>
    <col min="8451" max="8451" width="18" style="3" customWidth="1"/>
    <col min="8452" max="8452" width="18.453125" style="3" customWidth="1"/>
    <col min="8453" max="8453" width="13.7265625" style="3" customWidth="1"/>
    <col min="8454" max="8454" width="14" style="3" customWidth="1"/>
    <col min="8455" max="8704" width="9.26953125" style="3"/>
    <col min="8705" max="8705" width="0" style="3" hidden="1" customWidth="1"/>
    <col min="8706" max="8706" width="24.7265625" style="3" customWidth="1"/>
    <col min="8707" max="8707" width="18" style="3" customWidth="1"/>
    <col min="8708" max="8708" width="18.453125" style="3" customWidth="1"/>
    <col min="8709" max="8709" width="13.7265625" style="3" customWidth="1"/>
    <col min="8710" max="8710" width="14" style="3" customWidth="1"/>
    <col min="8711" max="8960" width="9.26953125" style="3"/>
    <col min="8961" max="8961" width="0" style="3" hidden="1" customWidth="1"/>
    <col min="8962" max="8962" width="24.7265625" style="3" customWidth="1"/>
    <col min="8963" max="8963" width="18" style="3" customWidth="1"/>
    <col min="8964" max="8964" width="18.453125" style="3" customWidth="1"/>
    <col min="8965" max="8965" width="13.7265625" style="3" customWidth="1"/>
    <col min="8966" max="8966" width="14" style="3" customWidth="1"/>
    <col min="8967" max="9216" width="9.26953125" style="3"/>
    <col min="9217" max="9217" width="0" style="3" hidden="1" customWidth="1"/>
    <col min="9218" max="9218" width="24.7265625" style="3" customWidth="1"/>
    <col min="9219" max="9219" width="18" style="3" customWidth="1"/>
    <col min="9220" max="9220" width="18.453125" style="3" customWidth="1"/>
    <col min="9221" max="9221" width="13.7265625" style="3" customWidth="1"/>
    <col min="9222" max="9222" width="14" style="3" customWidth="1"/>
    <col min="9223" max="9472" width="9.26953125" style="3"/>
    <col min="9473" max="9473" width="0" style="3" hidden="1" customWidth="1"/>
    <col min="9474" max="9474" width="24.7265625" style="3" customWidth="1"/>
    <col min="9475" max="9475" width="18" style="3" customWidth="1"/>
    <col min="9476" max="9476" width="18.453125" style="3" customWidth="1"/>
    <col min="9477" max="9477" width="13.7265625" style="3" customWidth="1"/>
    <col min="9478" max="9478" width="14" style="3" customWidth="1"/>
    <col min="9479" max="9728" width="9.26953125" style="3"/>
    <col min="9729" max="9729" width="0" style="3" hidden="1" customWidth="1"/>
    <col min="9730" max="9730" width="24.7265625" style="3" customWidth="1"/>
    <col min="9731" max="9731" width="18" style="3" customWidth="1"/>
    <col min="9732" max="9732" width="18.453125" style="3" customWidth="1"/>
    <col min="9733" max="9733" width="13.7265625" style="3" customWidth="1"/>
    <col min="9734" max="9734" width="14" style="3" customWidth="1"/>
    <col min="9735" max="9984" width="9.26953125" style="3"/>
    <col min="9985" max="9985" width="0" style="3" hidden="1" customWidth="1"/>
    <col min="9986" max="9986" width="24.7265625" style="3" customWidth="1"/>
    <col min="9987" max="9987" width="18" style="3" customWidth="1"/>
    <col min="9988" max="9988" width="18.453125" style="3" customWidth="1"/>
    <col min="9989" max="9989" width="13.7265625" style="3" customWidth="1"/>
    <col min="9990" max="9990" width="14" style="3" customWidth="1"/>
    <col min="9991" max="10240" width="9.26953125" style="3"/>
    <col min="10241" max="10241" width="0" style="3" hidden="1" customWidth="1"/>
    <col min="10242" max="10242" width="24.7265625" style="3" customWidth="1"/>
    <col min="10243" max="10243" width="18" style="3" customWidth="1"/>
    <col min="10244" max="10244" width="18.453125" style="3" customWidth="1"/>
    <col min="10245" max="10245" width="13.7265625" style="3" customWidth="1"/>
    <col min="10246" max="10246" width="14" style="3" customWidth="1"/>
    <col min="10247" max="10496" width="9.26953125" style="3"/>
    <col min="10497" max="10497" width="0" style="3" hidden="1" customWidth="1"/>
    <col min="10498" max="10498" width="24.7265625" style="3" customWidth="1"/>
    <col min="10499" max="10499" width="18" style="3" customWidth="1"/>
    <col min="10500" max="10500" width="18.453125" style="3" customWidth="1"/>
    <col min="10501" max="10501" width="13.7265625" style="3" customWidth="1"/>
    <col min="10502" max="10502" width="14" style="3" customWidth="1"/>
    <col min="10503" max="10752" width="9.26953125" style="3"/>
    <col min="10753" max="10753" width="0" style="3" hidden="1" customWidth="1"/>
    <col min="10754" max="10754" width="24.7265625" style="3" customWidth="1"/>
    <col min="10755" max="10755" width="18" style="3" customWidth="1"/>
    <col min="10756" max="10756" width="18.453125" style="3" customWidth="1"/>
    <col min="10757" max="10757" width="13.7265625" style="3" customWidth="1"/>
    <col min="10758" max="10758" width="14" style="3" customWidth="1"/>
    <col min="10759" max="11008" width="9.26953125" style="3"/>
    <col min="11009" max="11009" width="0" style="3" hidden="1" customWidth="1"/>
    <col min="11010" max="11010" width="24.7265625" style="3" customWidth="1"/>
    <col min="11011" max="11011" width="18" style="3" customWidth="1"/>
    <col min="11012" max="11012" width="18.453125" style="3" customWidth="1"/>
    <col min="11013" max="11013" width="13.7265625" style="3" customWidth="1"/>
    <col min="11014" max="11014" width="14" style="3" customWidth="1"/>
    <col min="11015" max="11264" width="9.26953125" style="3"/>
    <col min="11265" max="11265" width="0" style="3" hidden="1" customWidth="1"/>
    <col min="11266" max="11266" width="24.7265625" style="3" customWidth="1"/>
    <col min="11267" max="11267" width="18" style="3" customWidth="1"/>
    <col min="11268" max="11268" width="18.453125" style="3" customWidth="1"/>
    <col min="11269" max="11269" width="13.7265625" style="3" customWidth="1"/>
    <col min="11270" max="11270" width="14" style="3" customWidth="1"/>
    <col min="11271" max="11520" width="9.26953125" style="3"/>
    <col min="11521" max="11521" width="0" style="3" hidden="1" customWidth="1"/>
    <col min="11522" max="11522" width="24.7265625" style="3" customWidth="1"/>
    <col min="11523" max="11523" width="18" style="3" customWidth="1"/>
    <col min="11524" max="11524" width="18.453125" style="3" customWidth="1"/>
    <col min="11525" max="11525" width="13.7265625" style="3" customWidth="1"/>
    <col min="11526" max="11526" width="14" style="3" customWidth="1"/>
    <col min="11527" max="11776" width="9.26953125" style="3"/>
    <col min="11777" max="11777" width="0" style="3" hidden="1" customWidth="1"/>
    <col min="11778" max="11778" width="24.7265625" style="3" customWidth="1"/>
    <col min="11779" max="11779" width="18" style="3" customWidth="1"/>
    <col min="11780" max="11780" width="18.453125" style="3" customWidth="1"/>
    <col min="11781" max="11781" width="13.7265625" style="3" customWidth="1"/>
    <col min="11782" max="11782" width="14" style="3" customWidth="1"/>
    <col min="11783" max="12032" width="9.26953125" style="3"/>
    <col min="12033" max="12033" width="0" style="3" hidden="1" customWidth="1"/>
    <col min="12034" max="12034" width="24.7265625" style="3" customWidth="1"/>
    <col min="12035" max="12035" width="18" style="3" customWidth="1"/>
    <col min="12036" max="12036" width="18.453125" style="3" customWidth="1"/>
    <col min="12037" max="12037" width="13.7265625" style="3" customWidth="1"/>
    <col min="12038" max="12038" width="14" style="3" customWidth="1"/>
    <col min="12039" max="12288" width="9.26953125" style="3"/>
    <col min="12289" max="12289" width="0" style="3" hidden="1" customWidth="1"/>
    <col min="12290" max="12290" width="24.7265625" style="3" customWidth="1"/>
    <col min="12291" max="12291" width="18" style="3" customWidth="1"/>
    <col min="12292" max="12292" width="18.453125" style="3" customWidth="1"/>
    <col min="12293" max="12293" width="13.7265625" style="3" customWidth="1"/>
    <col min="12294" max="12294" width="14" style="3" customWidth="1"/>
    <col min="12295" max="12544" width="9.26953125" style="3"/>
    <col min="12545" max="12545" width="0" style="3" hidden="1" customWidth="1"/>
    <col min="12546" max="12546" width="24.7265625" style="3" customWidth="1"/>
    <col min="12547" max="12547" width="18" style="3" customWidth="1"/>
    <col min="12548" max="12548" width="18.453125" style="3" customWidth="1"/>
    <col min="12549" max="12549" width="13.7265625" style="3" customWidth="1"/>
    <col min="12550" max="12550" width="14" style="3" customWidth="1"/>
    <col min="12551" max="12800" width="9.26953125" style="3"/>
    <col min="12801" max="12801" width="0" style="3" hidden="1" customWidth="1"/>
    <col min="12802" max="12802" width="24.7265625" style="3" customWidth="1"/>
    <col min="12803" max="12803" width="18" style="3" customWidth="1"/>
    <col min="12804" max="12804" width="18.453125" style="3" customWidth="1"/>
    <col min="12805" max="12805" width="13.7265625" style="3" customWidth="1"/>
    <col min="12806" max="12806" width="14" style="3" customWidth="1"/>
    <col min="12807" max="13056" width="9.26953125" style="3"/>
    <col min="13057" max="13057" width="0" style="3" hidden="1" customWidth="1"/>
    <col min="13058" max="13058" width="24.7265625" style="3" customWidth="1"/>
    <col min="13059" max="13059" width="18" style="3" customWidth="1"/>
    <col min="13060" max="13060" width="18.453125" style="3" customWidth="1"/>
    <col min="13061" max="13061" width="13.7265625" style="3" customWidth="1"/>
    <col min="13062" max="13062" width="14" style="3" customWidth="1"/>
    <col min="13063" max="13312" width="9.26953125" style="3"/>
    <col min="13313" max="13313" width="0" style="3" hidden="1" customWidth="1"/>
    <col min="13314" max="13314" width="24.7265625" style="3" customWidth="1"/>
    <col min="13315" max="13315" width="18" style="3" customWidth="1"/>
    <col min="13316" max="13316" width="18.453125" style="3" customWidth="1"/>
    <col min="13317" max="13317" width="13.7265625" style="3" customWidth="1"/>
    <col min="13318" max="13318" width="14" style="3" customWidth="1"/>
    <col min="13319" max="13568" width="9.26953125" style="3"/>
    <col min="13569" max="13569" width="0" style="3" hidden="1" customWidth="1"/>
    <col min="13570" max="13570" width="24.7265625" style="3" customWidth="1"/>
    <col min="13571" max="13571" width="18" style="3" customWidth="1"/>
    <col min="13572" max="13572" width="18.453125" style="3" customWidth="1"/>
    <col min="13573" max="13573" width="13.7265625" style="3" customWidth="1"/>
    <col min="13574" max="13574" width="14" style="3" customWidth="1"/>
    <col min="13575" max="13824" width="9.26953125" style="3"/>
    <col min="13825" max="13825" width="0" style="3" hidden="1" customWidth="1"/>
    <col min="13826" max="13826" width="24.7265625" style="3" customWidth="1"/>
    <col min="13827" max="13827" width="18" style="3" customWidth="1"/>
    <col min="13828" max="13828" width="18.453125" style="3" customWidth="1"/>
    <col min="13829" max="13829" width="13.7265625" style="3" customWidth="1"/>
    <col min="13830" max="13830" width="14" style="3" customWidth="1"/>
    <col min="13831" max="14080" width="9.26953125" style="3"/>
    <col min="14081" max="14081" width="0" style="3" hidden="1" customWidth="1"/>
    <col min="14082" max="14082" width="24.7265625" style="3" customWidth="1"/>
    <col min="14083" max="14083" width="18" style="3" customWidth="1"/>
    <col min="14084" max="14084" width="18.453125" style="3" customWidth="1"/>
    <col min="14085" max="14085" width="13.7265625" style="3" customWidth="1"/>
    <col min="14086" max="14086" width="14" style="3" customWidth="1"/>
    <col min="14087" max="14336" width="9.26953125" style="3"/>
    <col min="14337" max="14337" width="0" style="3" hidden="1" customWidth="1"/>
    <col min="14338" max="14338" width="24.7265625" style="3" customWidth="1"/>
    <col min="14339" max="14339" width="18" style="3" customWidth="1"/>
    <col min="14340" max="14340" width="18.453125" style="3" customWidth="1"/>
    <col min="14341" max="14341" width="13.7265625" style="3" customWidth="1"/>
    <col min="14342" max="14342" width="14" style="3" customWidth="1"/>
    <col min="14343" max="14592" width="9.26953125" style="3"/>
    <col min="14593" max="14593" width="0" style="3" hidden="1" customWidth="1"/>
    <col min="14594" max="14594" width="24.7265625" style="3" customWidth="1"/>
    <col min="14595" max="14595" width="18" style="3" customWidth="1"/>
    <col min="14596" max="14596" width="18.453125" style="3" customWidth="1"/>
    <col min="14597" max="14597" width="13.7265625" style="3" customWidth="1"/>
    <col min="14598" max="14598" width="14" style="3" customWidth="1"/>
    <col min="14599" max="14848" width="9.26953125" style="3"/>
    <col min="14849" max="14849" width="0" style="3" hidden="1" customWidth="1"/>
    <col min="14850" max="14850" width="24.7265625" style="3" customWidth="1"/>
    <col min="14851" max="14851" width="18" style="3" customWidth="1"/>
    <col min="14852" max="14852" width="18.453125" style="3" customWidth="1"/>
    <col min="14853" max="14853" width="13.7265625" style="3" customWidth="1"/>
    <col min="14854" max="14854" width="14" style="3" customWidth="1"/>
    <col min="14855" max="15104" width="9.26953125" style="3"/>
    <col min="15105" max="15105" width="0" style="3" hidden="1" customWidth="1"/>
    <col min="15106" max="15106" width="24.7265625" style="3" customWidth="1"/>
    <col min="15107" max="15107" width="18" style="3" customWidth="1"/>
    <col min="15108" max="15108" width="18.453125" style="3" customWidth="1"/>
    <col min="15109" max="15109" width="13.7265625" style="3" customWidth="1"/>
    <col min="15110" max="15110" width="14" style="3" customWidth="1"/>
    <col min="15111" max="15360" width="9.26953125" style="3"/>
    <col min="15361" max="15361" width="0" style="3" hidden="1" customWidth="1"/>
    <col min="15362" max="15362" width="24.7265625" style="3" customWidth="1"/>
    <col min="15363" max="15363" width="18" style="3" customWidth="1"/>
    <col min="15364" max="15364" width="18.453125" style="3" customWidth="1"/>
    <col min="15365" max="15365" width="13.7265625" style="3" customWidth="1"/>
    <col min="15366" max="15366" width="14" style="3" customWidth="1"/>
    <col min="15367" max="15616" width="9.26953125" style="3"/>
    <col min="15617" max="15617" width="0" style="3" hidden="1" customWidth="1"/>
    <col min="15618" max="15618" width="24.7265625" style="3" customWidth="1"/>
    <col min="15619" max="15619" width="18" style="3" customWidth="1"/>
    <col min="15620" max="15620" width="18.453125" style="3" customWidth="1"/>
    <col min="15621" max="15621" width="13.7265625" style="3" customWidth="1"/>
    <col min="15622" max="15622" width="14" style="3" customWidth="1"/>
    <col min="15623" max="15872" width="9.26953125" style="3"/>
    <col min="15873" max="15873" width="0" style="3" hidden="1" customWidth="1"/>
    <col min="15874" max="15874" width="24.7265625" style="3" customWidth="1"/>
    <col min="15875" max="15875" width="18" style="3" customWidth="1"/>
    <col min="15876" max="15876" width="18.453125" style="3" customWidth="1"/>
    <col min="15877" max="15877" width="13.7265625" style="3" customWidth="1"/>
    <col min="15878" max="15878" width="14" style="3" customWidth="1"/>
    <col min="15879" max="16128" width="9.26953125" style="3"/>
    <col min="16129" max="16129" width="0" style="3" hidden="1" customWidth="1"/>
    <col min="16130" max="16130" width="24.7265625" style="3" customWidth="1"/>
    <col min="16131" max="16131" width="18" style="3" customWidth="1"/>
    <col min="16132" max="16132" width="18.453125" style="3" customWidth="1"/>
    <col min="16133" max="16133" width="13.7265625" style="3" customWidth="1"/>
    <col min="16134" max="16134" width="14" style="3" customWidth="1"/>
    <col min="16135" max="16384" width="9.26953125" style="3"/>
  </cols>
  <sheetData>
    <row r="1" spans="1:9" ht="48.75" customHeight="1" x14ac:dyDescent="0.3">
      <c r="B1" s="316" t="s">
        <v>64</v>
      </c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f>C5+C44</f>
        <v>573</v>
      </c>
      <c r="D4" s="49">
        <f>D5+D44</f>
        <v>81</v>
      </c>
      <c r="E4" s="49">
        <f>E5+E44</f>
        <v>10</v>
      </c>
      <c r="F4" s="49">
        <f>F5+F44</f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f>SUM(C6:C43)</f>
        <v>416</v>
      </c>
      <c r="D5" s="42">
        <f>SUM(D6:D43)</f>
        <v>57</v>
      </c>
      <c r="E5" s="42">
        <f>SUM(E6:E43)</f>
        <v>6</v>
      </c>
      <c r="F5" s="42">
        <f>SUM(F6:F43)</f>
        <v>0</v>
      </c>
    </row>
    <row r="6" spans="1:9" x14ac:dyDescent="0.3">
      <c r="A6" s="12">
        <v>51</v>
      </c>
      <c r="B6" s="3" t="s">
        <v>8</v>
      </c>
      <c r="C6" s="37">
        <v>10</v>
      </c>
      <c r="D6" s="37">
        <v>3</v>
      </c>
      <c r="E6" s="37">
        <v>0</v>
      </c>
      <c r="F6" s="37">
        <v>0</v>
      </c>
    </row>
    <row r="7" spans="1:9" x14ac:dyDescent="0.3">
      <c r="A7" s="12">
        <v>52</v>
      </c>
      <c r="B7" s="3" t="s">
        <v>9</v>
      </c>
      <c r="C7" s="37">
        <v>26</v>
      </c>
      <c r="D7" s="37">
        <v>2</v>
      </c>
      <c r="E7" s="37">
        <v>1</v>
      </c>
      <c r="F7" s="37">
        <v>0</v>
      </c>
    </row>
    <row r="8" spans="1:9" x14ac:dyDescent="0.3">
      <c r="A8" s="12">
        <v>86</v>
      </c>
      <c r="B8" s="3" t="s">
        <v>10</v>
      </c>
      <c r="C8" s="37">
        <v>23</v>
      </c>
      <c r="D8" s="37">
        <v>4</v>
      </c>
      <c r="E8" s="37">
        <v>0</v>
      </c>
      <c r="F8" s="37">
        <v>0</v>
      </c>
    </row>
    <row r="9" spans="1:9" x14ac:dyDescent="0.3">
      <c r="A9" s="12">
        <v>53</v>
      </c>
      <c r="B9" s="3" t="s">
        <v>11</v>
      </c>
      <c r="C9" s="37">
        <v>7</v>
      </c>
      <c r="D9" s="37">
        <v>0</v>
      </c>
      <c r="E9" s="37">
        <v>0</v>
      </c>
      <c r="F9" s="37">
        <v>0</v>
      </c>
    </row>
    <row r="10" spans="1:9" x14ac:dyDescent="0.3">
      <c r="A10" s="12">
        <v>54</v>
      </c>
      <c r="B10" s="3" t="s">
        <v>12</v>
      </c>
      <c r="C10" s="37">
        <v>29</v>
      </c>
      <c r="D10" s="37">
        <v>0</v>
      </c>
      <c r="E10" s="37">
        <v>0</v>
      </c>
      <c r="F10" s="37">
        <v>0</v>
      </c>
    </row>
    <row r="11" spans="1:9" x14ac:dyDescent="0.3">
      <c r="A11" s="12">
        <v>55</v>
      </c>
      <c r="B11" s="3" t="s">
        <v>13</v>
      </c>
      <c r="C11" s="37">
        <v>7</v>
      </c>
      <c r="D11" s="37">
        <v>0</v>
      </c>
      <c r="E11" s="37">
        <v>0</v>
      </c>
      <c r="F11" s="37">
        <v>0</v>
      </c>
    </row>
    <row r="12" spans="1:9" x14ac:dyDescent="0.3">
      <c r="A12" s="12">
        <v>56</v>
      </c>
      <c r="B12" s="3" t="s">
        <v>14</v>
      </c>
      <c r="C12" s="37">
        <v>0</v>
      </c>
      <c r="D12" s="37">
        <v>0</v>
      </c>
      <c r="E12" s="37">
        <v>0</v>
      </c>
      <c r="F12" s="37">
        <v>0</v>
      </c>
    </row>
    <row r="13" spans="1:9" x14ac:dyDescent="0.3">
      <c r="A13" s="12">
        <v>57</v>
      </c>
      <c r="B13" s="3" t="s">
        <v>15</v>
      </c>
      <c r="C13" s="37">
        <v>14</v>
      </c>
      <c r="D13" s="37">
        <v>1</v>
      </c>
      <c r="E13" s="37">
        <v>0</v>
      </c>
      <c r="F13" s="37">
        <v>0</v>
      </c>
    </row>
    <row r="14" spans="1:9" x14ac:dyDescent="0.3">
      <c r="A14" s="12">
        <v>59</v>
      </c>
      <c r="B14" s="3" t="s">
        <v>16</v>
      </c>
      <c r="C14" s="37">
        <v>8</v>
      </c>
      <c r="D14" s="37">
        <v>0</v>
      </c>
      <c r="E14" s="37">
        <v>2</v>
      </c>
      <c r="F14" s="37">
        <v>0</v>
      </c>
    </row>
    <row r="15" spans="1:9" x14ac:dyDescent="0.3">
      <c r="A15" s="12">
        <v>60</v>
      </c>
      <c r="B15" s="3" t="s">
        <v>17</v>
      </c>
      <c r="C15" s="37">
        <v>3</v>
      </c>
      <c r="D15" s="37">
        <v>0</v>
      </c>
      <c r="E15" s="37">
        <v>0</v>
      </c>
      <c r="F15" s="37">
        <v>0</v>
      </c>
    </row>
    <row r="16" spans="1:9" x14ac:dyDescent="0.3">
      <c r="A16" s="12">
        <v>61</v>
      </c>
      <c r="B16" s="38" t="s">
        <v>18</v>
      </c>
      <c r="C16" s="37">
        <v>7</v>
      </c>
      <c r="D16" s="37">
        <v>4</v>
      </c>
      <c r="E16" s="37">
        <v>0</v>
      </c>
      <c r="F16" s="37">
        <v>0</v>
      </c>
    </row>
    <row r="17" spans="1:6" s="183" customFormat="1" x14ac:dyDescent="0.3">
      <c r="A17" s="12"/>
      <c r="B17" s="130" t="s">
        <v>122</v>
      </c>
      <c r="C17" s="37">
        <v>15</v>
      </c>
      <c r="D17" s="37">
        <v>0</v>
      </c>
      <c r="E17" s="37">
        <v>0</v>
      </c>
      <c r="F17" s="37">
        <v>0</v>
      </c>
    </row>
    <row r="18" spans="1:6" x14ac:dyDescent="0.3">
      <c r="A18" s="12">
        <v>58</v>
      </c>
      <c r="B18" s="3" t="s">
        <v>20</v>
      </c>
      <c r="C18" s="37">
        <v>5</v>
      </c>
      <c r="D18" s="37">
        <v>0</v>
      </c>
      <c r="E18" s="37">
        <v>0</v>
      </c>
      <c r="F18" s="37">
        <v>0</v>
      </c>
    </row>
    <row r="19" spans="1:6" x14ac:dyDescent="0.3">
      <c r="A19" s="12">
        <v>63</v>
      </c>
      <c r="B19" s="3" t="s">
        <v>21</v>
      </c>
      <c r="C19" s="37">
        <v>15</v>
      </c>
      <c r="D19" s="37">
        <v>2</v>
      </c>
      <c r="E19" s="37">
        <v>0</v>
      </c>
      <c r="F19" s="37">
        <v>0</v>
      </c>
    </row>
    <row r="20" spans="1:6" x14ac:dyDescent="0.3">
      <c r="A20" s="12">
        <v>64</v>
      </c>
      <c r="B20" s="3" t="s">
        <v>22</v>
      </c>
      <c r="C20" s="37">
        <v>20</v>
      </c>
      <c r="D20" s="37">
        <v>6</v>
      </c>
      <c r="E20" s="37">
        <v>1</v>
      </c>
      <c r="F20" s="37">
        <v>0</v>
      </c>
    </row>
    <row r="21" spans="1:6" x14ac:dyDescent="0.3">
      <c r="A21" s="12">
        <v>65</v>
      </c>
      <c r="B21" s="3" t="s">
        <v>23</v>
      </c>
      <c r="C21" s="37">
        <v>9</v>
      </c>
      <c r="D21" s="37">
        <v>1</v>
      </c>
      <c r="E21" s="37">
        <v>0</v>
      </c>
      <c r="F21" s="37">
        <v>0</v>
      </c>
    </row>
    <row r="22" spans="1:6" x14ac:dyDescent="0.3">
      <c r="A22" s="12">
        <v>67</v>
      </c>
      <c r="B22" s="3" t="s">
        <v>24</v>
      </c>
      <c r="C22" s="37">
        <v>18</v>
      </c>
      <c r="D22" s="37">
        <v>6</v>
      </c>
      <c r="E22" s="37">
        <v>0</v>
      </c>
      <c r="F22" s="37">
        <v>0</v>
      </c>
    </row>
    <row r="23" spans="1:6" x14ac:dyDescent="0.3">
      <c r="A23" s="12">
        <v>68</v>
      </c>
      <c r="B23" s="3" t="s">
        <v>25</v>
      </c>
      <c r="C23" s="37">
        <v>6</v>
      </c>
      <c r="D23" s="37">
        <v>0</v>
      </c>
      <c r="E23" s="37">
        <v>0</v>
      </c>
      <c r="F23" s="37">
        <v>0</v>
      </c>
    </row>
    <row r="24" spans="1:6" x14ac:dyDescent="0.3">
      <c r="A24" s="12">
        <v>69</v>
      </c>
      <c r="B24" s="3" t="s">
        <v>26</v>
      </c>
      <c r="C24" s="37">
        <v>15</v>
      </c>
      <c r="D24" s="37">
        <v>3</v>
      </c>
      <c r="E24" s="37">
        <v>0</v>
      </c>
      <c r="F24" s="37">
        <v>0</v>
      </c>
    </row>
    <row r="25" spans="1:6" x14ac:dyDescent="0.3">
      <c r="A25" s="12">
        <v>70</v>
      </c>
      <c r="B25" s="3" t="s">
        <v>27</v>
      </c>
      <c r="C25" s="37">
        <v>17</v>
      </c>
      <c r="D25" s="37">
        <v>0</v>
      </c>
      <c r="E25" s="37">
        <v>0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1</v>
      </c>
      <c r="D26" s="37">
        <v>0</v>
      </c>
      <c r="E26" s="37">
        <v>0</v>
      </c>
      <c r="F26" s="37">
        <v>0</v>
      </c>
    </row>
    <row r="27" spans="1:6" x14ac:dyDescent="0.3">
      <c r="A27" s="12">
        <v>73</v>
      </c>
      <c r="B27" s="3" t="s">
        <v>29</v>
      </c>
      <c r="C27" s="37">
        <v>9</v>
      </c>
      <c r="D27" s="37">
        <v>1</v>
      </c>
      <c r="E27" s="37">
        <v>0</v>
      </c>
      <c r="F27" s="37">
        <v>0</v>
      </c>
    </row>
    <row r="28" spans="1:6" x14ac:dyDescent="0.3">
      <c r="A28" s="12">
        <v>74</v>
      </c>
      <c r="B28" s="3" t="s">
        <v>30</v>
      </c>
      <c r="C28" s="37">
        <v>15</v>
      </c>
      <c r="D28" s="37">
        <v>8</v>
      </c>
      <c r="E28" s="37">
        <v>0</v>
      </c>
      <c r="F28" s="37">
        <v>0</v>
      </c>
    </row>
    <row r="29" spans="1:6" x14ac:dyDescent="0.3">
      <c r="A29" s="12">
        <v>75</v>
      </c>
      <c r="B29" s="3" t="s">
        <v>31</v>
      </c>
      <c r="C29" s="37">
        <v>7</v>
      </c>
      <c r="D29" s="37">
        <v>0</v>
      </c>
      <c r="E29" s="37">
        <v>1</v>
      </c>
      <c r="F29" s="37">
        <v>0</v>
      </c>
    </row>
    <row r="30" spans="1:6" x14ac:dyDescent="0.3">
      <c r="A30" s="12">
        <v>76</v>
      </c>
      <c r="B30" s="3" t="s">
        <v>32</v>
      </c>
      <c r="C30" s="37">
        <v>3</v>
      </c>
      <c r="D30" s="37">
        <v>0</v>
      </c>
      <c r="E30" s="37">
        <v>0</v>
      </c>
      <c r="F30" s="37">
        <v>0</v>
      </c>
    </row>
    <row r="31" spans="1:6" x14ac:dyDescent="0.3">
      <c r="A31" s="12">
        <v>79</v>
      </c>
      <c r="B31" s="3" t="s">
        <v>33</v>
      </c>
      <c r="C31" s="37">
        <v>12</v>
      </c>
      <c r="D31" s="37">
        <v>3</v>
      </c>
      <c r="E31" s="37">
        <v>0</v>
      </c>
      <c r="F31" s="37">
        <v>0</v>
      </c>
    </row>
    <row r="32" spans="1:6" x14ac:dyDescent="0.3">
      <c r="A32" s="12">
        <v>80</v>
      </c>
      <c r="B32" s="3" t="s">
        <v>34</v>
      </c>
      <c r="C32" s="37">
        <v>16</v>
      </c>
      <c r="D32" s="37">
        <v>3</v>
      </c>
      <c r="E32" s="37">
        <v>0</v>
      </c>
      <c r="F32" s="37">
        <v>0</v>
      </c>
    </row>
    <row r="33" spans="1:10" x14ac:dyDescent="0.3">
      <c r="A33" s="12">
        <v>81</v>
      </c>
      <c r="B33" s="3" t="s">
        <v>35</v>
      </c>
      <c r="C33" s="37">
        <v>22</v>
      </c>
      <c r="D33" s="37">
        <v>2</v>
      </c>
      <c r="E33" s="37">
        <v>0</v>
      </c>
      <c r="F33" s="37">
        <v>0</v>
      </c>
    </row>
    <row r="34" spans="1:10" x14ac:dyDescent="0.3">
      <c r="A34" s="12">
        <v>83</v>
      </c>
      <c r="B34" s="3" t="s">
        <v>36</v>
      </c>
      <c r="C34" s="37">
        <v>6</v>
      </c>
      <c r="D34" s="37">
        <v>0</v>
      </c>
      <c r="E34" s="37">
        <v>0</v>
      </c>
      <c r="F34" s="37">
        <v>0</v>
      </c>
    </row>
    <row r="35" spans="1:10" x14ac:dyDescent="0.3">
      <c r="A35" s="12">
        <v>84</v>
      </c>
      <c r="B35" s="3" t="s">
        <v>37</v>
      </c>
      <c r="C35" s="37">
        <v>5</v>
      </c>
      <c r="D35" s="37">
        <v>2</v>
      </c>
      <c r="E35" s="37">
        <v>0</v>
      </c>
      <c r="F35" s="37">
        <v>0</v>
      </c>
    </row>
    <row r="36" spans="1:10" ht="14" x14ac:dyDescent="0.3">
      <c r="A36" s="12">
        <v>85</v>
      </c>
      <c r="B36" s="3" t="s">
        <v>38</v>
      </c>
      <c r="C36" s="37">
        <v>6</v>
      </c>
      <c r="D36" s="37">
        <v>0</v>
      </c>
      <c r="E36" s="37">
        <v>1</v>
      </c>
      <c r="F36" s="37">
        <v>0</v>
      </c>
      <c r="G36" s="11"/>
    </row>
    <row r="37" spans="1:10" ht="14" x14ac:dyDescent="0.3">
      <c r="A37" s="12">
        <v>87</v>
      </c>
      <c r="B37" s="3" t="s">
        <v>39</v>
      </c>
      <c r="C37" s="37">
        <v>2</v>
      </c>
      <c r="D37" s="37">
        <v>1</v>
      </c>
      <c r="E37" s="37">
        <v>0</v>
      </c>
      <c r="F37" s="37">
        <v>0</v>
      </c>
      <c r="H37" s="11"/>
      <c r="I37" s="11"/>
    </row>
    <row r="38" spans="1:10" x14ac:dyDescent="0.3">
      <c r="A38" s="12">
        <v>90</v>
      </c>
      <c r="B38" s="3" t="s">
        <v>40</v>
      </c>
      <c r="C38" s="37">
        <v>16</v>
      </c>
      <c r="D38" s="37">
        <v>1</v>
      </c>
      <c r="E38" s="37">
        <v>0</v>
      </c>
      <c r="F38" s="37">
        <v>0</v>
      </c>
    </row>
    <row r="39" spans="1:10" x14ac:dyDescent="0.3">
      <c r="A39" s="12">
        <v>91</v>
      </c>
      <c r="B39" s="3" t="s">
        <v>41</v>
      </c>
      <c r="C39" s="37">
        <v>11</v>
      </c>
      <c r="D39" s="37">
        <v>0</v>
      </c>
      <c r="E39" s="37">
        <v>0</v>
      </c>
      <c r="F39" s="37">
        <v>0</v>
      </c>
    </row>
    <row r="40" spans="1:10" x14ac:dyDescent="0.3">
      <c r="A40" s="12">
        <v>92</v>
      </c>
      <c r="B40" s="3" t="s">
        <v>42</v>
      </c>
      <c r="C40" s="37">
        <v>9</v>
      </c>
      <c r="D40" s="37">
        <v>2</v>
      </c>
      <c r="E40" s="37">
        <v>0</v>
      </c>
      <c r="F40" s="37">
        <v>0</v>
      </c>
    </row>
    <row r="41" spans="1:10" x14ac:dyDescent="0.3">
      <c r="A41" s="12">
        <v>94</v>
      </c>
      <c r="B41" s="3" t="s">
        <v>43</v>
      </c>
      <c r="C41" s="37">
        <v>16</v>
      </c>
      <c r="D41" s="37">
        <v>1</v>
      </c>
      <c r="E41" s="37">
        <v>0</v>
      </c>
      <c r="F41" s="37">
        <v>0</v>
      </c>
    </row>
    <row r="42" spans="1:10" ht="14" x14ac:dyDescent="0.3">
      <c r="A42" s="12">
        <v>96</v>
      </c>
      <c r="B42" s="3" t="s">
        <v>44</v>
      </c>
      <c r="C42" s="37">
        <v>6</v>
      </c>
      <c r="D42" s="37">
        <v>1</v>
      </c>
      <c r="E42" s="37">
        <v>0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f>SUM(C45:C51)</f>
        <v>157</v>
      </c>
      <c r="D44" s="42">
        <f t="shared" ref="D44:F44" si="0">SUM(D45:D51)</f>
        <v>24</v>
      </c>
      <c r="E44" s="42">
        <f t="shared" si="0"/>
        <v>4</v>
      </c>
      <c r="F44" s="42">
        <f t="shared" si="0"/>
        <v>0</v>
      </c>
    </row>
    <row r="45" spans="1:10" x14ac:dyDescent="0.3">
      <c r="A45" s="12">
        <v>66</v>
      </c>
      <c r="B45" s="3" t="s">
        <v>48</v>
      </c>
      <c r="C45" s="37">
        <v>27</v>
      </c>
      <c r="D45" s="37">
        <v>1</v>
      </c>
      <c r="E45" s="37">
        <v>0</v>
      </c>
      <c r="F45" s="37">
        <v>0</v>
      </c>
    </row>
    <row r="46" spans="1:10" x14ac:dyDescent="0.3">
      <c r="A46" s="12">
        <v>78</v>
      </c>
      <c r="B46" s="3" t="s">
        <v>49</v>
      </c>
      <c r="C46" s="37">
        <v>26</v>
      </c>
      <c r="D46" s="37">
        <v>5</v>
      </c>
      <c r="E46" s="37">
        <v>0</v>
      </c>
      <c r="F46" s="37">
        <v>0</v>
      </c>
    </row>
    <row r="47" spans="1:10" x14ac:dyDescent="0.3">
      <c r="A47" s="12">
        <v>89</v>
      </c>
      <c r="B47" s="3" t="s">
        <v>50</v>
      </c>
      <c r="C47" s="37">
        <v>30</v>
      </c>
      <c r="D47" s="37">
        <v>2</v>
      </c>
      <c r="E47" s="37">
        <v>2</v>
      </c>
      <c r="F47" s="37">
        <v>0</v>
      </c>
    </row>
    <row r="48" spans="1:10" x14ac:dyDescent="0.3">
      <c r="A48" s="12">
        <v>93</v>
      </c>
      <c r="B48" s="3" t="s">
        <v>51</v>
      </c>
      <c r="C48" s="37">
        <v>9</v>
      </c>
      <c r="D48" s="37">
        <v>3</v>
      </c>
      <c r="E48" s="37">
        <v>0</v>
      </c>
      <c r="F48" s="37">
        <v>0</v>
      </c>
    </row>
    <row r="49" spans="1:6" x14ac:dyDescent="0.3">
      <c r="A49" s="12">
        <v>95</v>
      </c>
      <c r="B49" s="3" t="s">
        <v>52</v>
      </c>
      <c r="C49" s="37">
        <v>35</v>
      </c>
      <c r="D49" s="37">
        <v>6</v>
      </c>
      <c r="E49" s="37">
        <v>2</v>
      </c>
      <c r="F49" s="37">
        <v>0</v>
      </c>
    </row>
    <row r="50" spans="1:6" x14ac:dyDescent="0.3">
      <c r="A50" s="12">
        <v>97</v>
      </c>
      <c r="B50" s="3" t="s">
        <v>53</v>
      </c>
      <c r="C50" s="37">
        <v>21</v>
      </c>
      <c r="D50" s="37">
        <v>5</v>
      </c>
      <c r="E50" s="37">
        <v>0</v>
      </c>
      <c r="F50" s="37">
        <v>0</v>
      </c>
    </row>
    <row r="51" spans="1:6" x14ac:dyDescent="0.3">
      <c r="A51" s="12">
        <v>77</v>
      </c>
      <c r="B51" s="43" t="s">
        <v>54</v>
      </c>
      <c r="C51" s="37">
        <v>9</v>
      </c>
      <c r="D51" s="37">
        <v>2</v>
      </c>
      <c r="E51" s="37">
        <v>0</v>
      </c>
      <c r="F51" s="37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53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FF0000"/>
  </sheetPr>
  <dimension ref="A1:K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183" customWidth="1"/>
    <col min="3" max="4" width="20" style="183" customWidth="1"/>
    <col min="5" max="5" width="15.26953125" style="183" customWidth="1"/>
    <col min="6" max="6" width="17.7265625" style="183" customWidth="1"/>
    <col min="7" max="256" width="9.26953125" style="183"/>
    <col min="257" max="257" width="0" style="183" hidden="1" customWidth="1"/>
    <col min="258" max="258" width="28.7265625" style="183" customWidth="1"/>
    <col min="259" max="260" width="20" style="183" customWidth="1"/>
    <col min="261" max="261" width="15.26953125" style="183" customWidth="1"/>
    <col min="262" max="262" width="17.7265625" style="183" customWidth="1"/>
    <col min="263" max="512" width="9.26953125" style="183"/>
    <col min="513" max="513" width="0" style="183" hidden="1" customWidth="1"/>
    <col min="514" max="514" width="28.7265625" style="183" customWidth="1"/>
    <col min="515" max="516" width="20" style="183" customWidth="1"/>
    <col min="517" max="517" width="15.26953125" style="183" customWidth="1"/>
    <col min="518" max="518" width="17.7265625" style="183" customWidth="1"/>
    <col min="519" max="768" width="9.26953125" style="183"/>
    <col min="769" max="769" width="0" style="183" hidden="1" customWidth="1"/>
    <col min="770" max="770" width="28.7265625" style="183" customWidth="1"/>
    <col min="771" max="772" width="20" style="183" customWidth="1"/>
    <col min="773" max="773" width="15.26953125" style="183" customWidth="1"/>
    <col min="774" max="774" width="17.7265625" style="183" customWidth="1"/>
    <col min="775" max="1024" width="9.26953125" style="183"/>
    <col min="1025" max="1025" width="0" style="183" hidden="1" customWidth="1"/>
    <col min="1026" max="1026" width="28.7265625" style="183" customWidth="1"/>
    <col min="1027" max="1028" width="20" style="183" customWidth="1"/>
    <col min="1029" max="1029" width="15.26953125" style="183" customWidth="1"/>
    <col min="1030" max="1030" width="17.7265625" style="183" customWidth="1"/>
    <col min="1031" max="1280" width="9.26953125" style="183"/>
    <col min="1281" max="1281" width="0" style="183" hidden="1" customWidth="1"/>
    <col min="1282" max="1282" width="28.7265625" style="183" customWidth="1"/>
    <col min="1283" max="1284" width="20" style="183" customWidth="1"/>
    <col min="1285" max="1285" width="15.26953125" style="183" customWidth="1"/>
    <col min="1286" max="1286" width="17.7265625" style="183" customWidth="1"/>
    <col min="1287" max="1536" width="9.26953125" style="183"/>
    <col min="1537" max="1537" width="0" style="183" hidden="1" customWidth="1"/>
    <col min="1538" max="1538" width="28.7265625" style="183" customWidth="1"/>
    <col min="1539" max="1540" width="20" style="183" customWidth="1"/>
    <col min="1541" max="1541" width="15.26953125" style="183" customWidth="1"/>
    <col min="1542" max="1542" width="17.7265625" style="183" customWidth="1"/>
    <col min="1543" max="1792" width="9.26953125" style="183"/>
    <col min="1793" max="1793" width="0" style="183" hidden="1" customWidth="1"/>
    <col min="1794" max="1794" width="28.7265625" style="183" customWidth="1"/>
    <col min="1795" max="1796" width="20" style="183" customWidth="1"/>
    <col min="1797" max="1797" width="15.26953125" style="183" customWidth="1"/>
    <col min="1798" max="1798" width="17.7265625" style="183" customWidth="1"/>
    <col min="1799" max="2048" width="9.26953125" style="183"/>
    <col min="2049" max="2049" width="0" style="183" hidden="1" customWidth="1"/>
    <col min="2050" max="2050" width="28.7265625" style="183" customWidth="1"/>
    <col min="2051" max="2052" width="20" style="183" customWidth="1"/>
    <col min="2053" max="2053" width="15.26953125" style="183" customWidth="1"/>
    <col min="2054" max="2054" width="17.7265625" style="183" customWidth="1"/>
    <col min="2055" max="2304" width="9.26953125" style="183"/>
    <col min="2305" max="2305" width="0" style="183" hidden="1" customWidth="1"/>
    <col min="2306" max="2306" width="28.7265625" style="183" customWidth="1"/>
    <col min="2307" max="2308" width="20" style="183" customWidth="1"/>
    <col min="2309" max="2309" width="15.26953125" style="183" customWidth="1"/>
    <col min="2310" max="2310" width="17.7265625" style="183" customWidth="1"/>
    <col min="2311" max="2560" width="9.26953125" style="183"/>
    <col min="2561" max="2561" width="0" style="183" hidden="1" customWidth="1"/>
    <col min="2562" max="2562" width="28.7265625" style="183" customWidth="1"/>
    <col min="2563" max="2564" width="20" style="183" customWidth="1"/>
    <col min="2565" max="2565" width="15.26953125" style="183" customWidth="1"/>
    <col min="2566" max="2566" width="17.7265625" style="183" customWidth="1"/>
    <col min="2567" max="2816" width="9.26953125" style="183"/>
    <col min="2817" max="2817" width="0" style="183" hidden="1" customWidth="1"/>
    <col min="2818" max="2818" width="28.7265625" style="183" customWidth="1"/>
    <col min="2819" max="2820" width="20" style="183" customWidth="1"/>
    <col min="2821" max="2821" width="15.26953125" style="183" customWidth="1"/>
    <col min="2822" max="2822" width="17.7265625" style="183" customWidth="1"/>
    <col min="2823" max="3072" width="9.26953125" style="183"/>
    <col min="3073" max="3073" width="0" style="183" hidden="1" customWidth="1"/>
    <col min="3074" max="3074" width="28.7265625" style="183" customWidth="1"/>
    <col min="3075" max="3076" width="20" style="183" customWidth="1"/>
    <col min="3077" max="3077" width="15.26953125" style="183" customWidth="1"/>
    <col min="3078" max="3078" width="17.7265625" style="183" customWidth="1"/>
    <col min="3079" max="3328" width="9.26953125" style="183"/>
    <col min="3329" max="3329" width="0" style="183" hidden="1" customWidth="1"/>
    <col min="3330" max="3330" width="28.7265625" style="183" customWidth="1"/>
    <col min="3331" max="3332" width="20" style="183" customWidth="1"/>
    <col min="3333" max="3333" width="15.26953125" style="183" customWidth="1"/>
    <col min="3334" max="3334" width="17.7265625" style="183" customWidth="1"/>
    <col min="3335" max="3584" width="9.26953125" style="183"/>
    <col min="3585" max="3585" width="0" style="183" hidden="1" customWidth="1"/>
    <col min="3586" max="3586" width="28.7265625" style="183" customWidth="1"/>
    <col min="3587" max="3588" width="20" style="183" customWidth="1"/>
    <col min="3589" max="3589" width="15.26953125" style="183" customWidth="1"/>
    <col min="3590" max="3590" width="17.7265625" style="183" customWidth="1"/>
    <col min="3591" max="3840" width="9.26953125" style="183"/>
    <col min="3841" max="3841" width="0" style="183" hidden="1" customWidth="1"/>
    <col min="3842" max="3842" width="28.7265625" style="183" customWidth="1"/>
    <col min="3843" max="3844" width="20" style="183" customWidth="1"/>
    <col min="3845" max="3845" width="15.26953125" style="183" customWidth="1"/>
    <col min="3846" max="3846" width="17.7265625" style="183" customWidth="1"/>
    <col min="3847" max="4096" width="9.26953125" style="183"/>
    <col min="4097" max="4097" width="0" style="183" hidden="1" customWidth="1"/>
    <col min="4098" max="4098" width="28.7265625" style="183" customWidth="1"/>
    <col min="4099" max="4100" width="20" style="183" customWidth="1"/>
    <col min="4101" max="4101" width="15.26953125" style="183" customWidth="1"/>
    <col min="4102" max="4102" width="17.7265625" style="183" customWidth="1"/>
    <col min="4103" max="4352" width="9.26953125" style="183"/>
    <col min="4353" max="4353" width="0" style="183" hidden="1" customWidth="1"/>
    <col min="4354" max="4354" width="28.7265625" style="183" customWidth="1"/>
    <col min="4355" max="4356" width="20" style="183" customWidth="1"/>
    <col min="4357" max="4357" width="15.26953125" style="183" customWidth="1"/>
    <col min="4358" max="4358" width="17.7265625" style="183" customWidth="1"/>
    <col min="4359" max="4608" width="9.26953125" style="183"/>
    <col min="4609" max="4609" width="0" style="183" hidden="1" customWidth="1"/>
    <col min="4610" max="4610" width="28.7265625" style="183" customWidth="1"/>
    <col min="4611" max="4612" width="20" style="183" customWidth="1"/>
    <col min="4613" max="4613" width="15.26953125" style="183" customWidth="1"/>
    <col min="4614" max="4614" width="17.7265625" style="183" customWidth="1"/>
    <col min="4615" max="4864" width="9.26953125" style="183"/>
    <col min="4865" max="4865" width="0" style="183" hidden="1" customWidth="1"/>
    <col min="4866" max="4866" width="28.7265625" style="183" customWidth="1"/>
    <col min="4867" max="4868" width="20" style="183" customWidth="1"/>
    <col min="4869" max="4869" width="15.26953125" style="183" customWidth="1"/>
    <col min="4870" max="4870" width="17.7265625" style="183" customWidth="1"/>
    <col min="4871" max="5120" width="9.26953125" style="183"/>
    <col min="5121" max="5121" width="0" style="183" hidden="1" customWidth="1"/>
    <col min="5122" max="5122" width="28.7265625" style="183" customWidth="1"/>
    <col min="5123" max="5124" width="20" style="183" customWidth="1"/>
    <col min="5125" max="5125" width="15.26953125" style="183" customWidth="1"/>
    <col min="5126" max="5126" width="17.7265625" style="183" customWidth="1"/>
    <col min="5127" max="5376" width="9.26953125" style="183"/>
    <col min="5377" max="5377" width="0" style="183" hidden="1" customWidth="1"/>
    <col min="5378" max="5378" width="28.7265625" style="183" customWidth="1"/>
    <col min="5379" max="5380" width="20" style="183" customWidth="1"/>
    <col min="5381" max="5381" width="15.26953125" style="183" customWidth="1"/>
    <col min="5382" max="5382" width="17.7265625" style="183" customWidth="1"/>
    <col min="5383" max="5632" width="9.26953125" style="183"/>
    <col min="5633" max="5633" width="0" style="183" hidden="1" customWidth="1"/>
    <col min="5634" max="5634" width="28.7265625" style="183" customWidth="1"/>
    <col min="5635" max="5636" width="20" style="183" customWidth="1"/>
    <col min="5637" max="5637" width="15.26953125" style="183" customWidth="1"/>
    <col min="5638" max="5638" width="17.7265625" style="183" customWidth="1"/>
    <col min="5639" max="5888" width="9.26953125" style="183"/>
    <col min="5889" max="5889" width="0" style="183" hidden="1" customWidth="1"/>
    <col min="5890" max="5890" width="28.7265625" style="183" customWidth="1"/>
    <col min="5891" max="5892" width="20" style="183" customWidth="1"/>
    <col min="5893" max="5893" width="15.26953125" style="183" customWidth="1"/>
    <col min="5894" max="5894" width="17.7265625" style="183" customWidth="1"/>
    <col min="5895" max="6144" width="9.26953125" style="183"/>
    <col min="6145" max="6145" width="0" style="183" hidden="1" customWidth="1"/>
    <col min="6146" max="6146" width="28.7265625" style="183" customWidth="1"/>
    <col min="6147" max="6148" width="20" style="183" customWidth="1"/>
    <col min="6149" max="6149" width="15.26953125" style="183" customWidth="1"/>
    <col min="6150" max="6150" width="17.7265625" style="183" customWidth="1"/>
    <col min="6151" max="6400" width="9.26953125" style="183"/>
    <col min="6401" max="6401" width="0" style="183" hidden="1" customWidth="1"/>
    <col min="6402" max="6402" width="28.7265625" style="183" customWidth="1"/>
    <col min="6403" max="6404" width="20" style="183" customWidth="1"/>
    <col min="6405" max="6405" width="15.26953125" style="183" customWidth="1"/>
    <col min="6406" max="6406" width="17.7265625" style="183" customWidth="1"/>
    <col min="6407" max="6656" width="9.26953125" style="183"/>
    <col min="6657" max="6657" width="0" style="183" hidden="1" customWidth="1"/>
    <col min="6658" max="6658" width="28.7265625" style="183" customWidth="1"/>
    <col min="6659" max="6660" width="20" style="183" customWidth="1"/>
    <col min="6661" max="6661" width="15.26953125" style="183" customWidth="1"/>
    <col min="6662" max="6662" width="17.7265625" style="183" customWidth="1"/>
    <col min="6663" max="6912" width="9.26953125" style="183"/>
    <col min="6913" max="6913" width="0" style="183" hidden="1" customWidth="1"/>
    <col min="6914" max="6914" width="28.7265625" style="183" customWidth="1"/>
    <col min="6915" max="6916" width="20" style="183" customWidth="1"/>
    <col min="6917" max="6917" width="15.26953125" style="183" customWidth="1"/>
    <col min="6918" max="6918" width="17.7265625" style="183" customWidth="1"/>
    <col min="6919" max="7168" width="9.26953125" style="183"/>
    <col min="7169" max="7169" width="0" style="183" hidden="1" customWidth="1"/>
    <col min="7170" max="7170" width="28.7265625" style="183" customWidth="1"/>
    <col min="7171" max="7172" width="20" style="183" customWidth="1"/>
    <col min="7173" max="7173" width="15.26953125" style="183" customWidth="1"/>
    <col min="7174" max="7174" width="17.7265625" style="183" customWidth="1"/>
    <col min="7175" max="7424" width="9.26953125" style="183"/>
    <col min="7425" max="7425" width="0" style="183" hidden="1" customWidth="1"/>
    <col min="7426" max="7426" width="28.7265625" style="183" customWidth="1"/>
    <col min="7427" max="7428" width="20" style="183" customWidth="1"/>
    <col min="7429" max="7429" width="15.26953125" style="183" customWidth="1"/>
    <col min="7430" max="7430" width="17.7265625" style="183" customWidth="1"/>
    <col min="7431" max="7680" width="9.26953125" style="183"/>
    <col min="7681" max="7681" width="0" style="183" hidden="1" customWidth="1"/>
    <col min="7682" max="7682" width="28.7265625" style="183" customWidth="1"/>
    <col min="7683" max="7684" width="20" style="183" customWidth="1"/>
    <col min="7685" max="7685" width="15.26953125" style="183" customWidth="1"/>
    <col min="7686" max="7686" width="17.7265625" style="183" customWidth="1"/>
    <col min="7687" max="7936" width="9.26953125" style="183"/>
    <col min="7937" max="7937" width="0" style="183" hidden="1" customWidth="1"/>
    <col min="7938" max="7938" width="28.7265625" style="183" customWidth="1"/>
    <col min="7939" max="7940" width="20" style="183" customWidth="1"/>
    <col min="7941" max="7941" width="15.26953125" style="183" customWidth="1"/>
    <col min="7942" max="7942" width="17.7265625" style="183" customWidth="1"/>
    <col min="7943" max="8192" width="9.26953125" style="183"/>
    <col min="8193" max="8193" width="0" style="183" hidden="1" customWidth="1"/>
    <col min="8194" max="8194" width="28.7265625" style="183" customWidth="1"/>
    <col min="8195" max="8196" width="20" style="183" customWidth="1"/>
    <col min="8197" max="8197" width="15.26953125" style="183" customWidth="1"/>
    <col min="8198" max="8198" width="17.7265625" style="183" customWidth="1"/>
    <col min="8199" max="8448" width="9.26953125" style="183"/>
    <col min="8449" max="8449" width="0" style="183" hidden="1" customWidth="1"/>
    <col min="8450" max="8450" width="28.7265625" style="183" customWidth="1"/>
    <col min="8451" max="8452" width="20" style="183" customWidth="1"/>
    <col min="8453" max="8453" width="15.26953125" style="183" customWidth="1"/>
    <col min="8454" max="8454" width="17.7265625" style="183" customWidth="1"/>
    <col min="8455" max="8704" width="9.26953125" style="183"/>
    <col min="8705" max="8705" width="0" style="183" hidden="1" customWidth="1"/>
    <col min="8706" max="8706" width="28.7265625" style="183" customWidth="1"/>
    <col min="8707" max="8708" width="20" style="183" customWidth="1"/>
    <col min="8709" max="8709" width="15.26953125" style="183" customWidth="1"/>
    <col min="8710" max="8710" width="17.7265625" style="183" customWidth="1"/>
    <col min="8711" max="8960" width="9.26953125" style="183"/>
    <col min="8961" max="8961" width="0" style="183" hidden="1" customWidth="1"/>
    <col min="8962" max="8962" width="28.7265625" style="183" customWidth="1"/>
    <col min="8963" max="8964" width="20" style="183" customWidth="1"/>
    <col min="8965" max="8965" width="15.26953125" style="183" customWidth="1"/>
    <col min="8966" max="8966" width="17.7265625" style="183" customWidth="1"/>
    <col min="8967" max="9216" width="9.26953125" style="183"/>
    <col min="9217" max="9217" width="0" style="183" hidden="1" customWidth="1"/>
    <col min="9218" max="9218" width="28.7265625" style="183" customWidth="1"/>
    <col min="9219" max="9220" width="20" style="183" customWidth="1"/>
    <col min="9221" max="9221" width="15.26953125" style="183" customWidth="1"/>
    <col min="9222" max="9222" width="17.7265625" style="183" customWidth="1"/>
    <col min="9223" max="9472" width="9.26953125" style="183"/>
    <col min="9473" max="9473" width="0" style="183" hidden="1" customWidth="1"/>
    <col min="9474" max="9474" width="28.7265625" style="183" customWidth="1"/>
    <col min="9475" max="9476" width="20" style="183" customWidth="1"/>
    <col min="9477" max="9477" width="15.26953125" style="183" customWidth="1"/>
    <col min="9478" max="9478" width="17.7265625" style="183" customWidth="1"/>
    <col min="9479" max="9728" width="9.26953125" style="183"/>
    <col min="9729" max="9729" width="0" style="183" hidden="1" customWidth="1"/>
    <col min="9730" max="9730" width="28.7265625" style="183" customWidth="1"/>
    <col min="9731" max="9732" width="20" style="183" customWidth="1"/>
    <col min="9733" max="9733" width="15.26953125" style="183" customWidth="1"/>
    <col min="9734" max="9734" width="17.7265625" style="183" customWidth="1"/>
    <col min="9735" max="9984" width="9.26953125" style="183"/>
    <col min="9985" max="9985" width="0" style="183" hidden="1" customWidth="1"/>
    <col min="9986" max="9986" width="28.7265625" style="183" customWidth="1"/>
    <col min="9987" max="9988" width="20" style="183" customWidth="1"/>
    <col min="9989" max="9989" width="15.26953125" style="183" customWidth="1"/>
    <col min="9990" max="9990" width="17.7265625" style="183" customWidth="1"/>
    <col min="9991" max="10240" width="9.26953125" style="183"/>
    <col min="10241" max="10241" width="0" style="183" hidden="1" customWidth="1"/>
    <col min="10242" max="10242" width="28.7265625" style="183" customWidth="1"/>
    <col min="10243" max="10244" width="20" style="183" customWidth="1"/>
    <col min="10245" max="10245" width="15.26953125" style="183" customWidth="1"/>
    <col min="10246" max="10246" width="17.7265625" style="183" customWidth="1"/>
    <col min="10247" max="10496" width="9.26953125" style="183"/>
    <col min="10497" max="10497" width="0" style="183" hidden="1" customWidth="1"/>
    <col min="10498" max="10498" width="28.7265625" style="183" customWidth="1"/>
    <col min="10499" max="10500" width="20" style="183" customWidth="1"/>
    <col min="10501" max="10501" width="15.26953125" style="183" customWidth="1"/>
    <col min="10502" max="10502" width="17.7265625" style="183" customWidth="1"/>
    <col min="10503" max="10752" width="9.26953125" style="183"/>
    <col min="10753" max="10753" width="0" style="183" hidden="1" customWidth="1"/>
    <col min="10754" max="10754" width="28.7265625" style="183" customWidth="1"/>
    <col min="10755" max="10756" width="20" style="183" customWidth="1"/>
    <col min="10757" max="10757" width="15.26953125" style="183" customWidth="1"/>
    <col min="10758" max="10758" width="17.7265625" style="183" customWidth="1"/>
    <col min="10759" max="11008" width="9.26953125" style="183"/>
    <col min="11009" max="11009" width="0" style="183" hidden="1" customWidth="1"/>
    <col min="11010" max="11010" width="28.7265625" style="183" customWidth="1"/>
    <col min="11011" max="11012" width="20" style="183" customWidth="1"/>
    <col min="11013" max="11013" width="15.26953125" style="183" customWidth="1"/>
    <col min="11014" max="11014" width="17.7265625" style="183" customWidth="1"/>
    <col min="11015" max="11264" width="9.26953125" style="183"/>
    <col min="11265" max="11265" width="0" style="183" hidden="1" customWidth="1"/>
    <col min="11266" max="11266" width="28.7265625" style="183" customWidth="1"/>
    <col min="11267" max="11268" width="20" style="183" customWidth="1"/>
    <col min="11269" max="11269" width="15.26953125" style="183" customWidth="1"/>
    <col min="11270" max="11270" width="17.7265625" style="183" customWidth="1"/>
    <col min="11271" max="11520" width="9.26953125" style="183"/>
    <col min="11521" max="11521" width="0" style="183" hidden="1" customWidth="1"/>
    <col min="11522" max="11522" width="28.7265625" style="183" customWidth="1"/>
    <col min="11523" max="11524" width="20" style="183" customWidth="1"/>
    <col min="11525" max="11525" width="15.26953125" style="183" customWidth="1"/>
    <col min="11526" max="11526" width="17.7265625" style="183" customWidth="1"/>
    <col min="11527" max="11776" width="9.26953125" style="183"/>
    <col min="11777" max="11777" width="0" style="183" hidden="1" customWidth="1"/>
    <col min="11778" max="11778" width="28.7265625" style="183" customWidth="1"/>
    <col min="11779" max="11780" width="20" style="183" customWidth="1"/>
    <col min="11781" max="11781" width="15.26953125" style="183" customWidth="1"/>
    <col min="11782" max="11782" width="17.7265625" style="183" customWidth="1"/>
    <col min="11783" max="12032" width="9.26953125" style="183"/>
    <col min="12033" max="12033" width="0" style="183" hidden="1" customWidth="1"/>
    <col min="12034" max="12034" width="28.7265625" style="183" customWidth="1"/>
    <col min="12035" max="12036" width="20" style="183" customWidth="1"/>
    <col min="12037" max="12037" width="15.26953125" style="183" customWidth="1"/>
    <col min="12038" max="12038" width="17.7265625" style="183" customWidth="1"/>
    <col min="12039" max="12288" width="9.26953125" style="183"/>
    <col min="12289" max="12289" width="0" style="183" hidden="1" customWidth="1"/>
    <col min="12290" max="12290" width="28.7265625" style="183" customWidth="1"/>
    <col min="12291" max="12292" width="20" style="183" customWidth="1"/>
    <col min="12293" max="12293" width="15.26953125" style="183" customWidth="1"/>
    <col min="12294" max="12294" width="17.7265625" style="183" customWidth="1"/>
    <col min="12295" max="12544" width="9.26953125" style="183"/>
    <col min="12545" max="12545" width="0" style="183" hidden="1" customWidth="1"/>
    <col min="12546" max="12546" width="28.7265625" style="183" customWidth="1"/>
    <col min="12547" max="12548" width="20" style="183" customWidth="1"/>
    <col min="12549" max="12549" width="15.26953125" style="183" customWidth="1"/>
    <col min="12550" max="12550" width="17.7265625" style="183" customWidth="1"/>
    <col min="12551" max="12800" width="9.26953125" style="183"/>
    <col min="12801" max="12801" width="0" style="183" hidden="1" customWidth="1"/>
    <col min="12802" max="12802" width="28.7265625" style="183" customWidth="1"/>
    <col min="12803" max="12804" width="20" style="183" customWidth="1"/>
    <col min="12805" max="12805" width="15.26953125" style="183" customWidth="1"/>
    <col min="12806" max="12806" width="17.7265625" style="183" customWidth="1"/>
    <col min="12807" max="13056" width="9.26953125" style="183"/>
    <col min="13057" max="13057" width="0" style="183" hidden="1" customWidth="1"/>
    <col min="13058" max="13058" width="28.7265625" style="183" customWidth="1"/>
    <col min="13059" max="13060" width="20" style="183" customWidth="1"/>
    <col min="13061" max="13061" width="15.26953125" style="183" customWidth="1"/>
    <col min="13062" max="13062" width="17.7265625" style="183" customWidth="1"/>
    <col min="13063" max="13312" width="9.26953125" style="183"/>
    <col min="13313" max="13313" width="0" style="183" hidden="1" customWidth="1"/>
    <col min="13314" max="13314" width="28.7265625" style="183" customWidth="1"/>
    <col min="13315" max="13316" width="20" style="183" customWidth="1"/>
    <col min="13317" max="13317" width="15.26953125" style="183" customWidth="1"/>
    <col min="13318" max="13318" width="17.7265625" style="183" customWidth="1"/>
    <col min="13319" max="13568" width="9.26953125" style="183"/>
    <col min="13569" max="13569" width="0" style="183" hidden="1" customWidth="1"/>
    <col min="13570" max="13570" width="28.7265625" style="183" customWidth="1"/>
    <col min="13571" max="13572" width="20" style="183" customWidth="1"/>
    <col min="13573" max="13573" width="15.26953125" style="183" customWidth="1"/>
    <col min="13574" max="13574" width="17.7265625" style="183" customWidth="1"/>
    <col min="13575" max="13824" width="9.26953125" style="183"/>
    <col min="13825" max="13825" width="0" style="183" hidden="1" customWidth="1"/>
    <col min="13826" max="13826" width="28.7265625" style="183" customWidth="1"/>
    <col min="13827" max="13828" width="20" style="183" customWidth="1"/>
    <col min="13829" max="13829" width="15.26953125" style="183" customWidth="1"/>
    <col min="13830" max="13830" width="17.7265625" style="183" customWidth="1"/>
    <col min="13831" max="14080" width="9.26953125" style="183"/>
    <col min="14081" max="14081" width="0" style="183" hidden="1" customWidth="1"/>
    <col min="14082" max="14082" width="28.7265625" style="183" customWidth="1"/>
    <col min="14083" max="14084" width="20" style="183" customWidth="1"/>
    <col min="14085" max="14085" width="15.26953125" style="183" customWidth="1"/>
    <col min="14086" max="14086" width="17.7265625" style="183" customWidth="1"/>
    <col min="14087" max="14336" width="9.26953125" style="183"/>
    <col min="14337" max="14337" width="0" style="183" hidden="1" customWidth="1"/>
    <col min="14338" max="14338" width="28.7265625" style="183" customWidth="1"/>
    <col min="14339" max="14340" width="20" style="183" customWidth="1"/>
    <col min="14341" max="14341" width="15.26953125" style="183" customWidth="1"/>
    <col min="14342" max="14342" width="17.7265625" style="183" customWidth="1"/>
    <col min="14343" max="14592" width="9.26953125" style="183"/>
    <col min="14593" max="14593" width="0" style="183" hidden="1" customWidth="1"/>
    <col min="14594" max="14594" width="28.7265625" style="183" customWidth="1"/>
    <col min="14595" max="14596" width="20" style="183" customWidth="1"/>
    <col min="14597" max="14597" width="15.26953125" style="183" customWidth="1"/>
    <col min="14598" max="14598" width="17.7265625" style="183" customWidth="1"/>
    <col min="14599" max="14848" width="9.26953125" style="183"/>
    <col min="14849" max="14849" width="0" style="183" hidden="1" customWidth="1"/>
    <col min="14850" max="14850" width="28.7265625" style="183" customWidth="1"/>
    <col min="14851" max="14852" width="20" style="183" customWidth="1"/>
    <col min="14853" max="14853" width="15.26953125" style="183" customWidth="1"/>
    <col min="14854" max="14854" width="17.7265625" style="183" customWidth="1"/>
    <col min="14855" max="15104" width="9.26953125" style="183"/>
    <col min="15105" max="15105" width="0" style="183" hidden="1" customWidth="1"/>
    <col min="15106" max="15106" width="28.7265625" style="183" customWidth="1"/>
    <col min="15107" max="15108" width="20" style="183" customWidth="1"/>
    <col min="15109" max="15109" width="15.26953125" style="183" customWidth="1"/>
    <col min="15110" max="15110" width="17.7265625" style="183" customWidth="1"/>
    <col min="15111" max="15360" width="9.26953125" style="183"/>
    <col min="15361" max="15361" width="0" style="183" hidden="1" customWidth="1"/>
    <col min="15362" max="15362" width="28.7265625" style="183" customWidth="1"/>
    <col min="15363" max="15364" width="20" style="183" customWidth="1"/>
    <col min="15365" max="15365" width="15.26953125" style="183" customWidth="1"/>
    <col min="15366" max="15366" width="17.7265625" style="183" customWidth="1"/>
    <col min="15367" max="15616" width="9.26953125" style="183"/>
    <col min="15617" max="15617" width="0" style="183" hidden="1" customWidth="1"/>
    <col min="15618" max="15618" width="28.7265625" style="183" customWidth="1"/>
    <col min="15619" max="15620" width="20" style="183" customWidth="1"/>
    <col min="15621" max="15621" width="15.26953125" style="183" customWidth="1"/>
    <col min="15622" max="15622" width="17.7265625" style="183" customWidth="1"/>
    <col min="15623" max="15872" width="9.26953125" style="183"/>
    <col min="15873" max="15873" width="0" style="183" hidden="1" customWidth="1"/>
    <col min="15874" max="15874" width="28.7265625" style="183" customWidth="1"/>
    <col min="15875" max="15876" width="20" style="183" customWidth="1"/>
    <col min="15877" max="15877" width="15.26953125" style="183" customWidth="1"/>
    <col min="15878" max="15878" width="17.7265625" style="183" customWidth="1"/>
    <col min="15879" max="16128" width="9.26953125" style="183"/>
    <col min="16129" max="16129" width="0" style="183" hidden="1" customWidth="1"/>
    <col min="16130" max="16130" width="28.7265625" style="183" customWidth="1"/>
    <col min="16131" max="16132" width="20" style="183" customWidth="1"/>
    <col min="16133" max="16133" width="15.26953125" style="183" customWidth="1"/>
    <col min="16134" max="16134" width="17.7265625" style="183" customWidth="1"/>
    <col min="16135" max="16384" width="9.26953125" style="183"/>
  </cols>
  <sheetData>
    <row r="1" spans="1:11" ht="60" customHeight="1" x14ac:dyDescent="0.3">
      <c r="B1" s="316"/>
      <c r="C1" s="317"/>
      <c r="D1" s="317"/>
      <c r="E1" s="317"/>
      <c r="F1" s="318"/>
    </row>
    <row r="2" spans="1:11" ht="14.5" x14ac:dyDescent="0.3">
      <c r="B2" s="299"/>
      <c r="C2" s="300" t="s">
        <v>1</v>
      </c>
      <c r="D2" s="302" t="s">
        <v>2</v>
      </c>
      <c r="E2" s="302"/>
    </row>
    <row r="3" spans="1:11" ht="27" x14ac:dyDescent="0.3">
      <c r="A3" s="4"/>
      <c r="B3" s="299"/>
      <c r="C3" s="301"/>
      <c r="D3" s="184" t="s">
        <v>3</v>
      </c>
      <c r="E3" s="184" t="s">
        <v>4</v>
      </c>
      <c r="F3" s="184" t="s">
        <v>5</v>
      </c>
    </row>
    <row r="4" spans="1:11" ht="24" customHeight="1" x14ac:dyDescent="0.3">
      <c r="A4" s="4"/>
      <c r="B4" s="6" t="s">
        <v>6</v>
      </c>
      <c r="C4" s="7">
        <f>C5+C44</f>
        <v>2523</v>
      </c>
      <c r="D4" s="7">
        <f>D5+D44</f>
        <v>463</v>
      </c>
      <c r="E4" s="7">
        <f>E5+E44</f>
        <v>130</v>
      </c>
      <c r="F4" s="7">
        <f>F5+F44</f>
        <v>0</v>
      </c>
      <c r="H4" s="8"/>
      <c r="I4" s="8"/>
      <c r="J4" s="8"/>
      <c r="K4" s="8"/>
    </row>
    <row r="5" spans="1:11" s="11" customFormat="1" ht="25.5" customHeight="1" x14ac:dyDescent="0.3">
      <c r="A5" s="9"/>
      <c r="B5" s="10" t="s">
        <v>7</v>
      </c>
      <c r="C5" s="7">
        <f>SUM(C6:C43)</f>
        <v>1874</v>
      </c>
      <c r="D5" s="7">
        <f>SUM(D6:D43)</f>
        <v>310</v>
      </c>
      <c r="E5" s="7">
        <f>SUM(E6:E43)</f>
        <v>61</v>
      </c>
      <c r="F5" s="7">
        <f>SUM(F6:F43)</f>
        <v>0</v>
      </c>
      <c r="H5" s="8"/>
      <c r="I5" s="8"/>
      <c r="J5" s="8"/>
      <c r="K5" s="8"/>
    </row>
    <row r="6" spans="1:11" ht="12.75" customHeight="1" x14ac:dyDescent="0.3">
      <c r="A6" s="12">
        <v>51</v>
      </c>
      <c r="B6" s="13" t="s">
        <v>8</v>
      </c>
      <c r="C6" s="14">
        <f>'(2016-17b)'!C7+'(2016-17b)'!D7+'(2016-17c)'!C6+'(2016-17d)'!C6</f>
        <v>64</v>
      </c>
      <c r="D6" s="14">
        <f>'(2016-17b)'!E7+'(2016-17b)'!F7+'(2016-17c)'!D6+'(2016-17d)'!D6</f>
        <v>19</v>
      </c>
      <c r="E6" s="14">
        <f>'(2016-17b)'!G7+'(2016-17b)'!H7+'(2016-17c)'!E6+'(2016-17d)'!E6</f>
        <v>2</v>
      </c>
      <c r="F6" s="14">
        <f>'(2016-17b)'!I7+'(2016-17b)'!J7+'(2016-17c)'!F6+'(2016-17d)'!F6</f>
        <v>0</v>
      </c>
      <c r="H6" s="8"/>
      <c r="I6" s="8"/>
      <c r="J6" s="8"/>
      <c r="K6" s="8"/>
    </row>
    <row r="7" spans="1:11" ht="12.75" customHeight="1" x14ac:dyDescent="0.3">
      <c r="A7" s="12">
        <v>52</v>
      </c>
      <c r="B7" s="13" t="s">
        <v>9</v>
      </c>
      <c r="C7" s="14">
        <f>'(2016-17b)'!C8+'(2016-17b)'!D8+'(2016-17c)'!C7+'(2016-17d)'!C7</f>
        <v>32</v>
      </c>
      <c r="D7" s="14">
        <f>'(2016-17b)'!E8+'(2016-17b)'!F8+'(2016-17c)'!D7+'(2016-17d)'!D7</f>
        <v>3</v>
      </c>
      <c r="E7" s="14">
        <f>'(2016-17b)'!G8+'(2016-17b)'!H8+'(2016-17c)'!E7+'(2016-17d)'!E7</f>
        <v>0</v>
      </c>
      <c r="F7" s="14">
        <f>'(2016-17b)'!I8+'(2016-17b)'!J8+'(2016-17c)'!F7+'(2016-17d)'!F7</f>
        <v>0</v>
      </c>
      <c r="H7" s="8"/>
      <c r="I7" s="8"/>
      <c r="J7" s="8"/>
      <c r="K7" s="8"/>
    </row>
    <row r="8" spans="1:11" x14ac:dyDescent="0.3">
      <c r="A8" s="12">
        <v>86</v>
      </c>
      <c r="B8" s="13" t="s">
        <v>10</v>
      </c>
      <c r="C8" s="14">
        <f>'(2016-17b)'!C9+'(2016-17b)'!D9+'(2016-17c)'!C8+'(2016-17d)'!C8</f>
        <v>42</v>
      </c>
      <c r="D8" s="14">
        <f>'(2016-17b)'!E9+'(2016-17b)'!F9+'(2016-17c)'!D8+'(2016-17d)'!D8</f>
        <v>5</v>
      </c>
      <c r="E8" s="14">
        <f>'(2016-17b)'!G9+'(2016-17b)'!H9+'(2016-17c)'!E8+'(2016-17d)'!E8</f>
        <v>0</v>
      </c>
      <c r="F8" s="14">
        <f>'(2016-17b)'!I9+'(2016-17b)'!J9+'(2016-17c)'!F8+'(2016-17d)'!F8</f>
        <v>0</v>
      </c>
      <c r="H8" s="8"/>
      <c r="I8" s="8"/>
      <c r="J8" s="8"/>
      <c r="K8" s="8"/>
    </row>
    <row r="9" spans="1:11" ht="12.75" customHeight="1" x14ac:dyDescent="0.3">
      <c r="A9" s="12">
        <v>53</v>
      </c>
      <c r="B9" s="13" t="s">
        <v>11</v>
      </c>
      <c r="C9" s="14">
        <f>'(2016-17b)'!C10+'(2016-17b)'!D10+'(2016-17c)'!C9+'(2016-17d)'!C9</f>
        <v>37</v>
      </c>
      <c r="D9" s="14">
        <f>'(2016-17b)'!E10+'(2016-17b)'!F10+'(2016-17c)'!D9+'(2016-17d)'!D9</f>
        <v>7</v>
      </c>
      <c r="E9" s="14">
        <f>'(2016-17b)'!G10+'(2016-17b)'!H10+'(2016-17c)'!E9+'(2016-17d)'!E9</f>
        <v>0</v>
      </c>
      <c r="F9" s="14">
        <f>'(2016-17b)'!I10+'(2016-17b)'!J10+'(2016-17c)'!F9+'(2016-17d)'!F9</f>
        <v>0</v>
      </c>
      <c r="H9" s="8"/>
      <c r="I9" s="8"/>
      <c r="J9" s="8"/>
      <c r="K9" s="8"/>
    </row>
    <row r="10" spans="1:11" ht="12.75" customHeight="1" x14ac:dyDescent="0.3">
      <c r="A10" s="12">
        <v>54</v>
      </c>
      <c r="B10" s="13" t="s">
        <v>12</v>
      </c>
      <c r="C10" s="14">
        <f>'(2016-17b)'!C11+'(2016-17b)'!D11+'(2016-17c)'!C10+'(2016-17d)'!C10</f>
        <v>115</v>
      </c>
      <c r="D10" s="14">
        <f>'(2016-17b)'!E11+'(2016-17b)'!F11+'(2016-17c)'!D10+'(2016-17d)'!D10</f>
        <v>5</v>
      </c>
      <c r="E10" s="14">
        <f>'(2016-17b)'!G11+'(2016-17b)'!H11+'(2016-17c)'!E10+'(2016-17d)'!E10</f>
        <v>7</v>
      </c>
      <c r="F10" s="14">
        <f>'(2016-17b)'!I11+'(2016-17b)'!J11+'(2016-17c)'!F10+'(2016-17d)'!F10</f>
        <v>0</v>
      </c>
      <c r="H10" s="8"/>
      <c r="I10" s="8"/>
      <c r="J10" s="8"/>
      <c r="K10" s="8"/>
    </row>
    <row r="11" spans="1:11" ht="12.75" customHeight="1" x14ac:dyDescent="0.3">
      <c r="A11" s="12">
        <v>55</v>
      </c>
      <c r="B11" s="13" t="s">
        <v>13</v>
      </c>
      <c r="C11" s="14">
        <f>'(2016-17b)'!C12+'(2016-17b)'!D12+'(2016-17c)'!C11+'(2016-17d)'!C11</f>
        <v>13</v>
      </c>
      <c r="D11" s="14">
        <f>'(2016-17b)'!E12+'(2016-17b)'!F12+'(2016-17c)'!D11+'(2016-17d)'!D11</f>
        <v>1</v>
      </c>
      <c r="E11" s="14">
        <f>'(2016-17b)'!G12+'(2016-17b)'!H12+'(2016-17c)'!E11+'(2016-17d)'!E11</f>
        <v>0</v>
      </c>
      <c r="F11" s="14">
        <f>'(2016-17b)'!I12+'(2016-17b)'!J12+'(2016-17c)'!F11+'(2016-17d)'!F11</f>
        <v>0</v>
      </c>
      <c r="H11" s="8"/>
      <c r="I11" s="8"/>
      <c r="J11" s="8"/>
      <c r="K11" s="8"/>
    </row>
    <row r="12" spans="1:11" ht="12.75" customHeight="1" x14ac:dyDescent="0.3">
      <c r="A12" s="12">
        <v>56</v>
      </c>
      <c r="B12" s="13" t="s">
        <v>14</v>
      </c>
      <c r="C12" s="14">
        <f>'(2016-17b)'!C13+'(2016-17b)'!D13+'(2016-17c)'!C12+'(2016-17d)'!C12</f>
        <v>8</v>
      </c>
      <c r="D12" s="14">
        <f>'(2016-17b)'!E13+'(2016-17b)'!F13+'(2016-17c)'!D12+'(2016-17d)'!D12</f>
        <v>1</v>
      </c>
      <c r="E12" s="14">
        <f>'(2016-17b)'!G13+'(2016-17b)'!H13+'(2016-17c)'!E12+'(2016-17d)'!E12</f>
        <v>1</v>
      </c>
      <c r="F12" s="14">
        <f>'(2016-17b)'!I13+'(2016-17b)'!J13+'(2016-17c)'!F12+'(2016-17d)'!F12</f>
        <v>0</v>
      </c>
      <c r="H12" s="8"/>
      <c r="I12" s="8"/>
      <c r="J12" s="8"/>
      <c r="K12" s="8"/>
    </row>
    <row r="13" spans="1:11" ht="12.75" customHeight="1" x14ac:dyDescent="0.3">
      <c r="A13" s="12">
        <v>57</v>
      </c>
      <c r="B13" s="13" t="s">
        <v>15</v>
      </c>
      <c r="C13" s="14">
        <f>'(2016-17b)'!C14+'(2016-17b)'!D14+'(2016-17c)'!C13+'(2016-17d)'!C13</f>
        <v>29</v>
      </c>
      <c r="D13" s="14">
        <f>'(2016-17b)'!E14+'(2016-17b)'!F14+'(2016-17c)'!D13+'(2016-17d)'!D13</f>
        <v>6</v>
      </c>
      <c r="E13" s="14">
        <f>'(2016-17b)'!G14+'(2016-17b)'!H14+'(2016-17c)'!E13+'(2016-17d)'!E13</f>
        <v>5</v>
      </c>
      <c r="F13" s="14">
        <f>'(2016-17b)'!I14+'(2016-17b)'!J14+'(2016-17c)'!F13+'(2016-17d)'!F13</f>
        <v>0</v>
      </c>
      <c r="H13" s="8"/>
      <c r="I13" s="8"/>
      <c r="J13" s="8"/>
      <c r="K13" s="8"/>
    </row>
    <row r="14" spans="1:11" ht="12.75" customHeight="1" x14ac:dyDescent="0.3">
      <c r="A14" s="12">
        <v>59</v>
      </c>
      <c r="B14" s="13" t="s">
        <v>16</v>
      </c>
      <c r="C14" s="14">
        <f>'(2016-17b)'!C15+'(2016-17b)'!D15+'(2016-17c)'!C14+'(2016-17d)'!C14</f>
        <v>23</v>
      </c>
      <c r="D14" s="14">
        <f>'(2016-17b)'!E15+'(2016-17b)'!F15+'(2016-17c)'!D14+'(2016-17d)'!D14</f>
        <v>6</v>
      </c>
      <c r="E14" s="14">
        <f>'(2016-17b)'!G15+'(2016-17b)'!H15+'(2016-17c)'!E14+'(2016-17d)'!E14</f>
        <v>0</v>
      </c>
      <c r="F14" s="14">
        <f>'(2016-17b)'!I15+'(2016-17b)'!J15+'(2016-17c)'!F14+'(2016-17d)'!F14</f>
        <v>0</v>
      </c>
      <c r="H14" s="8"/>
      <c r="I14" s="8"/>
      <c r="J14" s="8"/>
      <c r="K14" s="8"/>
    </row>
    <row r="15" spans="1:11" ht="12.75" customHeight="1" x14ac:dyDescent="0.3">
      <c r="A15" s="12">
        <v>60</v>
      </c>
      <c r="B15" s="13" t="s">
        <v>17</v>
      </c>
      <c r="C15" s="14">
        <f>'(2016-17b)'!C16+'(2016-17b)'!D16+'(2016-17c)'!C15+'(2016-17d)'!C15</f>
        <v>28</v>
      </c>
      <c r="D15" s="14">
        <f>'(2016-17b)'!E16+'(2016-17b)'!F16+'(2016-17c)'!D15+'(2016-17d)'!D15</f>
        <v>8</v>
      </c>
      <c r="E15" s="14">
        <f>'(2016-17b)'!G16+'(2016-17b)'!H16+'(2016-17c)'!E15+'(2016-17d)'!E15</f>
        <v>2</v>
      </c>
      <c r="F15" s="14">
        <f>'(2016-17b)'!I16+'(2016-17b)'!J16+'(2016-17c)'!F15+'(2016-17d)'!F15</f>
        <v>0</v>
      </c>
      <c r="H15" s="8"/>
      <c r="I15" s="8"/>
      <c r="J15" s="8"/>
      <c r="K15" s="8"/>
    </row>
    <row r="16" spans="1:11" ht="12.75" customHeight="1" x14ac:dyDescent="0.3">
      <c r="A16" s="12">
        <v>61</v>
      </c>
      <c r="B16" s="15" t="s">
        <v>18</v>
      </c>
      <c r="C16" s="14">
        <f>'(2016-17b)'!C17+'(2016-17b)'!D17+'(2016-17c)'!C16+'(2016-17d)'!C16</f>
        <v>59</v>
      </c>
      <c r="D16" s="14">
        <f>'(2016-17b)'!E17+'(2016-17b)'!F17+'(2016-17c)'!D16+'(2016-17d)'!D16</f>
        <v>22</v>
      </c>
      <c r="E16" s="14">
        <f>'(2016-17b)'!G17+'(2016-17b)'!H17+'(2016-17c)'!E16+'(2016-17d)'!E16</f>
        <v>1</v>
      </c>
      <c r="F16" s="14">
        <f>'(2016-17b)'!I17+'(2016-17b)'!J17+'(2016-17c)'!F16+'(2016-17d)'!F16</f>
        <v>0</v>
      </c>
      <c r="H16" s="8"/>
      <c r="I16" s="8"/>
      <c r="J16" s="8"/>
      <c r="K16" s="8"/>
    </row>
    <row r="17" spans="1:11" ht="12.75" customHeight="1" x14ac:dyDescent="0.3">
      <c r="A17" s="12"/>
      <c r="B17" s="130" t="s">
        <v>122</v>
      </c>
      <c r="C17" s="14">
        <f>'(2016-17b)'!C18+'(2016-17b)'!D18+'(2016-17c)'!C17+'(2016-17d)'!C17</f>
        <v>91</v>
      </c>
      <c r="D17" s="14">
        <f>'(2016-17b)'!E18+'(2016-17b)'!F18+'(2016-17c)'!D17+'(2016-17d)'!D17</f>
        <v>10</v>
      </c>
      <c r="E17" s="14">
        <f>'(2016-17b)'!G18+'(2016-17b)'!H18+'(2016-17c)'!E17+'(2016-17d)'!E17</f>
        <v>1</v>
      </c>
      <c r="F17" s="14">
        <f>'(2016-17b)'!I18+'(2016-17b)'!J18+'(2016-17c)'!F17+'(2016-17d)'!F17</f>
        <v>0</v>
      </c>
      <c r="H17" s="8"/>
      <c r="I17" s="8"/>
      <c r="J17" s="8"/>
      <c r="K17" s="8"/>
    </row>
    <row r="18" spans="1:11" ht="12.75" customHeight="1" x14ac:dyDescent="0.3">
      <c r="A18" s="12">
        <v>58</v>
      </c>
      <c r="B18" s="13" t="s">
        <v>20</v>
      </c>
      <c r="C18" s="14">
        <f>'(2016-17b)'!C19+'(2016-17b)'!D19+'(2016-17c)'!C18+'(2016-17d)'!C18</f>
        <v>9</v>
      </c>
      <c r="D18" s="14">
        <f>'(2016-17b)'!E19+'(2016-17b)'!F19+'(2016-17c)'!D18+'(2016-17d)'!D18</f>
        <v>4</v>
      </c>
      <c r="E18" s="14">
        <f>'(2016-17b)'!G19+'(2016-17b)'!H19+'(2016-17c)'!E18+'(2016-17d)'!E18</f>
        <v>0</v>
      </c>
      <c r="F18" s="14">
        <f>'(2016-17b)'!I19+'(2016-17b)'!J19+'(2016-17c)'!F18+'(2016-17d)'!F18</f>
        <v>0</v>
      </c>
      <c r="H18" s="8"/>
      <c r="I18" s="8"/>
      <c r="J18" s="8"/>
      <c r="K18" s="8"/>
    </row>
    <row r="19" spans="1:11" ht="12.75" customHeight="1" x14ac:dyDescent="0.3">
      <c r="A19" s="12">
        <v>63</v>
      </c>
      <c r="B19" s="13" t="s">
        <v>21</v>
      </c>
      <c r="C19" s="14">
        <f>'(2016-17b)'!C20+'(2016-17b)'!D20+'(2016-17c)'!C19+'(2016-17d)'!C19</f>
        <v>63</v>
      </c>
      <c r="D19" s="14">
        <f>'(2016-17b)'!E20+'(2016-17b)'!F20+'(2016-17c)'!D19+'(2016-17d)'!D19</f>
        <v>9</v>
      </c>
      <c r="E19" s="14">
        <f>'(2016-17b)'!G20+'(2016-17b)'!H20+'(2016-17c)'!E19+'(2016-17d)'!E19</f>
        <v>7</v>
      </c>
      <c r="F19" s="14">
        <f>'(2016-17b)'!I20+'(2016-17b)'!J20+'(2016-17c)'!F19+'(2016-17d)'!F19</f>
        <v>0</v>
      </c>
      <c r="H19" s="8"/>
      <c r="I19" s="8"/>
      <c r="J19" s="8"/>
      <c r="K19" s="8"/>
    </row>
    <row r="20" spans="1:11" ht="12.75" customHeight="1" x14ac:dyDescent="0.3">
      <c r="A20" s="12">
        <v>64</v>
      </c>
      <c r="B20" s="13" t="s">
        <v>22</v>
      </c>
      <c r="C20" s="14">
        <f>'(2016-17b)'!C21+'(2016-17b)'!D21+'(2016-17c)'!C20+'(2016-17d)'!C20</f>
        <v>164</v>
      </c>
      <c r="D20" s="14">
        <f>'(2016-17b)'!E21+'(2016-17b)'!F21+'(2016-17c)'!D20+'(2016-17d)'!D20</f>
        <v>17</v>
      </c>
      <c r="E20" s="14">
        <f>'(2016-17b)'!G21+'(2016-17b)'!H21+'(2016-17c)'!E20+'(2016-17d)'!E20</f>
        <v>0</v>
      </c>
      <c r="F20" s="14">
        <f>'(2016-17b)'!I21+'(2016-17b)'!J21+'(2016-17c)'!F20+'(2016-17d)'!F20</f>
        <v>0</v>
      </c>
      <c r="H20" s="8"/>
      <c r="I20" s="8"/>
      <c r="J20" s="8"/>
      <c r="K20" s="8"/>
    </row>
    <row r="21" spans="1:11" x14ac:dyDescent="0.3">
      <c r="A21" s="12">
        <v>65</v>
      </c>
      <c r="B21" s="13" t="s">
        <v>23</v>
      </c>
      <c r="C21" s="14">
        <f>'(2016-17b)'!C22+'(2016-17b)'!D22+'(2016-17c)'!C21+'(2016-17d)'!C21</f>
        <v>56</v>
      </c>
      <c r="D21" s="14">
        <f>'(2016-17b)'!E22+'(2016-17b)'!F22+'(2016-17c)'!D21+'(2016-17d)'!D21</f>
        <v>0</v>
      </c>
      <c r="E21" s="14">
        <f>'(2016-17b)'!G22+'(2016-17b)'!H22+'(2016-17c)'!E21+'(2016-17d)'!E21</f>
        <v>0</v>
      </c>
      <c r="F21" s="14">
        <f>'(2016-17b)'!I22+'(2016-17b)'!J22+'(2016-17c)'!F21+'(2016-17d)'!F21</f>
        <v>0</v>
      </c>
      <c r="H21" s="8"/>
      <c r="I21" s="8"/>
      <c r="J21" s="8"/>
      <c r="K21" s="8"/>
    </row>
    <row r="22" spans="1:11" ht="12.75" customHeight="1" x14ac:dyDescent="0.3">
      <c r="A22" s="12">
        <v>67</v>
      </c>
      <c r="B22" s="13" t="s">
        <v>24</v>
      </c>
      <c r="C22" s="14">
        <f>'(2016-17b)'!C23+'(2016-17b)'!D23+'(2016-17c)'!C22+'(2016-17d)'!C22</f>
        <v>80</v>
      </c>
      <c r="D22" s="14">
        <f>'(2016-17b)'!E23+'(2016-17b)'!F23+'(2016-17c)'!D22+'(2016-17d)'!D22</f>
        <v>12</v>
      </c>
      <c r="E22" s="14">
        <f>'(2016-17b)'!G23+'(2016-17b)'!H23+'(2016-17c)'!E22+'(2016-17d)'!E22</f>
        <v>2</v>
      </c>
      <c r="F22" s="14">
        <f>'(2016-17b)'!I23+'(2016-17b)'!J23+'(2016-17c)'!F22+'(2016-17d)'!F22</f>
        <v>0</v>
      </c>
      <c r="H22" s="8"/>
      <c r="I22" s="8"/>
      <c r="J22" s="8"/>
      <c r="K22" s="8"/>
    </row>
    <row r="23" spans="1:11" x14ac:dyDescent="0.3">
      <c r="A23" s="12">
        <v>68</v>
      </c>
      <c r="B23" s="13" t="s">
        <v>25</v>
      </c>
      <c r="C23" s="14">
        <f>'(2016-17b)'!C24+'(2016-17b)'!D24+'(2016-17c)'!C23+'(2016-17d)'!C23</f>
        <v>56</v>
      </c>
      <c r="D23" s="14">
        <f>'(2016-17b)'!E24+'(2016-17b)'!F24+'(2016-17c)'!D23+'(2016-17d)'!D23</f>
        <v>7</v>
      </c>
      <c r="E23" s="14">
        <f>'(2016-17b)'!G24+'(2016-17b)'!H24+'(2016-17c)'!E23+'(2016-17d)'!E23</f>
        <v>0</v>
      </c>
      <c r="F23" s="14">
        <f>'(2016-17b)'!I24+'(2016-17b)'!J24+'(2016-17c)'!F23+'(2016-17d)'!F23</f>
        <v>0</v>
      </c>
      <c r="H23" s="8"/>
      <c r="I23" s="8"/>
      <c r="J23" s="8"/>
      <c r="K23" s="8"/>
    </row>
    <row r="24" spans="1:11" x14ac:dyDescent="0.3">
      <c r="A24" s="12">
        <v>69</v>
      </c>
      <c r="B24" s="13" t="s">
        <v>26</v>
      </c>
      <c r="C24" s="14">
        <f>'(2016-17b)'!C25+'(2016-17b)'!D25+'(2016-17c)'!C24+'(2016-17d)'!C24</f>
        <v>58</v>
      </c>
      <c r="D24" s="14">
        <f>'(2016-17b)'!E25+'(2016-17b)'!F25+'(2016-17c)'!D24+'(2016-17d)'!D24</f>
        <v>19</v>
      </c>
      <c r="E24" s="14">
        <f>'(2016-17b)'!G25+'(2016-17b)'!H25+'(2016-17c)'!E24+'(2016-17d)'!E24</f>
        <v>0</v>
      </c>
      <c r="F24" s="14">
        <f>'(2016-17b)'!I25+'(2016-17b)'!J25+'(2016-17c)'!F24+'(2016-17d)'!F24</f>
        <v>0</v>
      </c>
      <c r="H24" s="8"/>
      <c r="I24" s="8"/>
      <c r="J24" s="8"/>
      <c r="K24" s="8"/>
    </row>
    <row r="25" spans="1:11" x14ac:dyDescent="0.3">
      <c r="A25" s="12">
        <v>70</v>
      </c>
      <c r="B25" s="13" t="s">
        <v>27</v>
      </c>
      <c r="C25" s="14">
        <f>'(2016-17b)'!C26+'(2016-17b)'!D26+'(2016-17c)'!C25+'(2016-17d)'!C25</f>
        <v>85</v>
      </c>
      <c r="D25" s="14">
        <f>'(2016-17b)'!E26+'(2016-17b)'!F26+'(2016-17c)'!D25+'(2016-17d)'!D25</f>
        <v>15</v>
      </c>
      <c r="E25" s="14">
        <f>'(2016-17b)'!G26+'(2016-17b)'!H26+'(2016-17c)'!E25+'(2016-17d)'!E25</f>
        <v>4</v>
      </c>
      <c r="F25" s="14">
        <f>'(2016-17b)'!I26+'(2016-17b)'!J26+'(2016-17c)'!F25+'(2016-17d)'!F25</f>
        <v>0</v>
      </c>
      <c r="H25" s="8"/>
      <c r="I25" s="8"/>
      <c r="J25" s="8"/>
      <c r="K25" s="8"/>
    </row>
    <row r="26" spans="1:11" x14ac:dyDescent="0.3">
      <c r="A26" s="12">
        <v>71</v>
      </c>
      <c r="B26" s="16" t="s">
        <v>28</v>
      </c>
      <c r="C26" s="14">
        <f>'(2016-17b)'!C27+'(2016-17b)'!D27+'(2016-17c)'!C26+'(2016-17d)'!C26</f>
        <v>8</v>
      </c>
      <c r="D26" s="14">
        <f>'(2016-17b)'!E27+'(2016-17b)'!F27+'(2016-17c)'!D26+'(2016-17d)'!D26</f>
        <v>1</v>
      </c>
      <c r="E26" s="14">
        <f>'(2016-17b)'!G27+'(2016-17b)'!H27+'(2016-17c)'!E26+'(2016-17d)'!E26</f>
        <v>0</v>
      </c>
      <c r="F26" s="14">
        <f>'(2016-17b)'!I27+'(2016-17b)'!J27+'(2016-17c)'!F26+'(2016-17d)'!F26</f>
        <v>0</v>
      </c>
      <c r="H26" s="8"/>
      <c r="I26" s="8"/>
      <c r="J26" s="8"/>
      <c r="K26" s="8"/>
    </row>
    <row r="27" spans="1:11" x14ac:dyDescent="0.3">
      <c r="A27" s="12">
        <v>73</v>
      </c>
      <c r="B27" s="13" t="s">
        <v>29</v>
      </c>
      <c r="C27" s="14">
        <f>'(2016-17b)'!C28+'(2016-17b)'!D28+'(2016-17c)'!C27+'(2016-17d)'!C27</f>
        <v>59</v>
      </c>
      <c r="D27" s="14">
        <f>'(2016-17b)'!E28+'(2016-17b)'!F28+'(2016-17c)'!D27+'(2016-17d)'!D27</f>
        <v>15</v>
      </c>
      <c r="E27" s="14">
        <f>'(2016-17b)'!G28+'(2016-17b)'!H28+'(2016-17c)'!E27+'(2016-17d)'!E27</f>
        <v>2</v>
      </c>
      <c r="F27" s="14">
        <f>'(2016-17b)'!I28+'(2016-17b)'!J28+'(2016-17c)'!F27+'(2016-17d)'!F27</f>
        <v>0</v>
      </c>
      <c r="H27" s="8"/>
      <c r="I27" s="8"/>
      <c r="J27" s="8"/>
      <c r="K27" s="8"/>
    </row>
    <row r="28" spans="1:11" x14ac:dyDescent="0.3">
      <c r="A28" s="12">
        <v>74</v>
      </c>
      <c r="B28" s="13" t="s">
        <v>30</v>
      </c>
      <c r="C28" s="14">
        <f>'(2016-17b)'!C29+'(2016-17b)'!D29+'(2016-17c)'!C28+'(2016-17d)'!C28</f>
        <v>53</v>
      </c>
      <c r="D28" s="14">
        <f>'(2016-17b)'!E29+'(2016-17b)'!F29+'(2016-17c)'!D28+'(2016-17d)'!D28</f>
        <v>19</v>
      </c>
      <c r="E28" s="14">
        <f>'(2016-17b)'!G29+'(2016-17b)'!H29+'(2016-17c)'!E28+'(2016-17d)'!E28</f>
        <v>1</v>
      </c>
      <c r="F28" s="14">
        <f>'(2016-17b)'!I29+'(2016-17b)'!J29+'(2016-17c)'!F28+'(2016-17d)'!F28</f>
        <v>0</v>
      </c>
      <c r="H28" s="8"/>
      <c r="I28" s="8"/>
      <c r="J28" s="8"/>
      <c r="K28" s="8"/>
    </row>
    <row r="29" spans="1:11" x14ac:dyDescent="0.3">
      <c r="A29" s="12">
        <v>75</v>
      </c>
      <c r="B29" s="13" t="s">
        <v>31</v>
      </c>
      <c r="C29" s="14">
        <f>'(2016-17b)'!C30+'(2016-17b)'!D30+'(2016-17c)'!C29+'(2016-17d)'!C29</f>
        <v>62</v>
      </c>
      <c r="D29" s="14">
        <f>'(2016-17b)'!E30+'(2016-17b)'!F30+'(2016-17c)'!D29+'(2016-17d)'!D29</f>
        <v>24</v>
      </c>
      <c r="E29" s="14">
        <f>'(2016-17b)'!G30+'(2016-17b)'!H30+'(2016-17c)'!E29+'(2016-17d)'!E29</f>
        <v>15</v>
      </c>
      <c r="F29" s="14">
        <f>'(2016-17b)'!I30+'(2016-17b)'!J30+'(2016-17c)'!F29+'(2016-17d)'!F29</f>
        <v>0</v>
      </c>
      <c r="H29" s="8"/>
      <c r="I29" s="8"/>
      <c r="J29" s="8"/>
      <c r="K29" s="8"/>
    </row>
    <row r="30" spans="1:11" x14ac:dyDescent="0.3">
      <c r="A30" s="12">
        <v>76</v>
      </c>
      <c r="B30" s="13" t="s">
        <v>32</v>
      </c>
      <c r="C30" s="14">
        <f>'(2016-17b)'!C31+'(2016-17b)'!D31+'(2016-17c)'!C30+'(2016-17d)'!C30</f>
        <v>51</v>
      </c>
      <c r="D30" s="14">
        <f>'(2016-17b)'!E31+'(2016-17b)'!F31+'(2016-17c)'!D30+'(2016-17d)'!D30</f>
        <v>12</v>
      </c>
      <c r="E30" s="14">
        <f>'(2016-17b)'!G31+'(2016-17b)'!H31+'(2016-17c)'!E30+'(2016-17d)'!E30</f>
        <v>0</v>
      </c>
      <c r="F30" s="14">
        <f>'(2016-17b)'!I31+'(2016-17b)'!J31+'(2016-17c)'!F30+'(2016-17d)'!F30</f>
        <v>0</v>
      </c>
      <c r="H30" s="8"/>
      <c r="I30" s="8"/>
      <c r="J30" s="8"/>
      <c r="K30" s="8"/>
    </row>
    <row r="31" spans="1:11" x14ac:dyDescent="0.3">
      <c r="A31" s="12">
        <v>79</v>
      </c>
      <c r="B31" s="13" t="s">
        <v>33</v>
      </c>
      <c r="C31" s="14">
        <f>'(2016-17b)'!C32+'(2016-17b)'!D32+'(2016-17c)'!C31+'(2016-17d)'!C31</f>
        <v>83</v>
      </c>
      <c r="D31" s="14">
        <f>'(2016-17b)'!E32+'(2016-17b)'!F32+'(2016-17c)'!D31+'(2016-17d)'!D31</f>
        <v>4</v>
      </c>
      <c r="E31" s="14">
        <f>'(2016-17b)'!G32+'(2016-17b)'!H32+'(2016-17c)'!E31+'(2016-17d)'!E31</f>
        <v>1</v>
      </c>
      <c r="F31" s="14">
        <f>'(2016-17b)'!I32+'(2016-17b)'!J32+'(2016-17c)'!F31+'(2016-17d)'!F31</f>
        <v>0</v>
      </c>
      <c r="H31" s="8"/>
      <c r="I31" s="8"/>
      <c r="J31" s="8"/>
      <c r="K31" s="8"/>
    </row>
    <row r="32" spans="1:11" x14ac:dyDescent="0.3">
      <c r="A32" s="12">
        <v>80</v>
      </c>
      <c r="B32" s="13" t="s">
        <v>34</v>
      </c>
      <c r="C32" s="14">
        <f>'(2016-17b)'!C33+'(2016-17b)'!D33+'(2016-17c)'!C32+'(2016-17d)'!C32</f>
        <v>61</v>
      </c>
      <c r="D32" s="14">
        <f>'(2016-17b)'!E33+'(2016-17b)'!F33+'(2016-17c)'!D32+'(2016-17d)'!D32</f>
        <v>10</v>
      </c>
      <c r="E32" s="14">
        <f>'(2016-17b)'!G33+'(2016-17b)'!H33+'(2016-17c)'!E32+'(2016-17d)'!E32</f>
        <v>6</v>
      </c>
      <c r="F32" s="14">
        <f>'(2016-17b)'!I33+'(2016-17b)'!J33+'(2016-17c)'!F32+'(2016-17d)'!F32</f>
        <v>0</v>
      </c>
      <c r="H32" s="8"/>
      <c r="I32" s="8"/>
      <c r="J32" s="8"/>
      <c r="K32" s="8"/>
    </row>
    <row r="33" spans="1:11" x14ac:dyDescent="0.3">
      <c r="A33" s="12">
        <v>81</v>
      </c>
      <c r="B33" s="13" t="s">
        <v>35</v>
      </c>
      <c r="C33" s="14">
        <f>'(2016-17b)'!C34+'(2016-17b)'!D34+'(2016-17c)'!C33+'(2016-17d)'!C33</f>
        <v>47</v>
      </c>
      <c r="D33" s="14">
        <f>'(2016-17b)'!E34+'(2016-17b)'!F34+'(2016-17c)'!D33+'(2016-17d)'!D33</f>
        <v>9</v>
      </c>
      <c r="E33" s="14">
        <f>'(2016-17b)'!G34+'(2016-17b)'!H34+'(2016-17c)'!E33+'(2016-17d)'!E33</f>
        <v>0</v>
      </c>
      <c r="F33" s="14">
        <f>'(2016-17b)'!I34+'(2016-17b)'!J34+'(2016-17c)'!F33+'(2016-17d)'!F33</f>
        <v>0</v>
      </c>
      <c r="H33" s="8"/>
      <c r="I33" s="8"/>
      <c r="J33" s="8"/>
      <c r="K33" s="8"/>
    </row>
    <row r="34" spans="1:11" x14ac:dyDescent="0.3">
      <c r="A34" s="12">
        <v>83</v>
      </c>
      <c r="B34" s="13" t="s">
        <v>36</v>
      </c>
      <c r="C34" s="14">
        <f>'(2016-17b)'!C35+'(2016-17b)'!D35+'(2016-17c)'!C34+'(2016-17d)'!C34</f>
        <v>21</v>
      </c>
      <c r="D34" s="14">
        <f>'(2016-17b)'!E35+'(2016-17b)'!F35+'(2016-17c)'!D34+'(2016-17d)'!D34</f>
        <v>0</v>
      </c>
      <c r="E34" s="14">
        <f>'(2016-17b)'!G35+'(2016-17b)'!H35+'(2016-17c)'!E34+'(2016-17d)'!E34</f>
        <v>1</v>
      </c>
      <c r="F34" s="14">
        <f>'(2016-17b)'!I35+'(2016-17b)'!J35+'(2016-17c)'!F34+'(2016-17d)'!F34</f>
        <v>0</v>
      </c>
      <c r="H34" s="8"/>
      <c r="I34" s="8"/>
      <c r="J34" s="8"/>
      <c r="K34" s="8"/>
    </row>
    <row r="35" spans="1:11" x14ac:dyDescent="0.3">
      <c r="A35" s="12">
        <v>84</v>
      </c>
      <c r="B35" s="13" t="s">
        <v>37</v>
      </c>
      <c r="C35" s="14">
        <f>'(2016-17b)'!C36+'(2016-17b)'!D36+'(2016-17c)'!C35+'(2016-17d)'!C35</f>
        <v>23</v>
      </c>
      <c r="D35" s="14">
        <f>'(2016-17b)'!E36+'(2016-17b)'!F36+'(2016-17c)'!D35+'(2016-17d)'!D35</f>
        <v>3</v>
      </c>
      <c r="E35" s="14">
        <f>'(2016-17b)'!G36+'(2016-17b)'!H36+'(2016-17c)'!E35+'(2016-17d)'!E35</f>
        <v>0</v>
      </c>
      <c r="F35" s="14">
        <f>'(2016-17b)'!I36+'(2016-17b)'!J36+'(2016-17c)'!F35+'(2016-17d)'!F35</f>
        <v>0</v>
      </c>
      <c r="H35" s="8"/>
      <c r="I35" s="8"/>
      <c r="J35" s="8"/>
      <c r="K35" s="8"/>
    </row>
    <row r="36" spans="1:11" x14ac:dyDescent="0.3">
      <c r="A36" s="12">
        <v>85</v>
      </c>
      <c r="B36" s="13" t="s">
        <v>38</v>
      </c>
      <c r="C36" s="14">
        <f>'(2016-17b)'!C37+'(2016-17b)'!D37+'(2016-17c)'!C36+'(2016-17d)'!C36</f>
        <v>42</v>
      </c>
      <c r="D36" s="14">
        <f>'(2016-17b)'!E37+'(2016-17b)'!F37+'(2016-17c)'!D36+'(2016-17d)'!D36</f>
        <v>6</v>
      </c>
      <c r="E36" s="14">
        <f>'(2016-17b)'!G37+'(2016-17b)'!H37+'(2016-17c)'!E36+'(2016-17d)'!E36</f>
        <v>0</v>
      </c>
      <c r="F36" s="14">
        <f>'(2016-17b)'!I37+'(2016-17b)'!J37+'(2016-17c)'!F36+'(2016-17d)'!F36</f>
        <v>0</v>
      </c>
      <c r="H36" s="8"/>
      <c r="I36" s="8"/>
      <c r="J36" s="8"/>
      <c r="K36" s="8"/>
    </row>
    <row r="37" spans="1:11" x14ac:dyDescent="0.3">
      <c r="A37" s="12">
        <v>87</v>
      </c>
      <c r="B37" s="13" t="s">
        <v>39</v>
      </c>
      <c r="C37" s="14">
        <f>'(2016-17b)'!C38+'(2016-17b)'!D38+'(2016-17c)'!C37+'(2016-17d)'!C37</f>
        <v>32</v>
      </c>
      <c r="D37" s="14">
        <f>'(2016-17b)'!E38+'(2016-17b)'!F38+'(2016-17c)'!D37+'(2016-17d)'!D37</f>
        <v>4</v>
      </c>
      <c r="E37" s="14">
        <f>'(2016-17b)'!G38+'(2016-17b)'!H38+'(2016-17c)'!E37+'(2016-17d)'!E37</f>
        <v>2</v>
      </c>
      <c r="F37" s="14">
        <f>'(2016-17b)'!I38+'(2016-17b)'!J38+'(2016-17c)'!F37+'(2016-17d)'!F37</f>
        <v>0</v>
      </c>
      <c r="H37" s="8"/>
      <c r="I37" s="8"/>
      <c r="J37" s="8"/>
      <c r="K37" s="8"/>
    </row>
    <row r="38" spans="1:11" x14ac:dyDescent="0.3">
      <c r="A38" s="12">
        <v>90</v>
      </c>
      <c r="B38" s="13" t="s">
        <v>40</v>
      </c>
      <c r="C38" s="14">
        <f>'(2016-17b)'!C39+'(2016-17b)'!D39+'(2016-17c)'!C38+'(2016-17d)'!C38</f>
        <v>49</v>
      </c>
      <c r="D38" s="14">
        <f>'(2016-17b)'!E39+'(2016-17b)'!F39+'(2016-17c)'!D38+'(2016-17d)'!D38</f>
        <v>6</v>
      </c>
      <c r="E38" s="14">
        <f>'(2016-17b)'!G39+'(2016-17b)'!H39+'(2016-17c)'!E38+'(2016-17d)'!E38</f>
        <v>1</v>
      </c>
      <c r="F38" s="14">
        <f>'(2016-17b)'!I39+'(2016-17b)'!J39+'(2016-17c)'!F38+'(2016-17d)'!F38</f>
        <v>0</v>
      </c>
      <c r="H38" s="8"/>
      <c r="I38" s="8"/>
      <c r="J38" s="8"/>
      <c r="K38" s="8"/>
    </row>
    <row r="39" spans="1:11" x14ac:dyDescent="0.3">
      <c r="A39" s="12">
        <v>91</v>
      </c>
      <c r="B39" s="13" t="s">
        <v>41</v>
      </c>
      <c r="C39" s="14">
        <f>'(2016-17b)'!C40+'(2016-17b)'!D40+'(2016-17c)'!C39+'(2016-17d)'!C39</f>
        <v>55</v>
      </c>
      <c r="D39" s="14">
        <f>'(2016-17b)'!E40+'(2016-17b)'!F40+'(2016-17c)'!D39+'(2016-17d)'!D39</f>
        <v>9</v>
      </c>
      <c r="E39" s="14">
        <f>'(2016-17b)'!G40+'(2016-17b)'!H40+'(2016-17c)'!E39+'(2016-17d)'!E39</f>
        <v>0</v>
      </c>
      <c r="F39" s="14">
        <f>'(2016-17b)'!I40+'(2016-17b)'!J40+'(2016-17c)'!F39+'(2016-17d)'!F39</f>
        <v>0</v>
      </c>
      <c r="H39" s="8"/>
      <c r="I39" s="8"/>
      <c r="J39" s="8"/>
      <c r="K39" s="8"/>
    </row>
    <row r="40" spans="1:11" x14ac:dyDescent="0.3">
      <c r="A40" s="12">
        <v>92</v>
      </c>
      <c r="B40" s="13" t="s">
        <v>42</v>
      </c>
      <c r="C40" s="14">
        <f>'(2016-17b)'!C41+'(2016-17b)'!D41+'(2016-17c)'!C40+'(2016-17d)'!C40</f>
        <v>49</v>
      </c>
      <c r="D40" s="14">
        <f>'(2016-17b)'!E41+'(2016-17b)'!F41+'(2016-17c)'!D40+'(2016-17d)'!D40</f>
        <v>8</v>
      </c>
      <c r="E40" s="14">
        <f>'(2016-17b)'!G41+'(2016-17b)'!H41+'(2016-17c)'!E40+'(2016-17d)'!E40</f>
        <v>0</v>
      </c>
      <c r="F40" s="14">
        <f>'(2016-17b)'!I41+'(2016-17b)'!J41+'(2016-17c)'!F40+'(2016-17d)'!F40</f>
        <v>0</v>
      </c>
      <c r="H40" s="8"/>
      <c r="I40" s="8"/>
      <c r="J40" s="8"/>
      <c r="K40" s="8"/>
    </row>
    <row r="41" spans="1:11" x14ac:dyDescent="0.3">
      <c r="A41" s="12">
        <v>94</v>
      </c>
      <c r="B41" s="13" t="s">
        <v>43</v>
      </c>
      <c r="C41" s="14">
        <f>'(2016-17b)'!C42+'(2016-17b)'!D42+'(2016-17c)'!C41+'(2016-17d)'!C41</f>
        <v>34</v>
      </c>
      <c r="D41" s="14">
        <f>'(2016-17b)'!E42+'(2016-17b)'!F42+'(2016-17c)'!D41+'(2016-17d)'!D41</f>
        <v>3</v>
      </c>
      <c r="E41" s="14">
        <f>'(2016-17b)'!G42+'(2016-17b)'!H42+'(2016-17c)'!E41+'(2016-17d)'!E41</f>
        <v>0</v>
      </c>
      <c r="F41" s="14">
        <f>'(2016-17b)'!I42+'(2016-17b)'!J42+'(2016-17c)'!F41+'(2016-17d)'!F41</f>
        <v>0</v>
      </c>
      <c r="H41" s="8"/>
      <c r="I41" s="8"/>
      <c r="J41" s="8"/>
      <c r="K41" s="8"/>
    </row>
    <row r="42" spans="1:11" x14ac:dyDescent="0.3">
      <c r="A42" s="12">
        <v>96</v>
      </c>
      <c r="B42" s="13" t="s">
        <v>44</v>
      </c>
      <c r="C42" s="14">
        <f>'(2016-17b)'!C43+'(2016-17b)'!D43+'(2016-17c)'!C42+'(2016-17d)'!C42</f>
        <v>33</v>
      </c>
      <c r="D42" s="14">
        <f>'(2016-17b)'!E43+'(2016-17b)'!F43+'(2016-17c)'!D42+'(2016-17d)'!D42</f>
        <v>1</v>
      </c>
      <c r="E42" s="14">
        <f>'(2016-17b)'!G43+'(2016-17b)'!H43+'(2016-17c)'!E42+'(2016-17d)'!E42</f>
        <v>0</v>
      </c>
      <c r="F42" s="14">
        <f>'(2016-17b)'!I43+'(2016-17b)'!J43+'(2016-17c)'!F42+'(2016-17d)'!F42</f>
        <v>0</v>
      </c>
      <c r="H42" s="8"/>
      <c r="I42" s="8"/>
      <c r="J42" s="8"/>
      <c r="K42" s="8"/>
    </row>
    <row r="43" spans="1:11" x14ac:dyDescent="0.3">
      <c r="A43" s="12">
        <v>72</v>
      </c>
      <c r="B43" s="16" t="s">
        <v>46</v>
      </c>
      <c r="C43" s="14">
        <f>'(2016-17b)'!C44+'(2016-17b)'!D44+'(2016-17c)'!C43+'(2016-17d)'!C43</f>
        <v>0</v>
      </c>
      <c r="D43" s="14">
        <f>'(2016-17b)'!E44+'(2016-17b)'!F44+'(2016-17c)'!D43+'(2016-17d)'!D43</f>
        <v>0</v>
      </c>
      <c r="E43" s="14">
        <f>'(2016-17b)'!G44+'(2016-17b)'!H44+'(2016-17c)'!E43+'(2016-17d)'!E43</f>
        <v>0</v>
      </c>
      <c r="F43" s="14">
        <f>'(2016-17b)'!I44+'(2016-17b)'!J44+'(2016-17c)'!F43+'(2016-17d)'!F43</f>
        <v>0</v>
      </c>
      <c r="H43" s="8"/>
      <c r="I43" s="8"/>
      <c r="J43" s="8"/>
      <c r="K43" s="8"/>
    </row>
    <row r="44" spans="1:11" s="11" customFormat="1" ht="25.5" customHeight="1" x14ac:dyDescent="0.3">
      <c r="B44" s="6" t="s">
        <v>47</v>
      </c>
      <c r="C44" s="18">
        <f>SUM(C45:C51)</f>
        <v>649</v>
      </c>
      <c r="D44" s="18">
        <f>SUM(D45:D51)</f>
        <v>153</v>
      </c>
      <c r="E44" s="18">
        <f>SUM(E45:E51)</f>
        <v>69</v>
      </c>
      <c r="F44" s="18">
        <f>SUM(F45:F51)</f>
        <v>0</v>
      </c>
      <c r="H44" s="8"/>
      <c r="I44" s="8"/>
      <c r="J44" s="8"/>
      <c r="K44" s="8"/>
    </row>
    <row r="45" spans="1:11" ht="12.75" customHeight="1" x14ac:dyDescent="0.3">
      <c r="A45" s="12">
        <v>66</v>
      </c>
      <c r="B45" s="19" t="s">
        <v>48</v>
      </c>
      <c r="C45" s="14">
        <f>'(2016-17b)'!C46+'(2016-17b)'!D46+'(2016-17c)'!C45+'(2016-17d)'!C45</f>
        <v>66</v>
      </c>
      <c r="D45" s="14">
        <f>'(2016-17b)'!E46+'(2016-17b)'!F46+'(2016-17c)'!D45+'(2016-17d)'!D45</f>
        <v>8</v>
      </c>
      <c r="E45" s="14">
        <f>'(2016-17b)'!G46+'(2016-17b)'!H46+'(2016-17c)'!E45+'(2016-17d)'!E45</f>
        <v>4</v>
      </c>
      <c r="F45" s="14">
        <f>'(2016-17b)'!I46+'(2016-17b)'!J46+'(2016-17c)'!F45+'(2016-17d)'!F45</f>
        <v>0</v>
      </c>
      <c r="H45" s="8"/>
      <c r="I45" s="8"/>
      <c r="J45" s="8"/>
      <c r="K45" s="8"/>
    </row>
    <row r="46" spans="1:11" ht="12.75" customHeight="1" x14ac:dyDescent="0.3">
      <c r="A46" s="12">
        <v>78</v>
      </c>
      <c r="B46" s="13" t="s">
        <v>49</v>
      </c>
      <c r="C46" s="14">
        <f>'(2016-17b)'!C47+'(2016-17b)'!D47+'(2016-17c)'!C46+'(2016-17d)'!C46</f>
        <v>43</v>
      </c>
      <c r="D46" s="14">
        <f>'(2016-17b)'!E47+'(2016-17b)'!F47+'(2016-17c)'!D46+'(2016-17d)'!D46</f>
        <v>9</v>
      </c>
      <c r="E46" s="14">
        <f>'(2016-17b)'!G47+'(2016-17b)'!H47+'(2016-17c)'!E46+'(2016-17d)'!E46</f>
        <v>1</v>
      </c>
      <c r="F46" s="14">
        <f>'(2016-17b)'!I47+'(2016-17b)'!J47+'(2016-17c)'!F46+'(2016-17d)'!F46</f>
        <v>0</v>
      </c>
      <c r="H46" s="8"/>
      <c r="I46" s="8"/>
      <c r="J46" s="8"/>
      <c r="K46" s="8"/>
    </row>
    <row r="47" spans="1:11" ht="12.75" customHeight="1" x14ac:dyDescent="0.3">
      <c r="A47" s="12">
        <v>89</v>
      </c>
      <c r="B47" s="13" t="s">
        <v>50</v>
      </c>
      <c r="C47" s="14">
        <f>'(2016-17b)'!C48+'(2016-17b)'!D48+'(2016-17c)'!C47+'(2016-17d)'!C47</f>
        <v>53</v>
      </c>
      <c r="D47" s="14">
        <f>'(2016-17b)'!E48+'(2016-17b)'!F48+'(2016-17c)'!D47+'(2016-17d)'!D47</f>
        <v>6</v>
      </c>
      <c r="E47" s="14">
        <f>'(2016-17b)'!G48+'(2016-17b)'!H48+'(2016-17c)'!E47+'(2016-17d)'!E47</f>
        <v>10</v>
      </c>
      <c r="F47" s="14">
        <f>'(2016-17b)'!I48+'(2016-17b)'!J48+'(2016-17c)'!F47+'(2016-17d)'!F47</f>
        <v>0</v>
      </c>
      <c r="H47" s="8"/>
      <c r="I47" s="8"/>
      <c r="J47" s="8"/>
      <c r="K47" s="8"/>
    </row>
    <row r="48" spans="1:11" ht="12.75" customHeight="1" x14ac:dyDescent="0.3">
      <c r="A48" s="12">
        <v>93</v>
      </c>
      <c r="B48" s="13" t="s">
        <v>51</v>
      </c>
      <c r="C48" s="14">
        <f>'(2016-17b)'!C49+'(2016-17b)'!D49+'(2016-17c)'!C48+'(2016-17d)'!C48</f>
        <v>27</v>
      </c>
      <c r="D48" s="14">
        <f>'(2016-17b)'!E49+'(2016-17b)'!F49+'(2016-17c)'!D48+'(2016-17d)'!D48</f>
        <v>6</v>
      </c>
      <c r="E48" s="14">
        <f>'(2016-17b)'!G49+'(2016-17b)'!H49+'(2016-17c)'!E48+'(2016-17d)'!E48</f>
        <v>0</v>
      </c>
      <c r="F48" s="14">
        <f>'(2016-17b)'!I49+'(2016-17b)'!J49+'(2016-17c)'!F48+'(2016-17d)'!F48</f>
        <v>0</v>
      </c>
      <c r="H48" s="8"/>
      <c r="I48" s="8"/>
      <c r="J48" s="8"/>
      <c r="K48" s="8"/>
    </row>
    <row r="49" spans="1:11" ht="12.75" customHeight="1" x14ac:dyDescent="0.3">
      <c r="A49" s="12">
        <v>95</v>
      </c>
      <c r="B49" s="13" t="s">
        <v>52</v>
      </c>
      <c r="C49" s="14">
        <f>'(2016-17b)'!C50+'(2016-17b)'!D50+'(2016-17c)'!C49+'(2016-17d)'!C49</f>
        <v>99</v>
      </c>
      <c r="D49" s="14">
        <f>'(2016-17b)'!E50+'(2016-17b)'!F50+'(2016-17c)'!D49+'(2016-17d)'!D49</f>
        <v>11</v>
      </c>
      <c r="E49" s="14">
        <f>'(2016-17b)'!G50+'(2016-17b)'!H50+'(2016-17c)'!E49+'(2016-17d)'!E49</f>
        <v>0</v>
      </c>
      <c r="F49" s="14">
        <f>'(2016-17b)'!I50+'(2016-17b)'!J50+'(2016-17c)'!F49+'(2016-17d)'!F49</f>
        <v>0</v>
      </c>
      <c r="H49" s="8"/>
      <c r="I49" s="8"/>
      <c r="J49" s="8"/>
      <c r="K49" s="8"/>
    </row>
    <row r="50" spans="1:11" ht="12.75" customHeight="1" x14ac:dyDescent="0.3">
      <c r="A50" s="12">
        <v>97</v>
      </c>
      <c r="B50" s="13" t="s">
        <v>53</v>
      </c>
      <c r="C50" s="14">
        <f>'(2016-17b)'!C51+'(2016-17b)'!D51+'(2016-17c)'!C50+'(2016-17d)'!C50</f>
        <v>136</v>
      </c>
      <c r="D50" s="14">
        <f>'(2016-17b)'!E51+'(2016-17b)'!F51+'(2016-17c)'!D50+'(2016-17d)'!D50</f>
        <v>21</v>
      </c>
      <c r="E50" s="14">
        <f>'(2016-17b)'!G51+'(2016-17b)'!H51+'(2016-17c)'!E50+'(2016-17d)'!E50</f>
        <v>6</v>
      </c>
      <c r="F50" s="14">
        <f>'(2016-17b)'!I51+'(2016-17b)'!J51+'(2016-17c)'!F50+'(2016-17d)'!F50</f>
        <v>0</v>
      </c>
      <c r="H50" s="8"/>
      <c r="I50" s="8"/>
      <c r="J50" s="8"/>
      <c r="K50" s="8"/>
    </row>
    <row r="51" spans="1:11" ht="12.75" customHeight="1" x14ac:dyDescent="0.3">
      <c r="A51" s="12">
        <v>77</v>
      </c>
      <c r="B51" s="20" t="s">
        <v>54</v>
      </c>
      <c r="C51" s="14">
        <f>'(2016-17b)'!C52+'(2016-17b)'!D52+'(2016-17c)'!C51+'(2016-17d)'!C51</f>
        <v>225</v>
      </c>
      <c r="D51" s="14">
        <f>'(2016-17b)'!E52+'(2016-17b)'!F52+'(2016-17c)'!D51+'(2016-17d)'!D51</f>
        <v>92</v>
      </c>
      <c r="E51" s="14">
        <f>'(2016-17b)'!G52+'(2016-17b)'!H52+'(2016-17c)'!E51+'(2016-17d)'!E51</f>
        <v>48</v>
      </c>
      <c r="F51" s="14">
        <f>'(2016-17b)'!I52+'(2016-17b)'!J52+'(2016-17c)'!F51+'(2016-17d)'!F51</f>
        <v>0</v>
      </c>
      <c r="H51" s="8"/>
      <c r="I51" s="8"/>
      <c r="J51" s="8"/>
      <c r="K51" s="8"/>
    </row>
    <row r="53" spans="1:11" ht="12.75" customHeight="1" x14ac:dyDescent="0.3">
      <c r="B53" s="12" t="s">
        <v>55</v>
      </c>
      <c r="C53" s="22"/>
    </row>
    <row r="54" spans="1:11" ht="12.75" customHeight="1" x14ac:dyDescent="0.3">
      <c r="B54" s="291" t="s">
        <v>56</v>
      </c>
      <c r="C54" s="292"/>
      <c r="D54" s="292"/>
      <c r="E54" s="292"/>
      <c r="F54" s="292"/>
    </row>
    <row r="55" spans="1:11" ht="12.75" customHeight="1" x14ac:dyDescent="0.3">
      <c r="B55" s="292"/>
      <c r="C55" s="292"/>
      <c r="D55" s="292"/>
      <c r="E55" s="292"/>
      <c r="F55" s="292"/>
    </row>
    <row r="56" spans="1:11" ht="12.75" customHeight="1" x14ac:dyDescent="0.3">
      <c r="B56" s="292"/>
      <c r="C56" s="292"/>
      <c r="D56" s="292"/>
      <c r="E56" s="292"/>
      <c r="F56" s="292"/>
    </row>
    <row r="57" spans="1:11" ht="12.75" customHeight="1" x14ac:dyDescent="0.3">
      <c r="B57" s="292"/>
      <c r="C57" s="292"/>
      <c r="D57" s="292"/>
      <c r="E57" s="292"/>
      <c r="F57" s="292"/>
    </row>
    <row r="58" spans="1:11" ht="12.75" customHeight="1" x14ac:dyDescent="0.3">
      <c r="B58" s="292"/>
      <c r="C58" s="292"/>
      <c r="D58" s="292"/>
      <c r="E58" s="292"/>
      <c r="F58" s="292"/>
    </row>
    <row r="59" spans="1:11" ht="12.75" customHeight="1" x14ac:dyDescent="0.3">
      <c r="B59" s="292"/>
      <c r="C59" s="292"/>
      <c r="D59" s="292"/>
      <c r="E59" s="292"/>
      <c r="F59" s="292"/>
    </row>
    <row r="60" spans="1:11" ht="39" customHeight="1" x14ac:dyDescent="0.3">
      <c r="B60" s="292"/>
      <c r="C60" s="292"/>
      <c r="D60" s="292"/>
      <c r="E60" s="292"/>
      <c r="F60" s="292"/>
    </row>
    <row r="61" spans="1:11" ht="12.75" customHeight="1" x14ac:dyDescent="0.3">
      <c r="B61" s="23"/>
      <c r="C61" s="23"/>
      <c r="D61" s="23"/>
      <c r="E61" s="23"/>
      <c r="F61" s="23"/>
    </row>
    <row r="62" spans="1:11" ht="12.75" customHeight="1" x14ac:dyDescent="0.3">
      <c r="B62" s="24" t="s">
        <v>57</v>
      </c>
      <c r="C62" s="25"/>
      <c r="D62" s="25"/>
      <c r="E62" s="25"/>
    </row>
    <row r="63" spans="1:11" x14ac:dyDescent="0.3">
      <c r="B63" s="26"/>
      <c r="C63" s="25"/>
      <c r="D63" s="25"/>
      <c r="E63" s="25"/>
    </row>
    <row r="64" spans="1:11" x14ac:dyDescent="0.3">
      <c r="C64" s="25"/>
      <c r="D64" s="25"/>
      <c r="E64" s="25"/>
    </row>
    <row r="65" spans="2:5" x14ac:dyDescent="0.3">
      <c r="B65" s="27"/>
      <c r="C65" s="25"/>
      <c r="D65" s="25"/>
      <c r="E65" s="25"/>
    </row>
    <row r="66" spans="2:5" x14ac:dyDescent="0.3">
      <c r="C66" s="25"/>
      <c r="D66" s="25"/>
      <c r="E66" s="25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22"/>
  </sheetPr>
  <dimension ref="B1:J64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9.26953125" style="122"/>
    <col min="2" max="2" width="24.7265625" style="122" customWidth="1"/>
    <col min="3" max="3" width="18" style="122" customWidth="1"/>
    <col min="4" max="4" width="18.453125" style="122" customWidth="1"/>
    <col min="5" max="5" width="13.7265625" style="122" customWidth="1"/>
    <col min="6" max="6" width="14" style="122" customWidth="1"/>
    <col min="7" max="257" width="9.26953125" style="122"/>
    <col min="258" max="258" width="24.7265625" style="122" customWidth="1"/>
    <col min="259" max="259" width="18" style="122" customWidth="1"/>
    <col min="260" max="260" width="18.453125" style="122" customWidth="1"/>
    <col min="261" max="261" width="13.7265625" style="122" customWidth="1"/>
    <col min="262" max="262" width="14" style="122" customWidth="1"/>
    <col min="263" max="513" width="9.26953125" style="122"/>
    <col min="514" max="514" width="24.7265625" style="122" customWidth="1"/>
    <col min="515" max="515" width="18" style="122" customWidth="1"/>
    <col min="516" max="516" width="18.453125" style="122" customWidth="1"/>
    <col min="517" max="517" width="13.7265625" style="122" customWidth="1"/>
    <col min="518" max="518" width="14" style="122" customWidth="1"/>
    <col min="519" max="769" width="9.26953125" style="122"/>
    <col min="770" max="770" width="24.7265625" style="122" customWidth="1"/>
    <col min="771" max="771" width="18" style="122" customWidth="1"/>
    <col min="772" max="772" width="18.453125" style="122" customWidth="1"/>
    <col min="773" max="773" width="13.7265625" style="122" customWidth="1"/>
    <col min="774" max="774" width="14" style="122" customWidth="1"/>
    <col min="775" max="1025" width="9.26953125" style="122"/>
    <col min="1026" max="1026" width="24.7265625" style="122" customWidth="1"/>
    <col min="1027" max="1027" width="18" style="122" customWidth="1"/>
    <col min="1028" max="1028" width="18.453125" style="122" customWidth="1"/>
    <col min="1029" max="1029" width="13.7265625" style="122" customWidth="1"/>
    <col min="1030" max="1030" width="14" style="122" customWidth="1"/>
    <col min="1031" max="1281" width="9.26953125" style="122"/>
    <col min="1282" max="1282" width="24.7265625" style="122" customWidth="1"/>
    <col min="1283" max="1283" width="18" style="122" customWidth="1"/>
    <col min="1284" max="1284" width="18.453125" style="122" customWidth="1"/>
    <col min="1285" max="1285" width="13.7265625" style="122" customWidth="1"/>
    <col min="1286" max="1286" width="14" style="122" customWidth="1"/>
    <col min="1287" max="1537" width="9.26953125" style="122"/>
    <col min="1538" max="1538" width="24.7265625" style="122" customWidth="1"/>
    <col min="1539" max="1539" width="18" style="122" customWidth="1"/>
    <col min="1540" max="1540" width="18.453125" style="122" customWidth="1"/>
    <col min="1541" max="1541" width="13.7265625" style="122" customWidth="1"/>
    <col min="1542" max="1542" width="14" style="122" customWidth="1"/>
    <col min="1543" max="1793" width="9.26953125" style="122"/>
    <col min="1794" max="1794" width="24.7265625" style="122" customWidth="1"/>
    <col min="1795" max="1795" width="18" style="122" customWidth="1"/>
    <col min="1796" max="1796" width="18.453125" style="122" customWidth="1"/>
    <col min="1797" max="1797" width="13.7265625" style="122" customWidth="1"/>
    <col min="1798" max="1798" width="14" style="122" customWidth="1"/>
    <col min="1799" max="2049" width="9.26953125" style="122"/>
    <col min="2050" max="2050" width="24.7265625" style="122" customWidth="1"/>
    <col min="2051" max="2051" width="18" style="122" customWidth="1"/>
    <col min="2052" max="2052" width="18.453125" style="122" customWidth="1"/>
    <col min="2053" max="2053" width="13.7265625" style="122" customWidth="1"/>
    <col min="2054" max="2054" width="14" style="122" customWidth="1"/>
    <col min="2055" max="2305" width="9.26953125" style="122"/>
    <col min="2306" max="2306" width="24.7265625" style="122" customWidth="1"/>
    <col min="2307" max="2307" width="18" style="122" customWidth="1"/>
    <col min="2308" max="2308" width="18.453125" style="122" customWidth="1"/>
    <col min="2309" max="2309" width="13.7265625" style="122" customWidth="1"/>
    <col min="2310" max="2310" width="14" style="122" customWidth="1"/>
    <col min="2311" max="2561" width="9.26953125" style="122"/>
    <col min="2562" max="2562" width="24.7265625" style="122" customWidth="1"/>
    <col min="2563" max="2563" width="18" style="122" customWidth="1"/>
    <col min="2564" max="2564" width="18.453125" style="122" customWidth="1"/>
    <col min="2565" max="2565" width="13.7265625" style="122" customWidth="1"/>
    <col min="2566" max="2566" width="14" style="122" customWidth="1"/>
    <col min="2567" max="2817" width="9.26953125" style="122"/>
    <col min="2818" max="2818" width="24.7265625" style="122" customWidth="1"/>
    <col min="2819" max="2819" width="18" style="122" customWidth="1"/>
    <col min="2820" max="2820" width="18.453125" style="122" customWidth="1"/>
    <col min="2821" max="2821" width="13.7265625" style="122" customWidth="1"/>
    <col min="2822" max="2822" width="14" style="122" customWidth="1"/>
    <col min="2823" max="3073" width="9.26953125" style="122"/>
    <col min="3074" max="3074" width="24.7265625" style="122" customWidth="1"/>
    <col min="3075" max="3075" width="18" style="122" customWidth="1"/>
    <col min="3076" max="3076" width="18.453125" style="122" customWidth="1"/>
    <col min="3077" max="3077" width="13.7265625" style="122" customWidth="1"/>
    <col min="3078" max="3078" width="14" style="122" customWidth="1"/>
    <col min="3079" max="3329" width="9.26953125" style="122"/>
    <col min="3330" max="3330" width="24.7265625" style="122" customWidth="1"/>
    <col min="3331" max="3331" width="18" style="122" customWidth="1"/>
    <col min="3332" max="3332" width="18.453125" style="122" customWidth="1"/>
    <col min="3333" max="3333" width="13.7265625" style="122" customWidth="1"/>
    <col min="3334" max="3334" width="14" style="122" customWidth="1"/>
    <col min="3335" max="3585" width="9.26953125" style="122"/>
    <col min="3586" max="3586" width="24.7265625" style="122" customWidth="1"/>
    <col min="3587" max="3587" width="18" style="122" customWidth="1"/>
    <col min="3588" max="3588" width="18.453125" style="122" customWidth="1"/>
    <col min="3589" max="3589" width="13.7265625" style="122" customWidth="1"/>
    <col min="3590" max="3590" width="14" style="122" customWidth="1"/>
    <col min="3591" max="3841" width="9.26953125" style="122"/>
    <col min="3842" max="3842" width="24.7265625" style="122" customWidth="1"/>
    <col min="3843" max="3843" width="18" style="122" customWidth="1"/>
    <col min="3844" max="3844" width="18.453125" style="122" customWidth="1"/>
    <col min="3845" max="3845" width="13.7265625" style="122" customWidth="1"/>
    <col min="3846" max="3846" width="14" style="122" customWidth="1"/>
    <col min="3847" max="4097" width="9.26953125" style="122"/>
    <col min="4098" max="4098" width="24.7265625" style="122" customWidth="1"/>
    <col min="4099" max="4099" width="18" style="122" customWidth="1"/>
    <col min="4100" max="4100" width="18.453125" style="122" customWidth="1"/>
    <col min="4101" max="4101" width="13.7265625" style="122" customWidth="1"/>
    <col min="4102" max="4102" width="14" style="122" customWidth="1"/>
    <col min="4103" max="4353" width="9.26953125" style="122"/>
    <col min="4354" max="4354" width="24.7265625" style="122" customWidth="1"/>
    <col min="4355" max="4355" width="18" style="122" customWidth="1"/>
    <col min="4356" max="4356" width="18.453125" style="122" customWidth="1"/>
    <col min="4357" max="4357" width="13.7265625" style="122" customWidth="1"/>
    <col min="4358" max="4358" width="14" style="122" customWidth="1"/>
    <col min="4359" max="4609" width="9.26953125" style="122"/>
    <col min="4610" max="4610" width="24.7265625" style="122" customWidth="1"/>
    <col min="4611" max="4611" width="18" style="122" customWidth="1"/>
    <col min="4612" max="4612" width="18.453125" style="122" customWidth="1"/>
    <col min="4613" max="4613" width="13.7265625" style="122" customWidth="1"/>
    <col min="4614" max="4614" width="14" style="122" customWidth="1"/>
    <col min="4615" max="4865" width="9.26953125" style="122"/>
    <col min="4866" max="4866" width="24.7265625" style="122" customWidth="1"/>
    <col min="4867" max="4867" width="18" style="122" customWidth="1"/>
    <col min="4868" max="4868" width="18.453125" style="122" customWidth="1"/>
    <col min="4869" max="4869" width="13.7265625" style="122" customWidth="1"/>
    <col min="4870" max="4870" width="14" style="122" customWidth="1"/>
    <col min="4871" max="5121" width="9.26953125" style="122"/>
    <col min="5122" max="5122" width="24.7265625" style="122" customWidth="1"/>
    <col min="5123" max="5123" width="18" style="122" customWidth="1"/>
    <col min="5124" max="5124" width="18.453125" style="122" customWidth="1"/>
    <col min="5125" max="5125" width="13.7265625" style="122" customWidth="1"/>
    <col min="5126" max="5126" width="14" style="122" customWidth="1"/>
    <col min="5127" max="5377" width="9.26953125" style="122"/>
    <col min="5378" max="5378" width="24.7265625" style="122" customWidth="1"/>
    <col min="5379" max="5379" width="18" style="122" customWidth="1"/>
    <col min="5380" max="5380" width="18.453125" style="122" customWidth="1"/>
    <col min="5381" max="5381" width="13.7265625" style="122" customWidth="1"/>
    <col min="5382" max="5382" width="14" style="122" customWidth="1"/>
    <col min="5383" max="5633" width="9.26953125" style="122"/>
    <col min="5634" max="5634" width="24.7265625" style="122" customWidth="1"/>
    <col min="5635" max="5635" width="18" style="122" customWidth="1"/>
    <col min="5636" max="5636" width="18.453125" style="122" customWidth="1"/>
    <col min="5637" max="5637" width="13.7265625" style="122" customWidth="1"/>
    <col min="5638" max="5638" width="14" style="122" customWidth="1"/>
    <col min="5639" max="5889" width="9.26953125" style="122"/>
    <col min="5890" max="5890" width="24.7265625" style="122" customWidth="1"/>
    <col min="5891" max="5891" width="18" style="122" customWidth="1"/>
    <col min="5892" max="5892" width="18.453125" style="122" customWidth="1"/>
    <col min="5893" max="5893" width="13.7265625" style="122" customWidth="1"/>
    <col min="5894" max="5894" width="14" style="122" customWidth="1"/>
    <col min="5895" max="6145" width="9.26953125" style="122"/>
    <col min="6146" max="6146" width="24.7265625" style="122" customWidth="1"/>
    <col min="6147" max="6147" width="18" style="122" customWidth="1"/>
    <col min="6148" max="6148" width="18.453125" style="122" customWidth="1"/>
    <col min="6149" max="6149" width="13.7265625" style="122" customWidth="1"/>
    <col min="6150" max="6150" width="14" style="122" customWidth="1"/>
    <col min="6151" max="6401" width="9.26953125" style="122"/>
    <col min="6402" max="6402" width="24.7265625" style="122" customWidth="1"/>
    <col min="6403" max="6403" width="18" style="122" customWidth="1"/>
    <col min="6404" max="6404" width="18.453125" style="122" customWidth="1"/>
    <col min="6405" max="6405" width="13.7265625" style="122" customWidth="1"/>
    <col min="6406" max="6406" width="14" style="122" customWidth="1"/>
    <col min="6407" max="6657" width="9.26953125" style="122"/>
    <col min="6658" max="6658" width="24.7265625" style="122" customWidth="1"/>
    <col min="6659" max="6659" width="18" style="122" customWidth="1"/>
    <col min="6660" max="6660" width="18.453125" style="122" customWidth="1"/>
    <col min="6661" max="6661" width="13.7265625" style="122" customWidth="1"/>
    <col min="6662" max="6662" width="14" style="122" customWidth="1"/>
    <col min="6663" max="6913" width="9.26953125" style="122"/>
    <col min="6914" max="6914" width="24.7265625" style="122" customWidth="1"/>
    <col min="6915" max="6915" width="18" style="122" customWidth="1"/>
    <col min="6916" max="6916" width="18.453125" style="122" customWidth="1"/>
    <col min="6917" max="6917" width="13.7265625" style="122" customWidth="1"/>
    <col min="6918" max="6918" width="14" style="122" customWidth="1"/>
    <col min="6919" max="7169" width="9.26953125" style="122"/>
    <col min="7170" max="7170" width="24.7265625" style="122" customWidth="1"/>
    <col min="7171" max="7171" width="18" style="122" customWidth="1"/>
    <col min="7172" max="7172" width="18.453125" style="122" customWidth="1"/>
    <col min="7173" max="7173" width="13.7265625" style="122" customWidth="1"/>
    <col min="7174" max="7174" width="14" style="122" customWidth="1"/>
    <col min="7175" max="7425" width="9.26953125" style="122"/>
    <col min="7426" max="7426" width="24.7265625" style="122" customWidth="1"/>
    <col min="7427" max="7427" width="18" style="122" customWidth="1"/>
    <col min="7428" max="7428" width="18.453125" style="122" customWidth="1"/>
    <col min="7429" max="7429" width="13.7265625" style="122" customWidth="1"/>
    <col min="7430" max="7430" width="14" style="122" customWidth="1"/>
    <col min="7431" max="7681" width="9.26953125" style="122"/>
    <col min="7682" max="7682" width="24.7265625" style="122" customWidth="1"/>
    <col min="7683" max="7683" width="18" style="122" customWidth="1"/>
    <col min="7684" max="7684" width="18.453125" style="122" customWidth="1"/>
    <col min="7685" max="7685" width="13.7265625" style="122" customWidth="1"/>
    <col min="7686" max="7686" width="14" style="122" customWidth="1"/>
    <col min="7687" max="7937" width="9.26953125" style="122"/>
    <col min="7938" max="7938" width="24.7265625" style="122" customWidth="1"/>
    <col min="7939" max="7939" width="18" style="122" customWidth="1"/>
    <col min="7940" max="7940" width="18.453125" style="122" customWidth="1"/>
    <col min="7941" max="7941" width="13.7265625" style="122" customWidth="1"/>
    <col min="7942" max="7942" width="14" style="122" customWidth="1"/>
    <col min="7943" max="8193" width="9.26953125" style="122"/>
    <col min="8194" max="8194" width="24.7265625" style="122" customWidth="1"/>
    <col min="8195" max="8195" width="18" style="122" customWidth="1"/>
    <col min="8196" max="8196" width="18.453125" style="122" customWidth="1"/>
    <col min="8197" max="8197" width="13.7265625" style="122" customWidth="1"/>
    <col min="8198" max="8198" width="14" style="122" customWidth="1"/>
    <col min="8199" max="8449" width="9.26953125" style="122"/>
    <col min="8450" max="8450" width="24.7265625" style="122" customWidth="1"/>
    <col min="8451" max="8451" width="18" style="122" customWidth="1"/>
    <col min="8452" max="8452" width="18.453125" style="122" customWidth="1"/>
    <col min="8453" max="8453" width="13.7265625" style="122" customWidth="1"/>
    <col min="8454" max="8454" width="14" style="122" customWidth="1"/>
    <col min="8455" max="8705" width="9.26953125" style="122"/>
    <col min="8706" max="8706" width="24.7265625" style="122" customWidth="1"/>
    <col min="8707" max="8707" width="18" style="122" customWidth="1"/>
    <col min="8708" max="8708" width="18.453125" style="122" customWidth="1"/>
    <col min="8709" max="8709" width="13.7265625" style="122" customWidth="1"/>
    <col min="8710" max="8710" width="14" style="122" customWidth="1"/>
    <col min="8711" max="8961" width="9.26953125" style="122"/>
    <col min="8962" max="8962" width="24.7265625" style="122" customWidth="1"/>
    <col min="8963" max="8963" width="18" style="122" customWidth="1"/>
    <col min="8964" max="8964" width="18.453125" style="122" customWidth="1"/>
    <col min="8965" max="8965" width="13.7265625" style="122" customWidth="1"/>
    <col min="8966" max="8966" width="14" style="122" customWidth="1"/>
    <col min="8967" max="9217" width="9.26953125" style="122"/>
    <col min="9218" max="9218" width="24.7265625" style="122" customWidth="1"/>
    <col min="9219" max="9219" width="18" style="122" customWidth="1"/>
    <col min="9220" max="9220" width="18.453125" style="122" customWidth="1"/>
    <col min="9221" max="9221" width="13.7265625" style="122" customWidth="1"/>
    <col min="9222" max="9222" width="14" style="122" customWidth="1"/>
    <col min="9223" max="9473" width="9.26953125" style="122"/>
    <col min="9474" max="9474" width="24.7265625" style="122" customWidth="1"/>
    <col min="9475" max="9475" width="18" style="122" customWidth="1"/>
    <col min="9476" max="9476" width="18.453125" style="122" customWidth="1"/>
    <col min="9477" max="9477" width="13.7265625" style="122" customWidth="1"/>
    <col min="9478" max="9478" width="14" style="122" customWidth="1"/>
    <col min="9479" max="9729" width="9.26953125" style="122"/>
    <col min="9730" max="9730" width="24.7265625" style="122" customWidth="1"/>
    <col min="9731" max="9731" width="18" style="122" customWidth="1"/>
    <col min="9732" max="9732" width="18.453125" style="122" customWidth="1"/>
    <col min="9733" max="9733" width="13.7265625" style="122" customWidth="1"/>
    <col min="9734" max="9734" width="14" style="122" customWidth="1"/>
    <col min="9735" max="9985" width="9.26953125" style="122"/>
    <col min="9986" max="9986" width="24.7265625" style="122" customWidth="1"/>
    <col min="9987" max="9987" width="18" style="122" customWidth="1"/>
    <col min="9988" max="9988" width="18.453125" style="122" customWidth="1"/>
    <col min="9989" max="9989" width="13.7265625" style="122" customWidth="1"/>
    <col min="9990" max="9990" width="14" style="122" customWidth="1"/>
    <col min="9991" max="10241" width="9.26953125" style="122"/>
    <col min="10242" max="10242" width="24.7265625" style="122" customWidth="1"/>
    <col min="10243" max="10243" width="18" style="122" customWidth="1"/>
    <col min="10244" max="10244" width="18.453125" style="122" customWidth="1"/>
    <col min="10245" max="10245" width="13.7265625" style="122" customWidth="1"/>
    <col min="10246" max="10246" width="14" style="122" customWidth="1"/>
    <col min="10247" max="10497" width="9.26953125" style="122"/>
    <col min="10498" max="10498" width="24.7265625" style="122" customWidth="1"/>
    <col min="10499" max="10499" width="18" style="122" customWidth="1"/>
    <col min="10500" max="10500" width="18.453125" style="122" customWidth="1"/>
    <col min="10501" max="10501" width="13.7265625" style="122" customWidth="1"/>
    <col min="10502" max="10502" width="14" style="122" customWidth="1"/>
    <col min="10503" max="10753" width="9.26953125" style="122"/>
    <col min="10754" max="10754" width="24.7265625" style="122" customWidth="1"/>
    <col min="10755" max="10755" width="18" style="122" customWidth="1"/>
    <col min="10756" max="10756" width="18.453125" style="122" customWidth="1"/>
    <col min="10757" max="10757" width="13.7265625" style="122" customWidth="1"/>
    <col min="10758" max="10758" width="14" style="122" customWidth="1"/>
    <col min="10759" max="11009" width="9.26953125" style="122"/>
    <col min="11010" max="11010" width="24.7265625" style="122" customWidth="1"/>
    <col min="11011" max="11011" width="18" style="122" customWidth="1"/>
    <col min="11012" max="11012" width="18.453125" style="122" customWidth="1"/>
    <col min="11013" max="11013" width="13.7265625" style="122" customWidth="1"/>
    <col min="11014" max="11014" width="14" style="122" customWidth="1"/>
    <col min="11015" max="11265" width="9.26953125" style="122"/>
    <col min="11266" max="11266" width="24.7265625" style="122" customWidth="1"/>
    <col min="11267" max="11267" width="18" style="122" customWidth="1"/>
    <col min="11268" max="11268" width="18.453125" style="122" customWidth="1"/>
    <col min="11269" max="11269" width="13.7265625" style="122" customWidth="1"/>
    <col min="11270" max="11270" width="14" style="122" customWidth="1"/>
    <col min="11271" max="11521" width="9.26953125" style="122"/>
    <col min="11522" max="11522" width="24.7265625" style="122" customWidth="1"/>
    <col min="11523" max="11523" width="18" style="122" customWidth="1"/>
    <col min="11524" max="11524" width="18.453125" style="122" customWidth="1"/>
    <col min="11525" max="11525" width="13.7265625" style="122" customWidth="1"/>
    <col min="11526" max="11526" width="14" style="122" customWidth="1"/>
    <col min="11527" max="11777" width="9.26953125" style="122"/>
    <col min="11778" max="11778" width="24.7265625" style="122" customWidth="1"/>
    <col min="11779" max="11779" width="18" style="122" customWidth="1"/>
    <col min="11780" max="11780" width="18.453125" style="122" customWidth="1"/>
    <col min="11781" max="11781" width="13.7265625" style="122" customWidth="1"/>
    <col min="11782" max="11782" width="14" style="122" customWidth="1"/>
    <col min="11783" max="12033" width="9.26953125" style="122"/>
    <col min="12034" max="12034" width="24.7265625" style="122" customWidth="1"/>
    <col min="12035" max="12035" width="18" style="122" customWidth="1"/>
    <col min="12036" max="12036" width="18.453125" style="122" customWidth="1"/>
    <col min="12037" max="12037" width="13.7265625" style="122" customWidth="1"/>
    <col min="12038" max="12038" width="14" style="122" customWidth="1"/>
    <col min="12039" max="12289" width="9.26953125" style="122"/>
    <col min="12290" max="12290" width="24.7265625" style="122" customWidth="1"/>
    <col min="12291" max="12291" width="18" style="122" customWidth="1"/>
    <col min="12292" max="12292" width="18.453125" style="122" customWidth="1"/>
    <col min="12293" max="12293" width="13.7265625" style="122" customWidth="1"/>
    <col min="12294" max="12294" width="14" style="122" customWidth="1"/>
    <col min="12295" max="12545" width="9.26953125" style="122"/>
    <col min="12546" max="12546" width="24.7265625" style="122" customWidth="1"/>
    <col min="12547" max="12547" width="18" style="122" customWidth="1"/>
    <col min="12548" max="12548" width="18.453125" style="122" customWidth="1"/>
    <col min="12549" max="12549" width="13.7265625" style="122" customWidth="1"/>
    <col min="12550" max="12550" width="14" style="122" customWidth="1"/>
    <col min="12551" max="12801" width="9.26953125" style="122"/>
    <col min="12802" max="12802" width="24.7265625" style="122" customWidth="1"/>
    <col min="12803" max="12803" width="18" style="122" customWidth="1"/>
    <col min="12804" max="12804" width="18.453125" style="122" customWidth="1"/>
    <col min="12805" max="12805" width="13.7265625" style="122" customWidth="1"/>
    <col min="12806" max="12806" width="14" style="122" customWidth="1"/>
    <col min="12807" max="13057" width="9.26953125" style="122"/>
    <col min="13058" max="13058" width="24.7265625" style="122" customWidth="1"/>
    <col min="13059" max="13059" width="18" style="122" customWidth="1"/>
    <col min="13060" max="13060" width="18.453125" style="122" customWidth="1"/>
    <col min="13061" max="13061" width="13.7265625" style="122" customWidth="1"/>
    <col min="13062" max="13062" width="14" style="122" customWidth="1"/>
    <col min="13063" max="13313" width="9.26953125" style="122"/>
    <col min="13314" max="13314" width="24.7265625" style="122" customWidth="1"/>
    <col min="13315" max="13315" width="18" style="122" customWidth="1"/>
    <col min="13316" max="13316" width="18.453125" style="122" customWidth="1"/>
    <col min="13317" max="13317" width="13.7265625" style="122" customWidth="1"/>
    <col min="13318" max="13318" width="14" style="122" customWidth="1"/>
    <col min="13319" max="13569" width="9.26953125" style="122"/>
    <col min="13570" max="13570" width="24.7265625" style="122" customWidth="1"/>
    <col min="13571" max="13571" width="18" style="122" customWidth="1"/>
    <col min="13572" max="13572" width="18.453125" style="122" customWidth="1"/>
    <col min="13573" max="13573" width="13.7265625" style="122" customWidth="1"/>
    <col min="13574" max="13574" width="14" style="122" customWidth="1"/>
    <col min="13575" max="13825" width="9.26953125" style="122"/>
    <col min="13826" max="13826" width="24.7265625" style="122" customWidth="1"/>
    <col min="13827" max="13827" width="18" style="122" customWidth="1"/>
    <col min="13828" max="13828" width="18.453125" style="122" customWidth="1"/>
    <col min="13829" max="13829" width="13.7265625" style="122" customWidth="1"/>
    <col min="13830" max="13830" width="14" style="122" customWidth="1"/>
    <col min="13831" max="14081" width="9.26953125" style="122"/>
    <col min="14082" max="14082" width="24.7265625" style="122" customWidth="1"/>
    <col min="14083" max="14083" width="18" style="122" customWidth="1"/>
    <col min="14084" max="14084" width="18.453125" style="122" customWidth="1"/>
    <col min="14085" max="14085" width="13.7265625" style="122" customWidth="1"/>
    <col min="14086" max="14086" width="14" style="122" customWidth="1"/>
    <col min="14087" max="14337" width="9.26953125" style="122"/>
    <col min="14338" max="14338" width="24.7265625" style="122" customWidth="1"/>
    <col min="14339" max="14339" width="18" style="122" customWidth="1"/>
    <col min="14340" max="14340" width="18.453125" style="122" customWidth="1"/>
    <col min="14341" max="14341" width="13.7265625" style="122" customWidth="1"/>
    <col min="14342" max="14342" width="14" style="122" customWidth="1"/>
    <col min="14343" max="14593" width="9.26953125" style="122"/>
    <col min="14594" max="14594" width="24.7265625" style="122" customWidth="1"/>
    <col min="14595" max="14595" width="18" style="122" customWidth="1"/>
    <col min="14596" max="14596" width="18.453125" style="122" customWidth="1"/>
    <col min="14597" max="14597" width="13.7265625" style="122" customWidth="1"/>
    <col min="14598" max="14598" width="14" style="122" customWidth="1"/>
    <col min="14599" max="14849" width="9.26953125" style="122"/>
    <col min="14850" max="14850" width="24.7265625" style="122" customWidth="1"/>
    <col min="14851" max="14851" width="18" style="122" customWidth="1"/>
    <col min="14852" max="14852" width="18.453125" style="122" customWidth="1"/>
    <col min="14853" max="14853" width="13.7265625" style="122" customWidth="1"/>
    <col min="14854" max="14854" width="14" style="122" customWidth="1"/>
    <col min="14855" max="15105" width="9.26953125" style="122"/>
    <col min="15106" max="15106" width="24.7265625" style="122" customWidth="1"/>
    <col min="15107" max="15107" width="18" style="122" customWidth="1"/>
    <col min="15108" max="15108" width="18.453125" style="122" customWidth="1"/>
    <col min="15109" max="15109" width="13.7265625" style="122" customWidth="1"/>
    <col min="15110" max="15110" width="14" style="122" customWidth="1"/>
    <col min="15111" max="15361" width="9.26953125" style="122"/>
    <col min="15362" max="15362" width="24.7265625" style="122" customWidth="1"/>
    <col min="15363" max="15363" width="18" style="122" customWidth="1"/>
    <col min="15364" max="15364" width="18.453125" style="122" customWidth="1"/>
    <col min="15365" max="15365" width="13.7265625" style="122" customWidth="1"/>
    <col min="15366" max="15366" width="14" style="122" customWidth="1"/>
    <col min="15367" max="15617" width="9.26953125" style="122"/>
    <col min="15618" max="15618" width="24.7265625" style="122" customWidth="1"/>
    <col min="15619" max="15619" width="18" style="122" customWidth="1"/>
    <col min="15620" max="15620" width="18.453125" style="122" customWidth="1"/>
    <col min="15621" max="15621" width="13.7265625" style="122" customWidth="1"/>
    <col min="15622" max="15622" width="14" style="122" customWidth="1"/>
    <col min="15623" max="15873" width="9.26953125" style="122"/>
    <col min="15874" max="15874" width="24.7265625" style="122" customWidth="1"/>
    <col min="15875" max="15875" width="18" style="122" customWidth="1"/>
    <col min="15876" max="15876" width="18.453125" style="122" customWidth="1"/>
    <col min="15877" max="15877" width="13.7265625" style="122" customWidth="1"/>
    <col min="15878" max="15878" width="14" style="122" customWidth="1"/>
    <col min="15879" max="16129" width="9.26953125" style="122"/>
    <col min="16130" max="16130" width="24.7265625" style="122" customWidth="1"/>
    <col min="16131" max="16131" width="18" style="122" customWidth="1"/>
    <col min="16132" max="16132" width="18.453125" style="122" customWidth="1"/>
    <col min="16133" max="16133" width="13.7265625" style="122" customWidth="1"/>
    <col min="16134" max="16134" width="14" style="122" customWidth="1"/>
    <col min="16135" max="16384" width="9.26953125" style="122"/>
  </cols>
  <sheetData>
    <row r="1" spans="2:6" ht="48.75" customHeight="1" x14ac:dyDescent="0.3">
      <c r="B1" s="286" t="s">
        <v>114</v>
      </c>
      <c r="C1" s="286"/>
      <c r="D1" s="286"/>
      <c r="E1" s="286"/>
      <c r="F1" s="286"/>
    </row>
    <row r="2" spans="2:6" ht="15.75" customHeight="1" x14ac:dyDescent="0.3">
      <c r="B2" s="287"/>
      <c r="C2" s="297" t="s">
        <v>1</v>
      </c>
      <c r="D2" s="294" t="s">
        <v>2</v>
      </c>
      <c r="E2" s="294"/>
      <c r="F2" s="297" t="s">
        <v>5</v>
      </c>
    </row>
    <row r="3" spans="2:6" ht="34.5" customHeight="1" x14ac:dyDescent="0.3">
      <c r="B3" s="287"/>
      <c r="C3" s="289"/>
      <c r="D3" s="143" t="s">
        <v>3</v>
      </c>
      <c r="E3" s="143" t="s">
        <v>105</v>
      </c>
      <c r="F3" s="289"/>
    </row>
    <row r="4" spans="2:6" ht="23.25" customHeight="1" x14ac:dyDescent="0.3">
      <c r="B4" s="127" t="s">
        <v>6</v>
      </c>
      <c r="C4" s="159">
        <v>1348</v>
      </c>
      <c r="D4" s="159">
        <v>287</v>
      </c>
      <c r="E4" s="159">
        <v>29</v>
      </c>
      <c r="F4" s="159">
        <v>1</v>
      </c>
    </row>
    <row r="5" spans="2:6" s="127" customFormat="1" ht="25.5" customHeight="1" x14ac:dyDescent="0.3">
      <c r="B5" s="127" t="s">
        <v>7</v>
      </c>
      <c r="C5" s="168">
        <v>1014</v>
      </c>
      <c r="D5" s="168">
        <v>217</v>
      </c>
      <c r="E5" s="168">
        <v>26</v>
      </c>
      <c r="F5" s="168">
        <v>1</v>
      </c>
    </row>
    <row r="6" spans="2:6" x14ac:dyDescent="0.3">
      <c r="B6" s="122" t="s">
        <v>8</v>
      </c>
      <c r="C6" s="139">
        <v>54</v>
      </c>
      <c r="D6" s="139">
        <v>7</v>
      </c>
      <c r="E6" s="139">
        <v>0</v>
      </c>
      <c r="F6" s="139">
        <v>0</v>
      </c>
    </row>
    <row r="7" spans="2:6" x14ac:dyDescent="0.3">
      <c r="B7" s="122" t="s">
        <v>9</v>
      </c>
      <c r="C7" s="139">
        <v>79</v>
      </c>
      <c r="D7" s="139">
        <v>20</v>
      </c>
      <c r="E7" s="139">
        <v>0</v>
      </c>
      <c r="F7" s="139">
        <v>0</v>
      </c>
    </row>
    <row r="8" spans="2:6" x14ac:dyDescent="0.3">
      <c r="B8" s="122" t="s">
        <v>10</v>
      </c>
      <c r="C8" s="139">
        <v>20</v>
      </c>
      <c r="D8" s="148">
        <v>7</v>
      </c>
      <c r="E8" s="148">
        <v>1</v>
      </c>
      <c r="F8" s="139">
        <v>1</v>
      </c>
    </row>
    <row r="9" spans="2:6" x14ac:dyDescent="0.3">
      <c r="B9" s="122" t="s">
        <v>11</v>
      </c>
      <c r="C9" s="139">
        <v>18</v>
      </c>
      <c r="D9" s="139">
        <v>1</v>
      </c>
      <c r="E9" s="139">
        <v>0</v>
      </c>
      <c r="F9" s="139">
        <v>0</v>
      </c>
    </row>
    <row r="10" spans="2:6" x14ac:dyDescent="0.3">
      <c r="B10" s="122" t="s">
        <v>12</v>
      </c>
      <c r="C10" s="139">
        <v>39</v>
      </c>
      <c r="D10" s="139">
        <v>7</v>
      </c>
      <c r="E10" s="139">
        <v>0</v>
      </c>
      <c r="F10" s="139">
        <v>0</v>
      </c>
    </row>
    <row r="11" spans="2:6" x14ac:dyDescent="0.3">
      <c r="B11" s="122" t="s">
        <v>13</v>
      </c>
      <c r="C11" s="139">
        <v>2</v>
      </c>
      <c r="D11" s="139">
        <v>0</v>
      </c>
      <c r="E11" s="139">
        <v>0</v>
      </c>
      <c r="F11" s="139">
        <v>0</v>
      </c>
    </row>
    <row r="12" spans="2:6" x14ac:dyDescent="0.3">
      <c r="B12" s="122" t="s">
        <v>14</v>
      </c>
      <c r="C12" s="139">
        <v>5</v>
      </c>
      <c r="D12" s="139">
        <v>2</v>
      </c>
      <c r="E12" s="139">
        <v>0</v>
      </c>
      <c r="F12" s="139">
        <v>0</v>
      </c>
    </row>
    <row r="13" spans="2:6" x14ac:dyDescent="0.3">
      <c r="B13" s="122" t="s">
        <v>15</v>
      </c>
      <c r="C13" s="139">
        <v>31</v>
      </c>
      <c r="D13" s="139">
        <v>9</v>
      </c>
      <c r="E13" s="139">
        <v>0</v>
      </c>
      <c r="F13" s="139">
        <v>0</v>
      </c>
    </row>
    <row r="14" spans="2:6" x14ac:dyDescent="0.3">
      <c r="B14" s="122" t="s">
        <v>16</v>
      </c>
      <c r="C14" s="139">
        <v>4</v>
      </c>
      <c r="D14" s="139">
        <v>1</v>
      </c>
      <c r="E14" s="139">
        <v>0</v>
      </c>
      <c r="F14" s="139">
        <v>0</v>
      </c>
    </row>
    <row r="15" spans="2:6" x14ac:dyDescent="0.3">
      <c r="B15" s="122" t="s">
        <v>17</v>
      </c>
      <c r="C15" s="139">
        <v>19</v>
      </c>
      <c r="D15" s="139">
        <v>3</v>
      </c>
      <c r="E15" s="139">
        <v>0</v>
      </c>
      <c r="F15" s="139">
        <v>0</v>
      </c>
    </row>
    <row r="16" spans="2:6" x14ac:dyDescent="0.3">
      <c r="B16" s="149" t="s">
        <v>18</v>
      </c>
      <c r="C16" s="139">
        <v>75</v>
      </c>
      <c r="D16" s="139">
        <v>10</v>
      </c>
      <c r="E16" s="139">
        <v>0</v>
      </c>
      <c r="F16" s="139">
        <v>0</v>
      </c>
    </row>
    <row r="17" spans="2:6" s="181" customFormat="1" x14ac:dyDescent="0.3">
      <c r="B17" s="130" t="s">
        <v>122</v>
      </c>
      <c r="C17" s="163">
        <v>41</v>
      </c>
      <c r="D17" s="163">
        <v>4</v>
      </c>
      <c r="E17" s="163">
        <v>0</v>
      </c>
      <c r="F17" s="163">
        <v>0</v>
      </c>
    </row>
    <row r="18" spans="2:6" x14ac:dyDescent="0.3">
      <c r="B18" s="122" t="s">
        <v>20</v>
      </c>
      <c r="C18" s="139">
        <v>3</v>
      </c>
      <c r="D18" s="139">
        <v>0</v>
      </c>
      <c r="E18" s="139">
        <v>0</v>
      </c>
      <c r="F18" s="139">
        <v>0</v>
      </c>
    </row>
    <row r="19" spans="2:6" x14ac:dyDescent="0.3">
      <c r="B19" s="122" t="s">
        <v>21</v>
      </c>
      <c r="C19" s="139">
        <v>32</v>
      </c>
      <c r="D19" s="139">
        <v>3</v>
      </c>
      <c r="E19" s="139">
        <v>1</v>
      </c>
      <c r="F19" s="139">
        <v>0</v>
      </c>
    </row>
    <row r="20" spans="2:6" x14ac:dyDescent="0.3">
      <c r="B20" s="122" t="s">
        <v>22</v>
      </c>
      <c r="C20" s="139">
        <v>46</v>
      </c>
      <c r="D20" s="139">
        <v>12</v>
      </c>
      <c r="E20" s="139">
        <v>1</v>
      </c>
      <c r="F20" s="139">
        <v>0</v>
      </c>
    </row>
    <row r="21" spans="2:6" x14ac:dyDescent="0.3">
      <c r="B21" s="122" t="s">
        <v>23</v>
      </c>
      <c r="C21" s="139">
        <v>41</v>
      </c>
      <c r="D21" s="139">
        <v>7</v>
      </c>
      <c r="E21" s="139">
        <v>1</v>
      </c>
      <c r="F21" s="139">
        <v>0</v>
      </c>
    </row>
    <row r="22" spans="2:6" ht="14.5" x14ac:dyDescent="0.3">
      <c r="B22" s="122" t="s">
        <v>106</v>
      </c>
      <c r="C22" s="139">
        <v>37</v>
      </c>
      <c r="D22" s="139">
        <v>13</v>
      </c>
      <c r="E22" s="165">
        <v>12</v>
      </c>
      <c r="F22" s="139">
        <v>0</v>
      </c>
    </row>
    <row r="23" spans="2:6" x14ac:dyDescent="0.3">
      <c r="B23" s="122" t="s">
        <v>25</v>
      </c>
      <c r="C23" s="139">
        <v>38</v>
      </c>
      <c r="D23" s="139">
        <v>9</v>
      </c>
      <c r="E23" s="139">
        <v>1</v>
      </c>
      <c r="F23" s="139">
        <v>0</v>
      </c>
    </row>
    <row r="24" spans="2:6" x14ac:dyDescent="0.3">
      <c r="B24" s="122" t="s">
        <v>26</v>
      </c>
      <c r="C24" s="139">
        <v>35</v>
      </c>
      <c r="D24" s="139">
        <v>16</v>
      </c>
      <c r="E24" s="139">
        <v>3</v>
      </c>
      <c r="F24" s="139">
        <v>0</v>
      </c>
    </row>
    <row r="25" spans="2:6" x14ac:dyDescent="0.3">
      <c r="B25" s="122" t="s">
        <v>27</v>
      </c>
      <c r="C25" s="139">
        <v>30</v>
      </c>
      <c r="D25" s="139">
        <v>5</v>
      </c>
      <c r="E25" s="139">
        <v>1</v>
      </c>
      <c r="F25" s="139">
        <v>0</v>
      </c>
    </row>
    <row r="26" spans="2:6" x14ac:dyDescent="0.3">
      <c r="B26" s="150" t="s">
        <v>28</v>
      </c>
      <c r="C26" s="139">
        <v>4</v>
      </c>
      <c r="D26" s="139">
        <v>0</v>
      </c>
      <c r="E26" s="139">
        <v>0</v>
      </c>
      <c r="F26" s="139">
        <v>0</v>
      </c>
    </row>
    <row r="27" spans="2:6" x14ac:dyDescent="0.3">
      <c r="B27" s="122" t="s">
        <v>29</v>
      </c>
      <c r="C27" s="139">
        <v>45</v>
      </c>
      <c r="D27" s="148">
        <v>8</v>
      </c>
      <c r="E27" s="148">
        <v>0</v>
      </c>
      <c r="F27" s="139">
        <v>0</v>
      </c>
    </row>
    <row r="28" spans="2:6" x14ac:dyDescent="0.3">
      <c r="B28" s="122" t="s">
        <v>30</v>
      </c>
      <c r="C28" s="139">
        <v>27</v>
      </c>
      <c r="D28" s="148">
        <v>9</v>
      </c>
      <c r="E28" s="148">
        <v>1</v>
      </c>
      <c r="F28" s="139">
        <v>0</v>
      </c>
    </row>
    <row r="29" spans="2:6" x14ac:dyDescent="0.3">
      <c r="B29" s="122" t="s">
        <v>31</v>
      </c>
      <c r="C29" s="139">
        <v>12</v>
      </c>
      <c r="D29" s="148">
        <v>3</v>
      </c>
      <c r="E29" s="148">
        <v>1</v>
      </c>
      <c r="F29" s="139">
        <v>0</v>
      </c>
    </row>
    <row r="30" spans="2:6" x14ac:dyDescent="0.3">
      <c r="B30" s="122" t="s">
        <v>32</v>
      </c>
      <c r="C30" s="139">
        <v>14</v>
      </c>
      <c r="D30" s="148">
        <v>6</v>
      </c>
      <c r="E30" s="148">
        <v>0</v>
      </c>
      <c r="F30" s="139">
        <v>0</v>
      </c>
    </row>
    <row r="31" spans="2:6" x14ac:dyDescent="0.3">
      <c r="B31" s="122" t="s">
        <v>33</v>
      </c>
      <c r="C31" s="139">
        <v>28</v>
      </c>
      <c r="D31" s="148">
        <v>10</v>
      </c>
      <c r="E31" s="148">
        <v>0</v>
      </c>
      <c r="F31" s="139">
        <v>0</v>
      </c>
    </row>
    <row r="32" spans="2:6" x14ac:dyDescent="0.3">
      <c r="B32" s="122" t="s">
        <v>34</v>
      </c>
      <c r="C32" s="139">
        <v>21</v>
      </c>
      <c r="D32" s="148">
        <v>4</v>
      </c>
      <c r="E32" s="148">
        <v>1</v>
      </c>
      <c r="F32" s="139">
        <v>0</v>
      </c>
    </row>
    <row r="33" spans="2:10" x14ac:dyDescent="0.3">
      <c r="B33" s="122" t="s">
        <v>35</v>
      </c>
      <c r="C33" s="139">
        <v>23</v>
      </c>
      <c r="D33" s="148">
        <v>6</v>
      </c>
      <c r="E33" s="148">
        <v>0</v>
      </c>
      <c r="F33" s="139">
        <v>0</v>
      </c>
    </row>
    <row r="34" spans="2:10" x14ac:dyDescent="0.3">
      <c r="B34" s="122" t="s">
        <v>36</v>
      </c>
      <c r="C34" s="139">
        <v>10</v>
      </c>
      <c r="D34" s="148">
        <v>0</v>
      </c>
      <c r="E34" s="148">
        <v>0</v>
      </c>
      <c r="F34" s="139">
        <v>0</v>
      </c>
    </row>
    <row r="35" spans="2:10" x14ac:dyDescent="0.3">
      <c r="B35" s="122" t="s">
        <v>37</v>
      </c>
      <c r="C35" s="139">
        <v>26</v>
      </c>
      <c r="D35" s="148">
        <v>7</v>
      </c>
      <c r="E35" s="148">
        <v>0</v>
      </c>
      <c r="F35" s="139">
        <v>0</v>
      </c>
    </row>
    <row r="36" spans="2:10" ht="14" x14ac:dyDescent="0.3">
      <c r="B36" s="122" t="s">
        <v>38</v>
      </c>
      <c r="C36" s="139">
        <v>41</v>
      </c>
      <c r="D36" s="148">
        <v>11</v>
      </c>
      <c r="E36" s="148">
        <v>0</v>
      </c>
      <c r="F36" s="139">
        <v>0</v>
      </c>
      <c r="G36" s="127"/>
    </row>
    <row r="37" spans="2:10" ht="14" x14ac:dyDescent="0.3">
      <c r="B37" s="122" t="s">
        <v>39</v>
      </c>
      <c r="C37" s="139">
        <v>10</v>
      </c>
      <c r="D37" s="148">
        <v>2</v>
      </c>
      <c r="E37" s="148">
        <v>1</v>
      </c>
      <c r="F37" s="139">
        <v>0</v>
      </c>
      <c r="H37" s="127"/>
      <c r="I37" s="127"/>
    </row>
    <row r="38" spans="2:10" x14ac:dyDescent="0.3">
      <c r="B38" s="122" t="s">
        <v>40</v>
      </c>
      <c r="C38" s="139">
        <v>19</v>
      </c>
      <c r="D38" s="148">
        <v>6</v>
      </c>
      <c r="E38" s="148">
        <v>0</v>
      </c>
      <c r="F38" s="139">
        <v>0</v>
      </c>
    </row>
    <row r="39" spans="2:10" x14ac:dyDescent="0.3">
      <c r="B39" s="122" t="s">
        <v>41</v>
      </c>
      <c r="C39" s="139">
        <v>22</v>
      </c>
      <c r="D39" s="148">
        <v>2</v>
      </c>
      <c r="E39" s="148">
        <v>0</v>
      </c>
      <c r="F39" s="139">
        <v>0</v>
      </c>
    </row>
    <row r="40" spans="2:10" x14ac:dyDescent="0.3">
      <c r="B40" s="122" t="s">
        <v>42</v>
      </c>
      <c r="C40" s="139">
        <v>30</v>
      </c>
      <c r="D40" s="148">
        <v>3</v>
      </c>
      <c r="E40" s="148">
        <v>0</v>
      </c>
      <c r="F40" s="139">
        <v>0</v>
      </c>
    </row>
    <row r="41" spans="2:10" x14ac:dyDescent="0.3">
      <c r="B41" s="122" t="s">
        <v>43</v>
      </c>
      <c r="C41" s="139">
        <v>17</v>
      </c>
      <c r="D41" s="148">
        <v>2</v>
      </c>
      <c r="E41" s="148">
        <v>0</v>
      </c>
      <c r="F41" s="139">
        <v>0</v>
      </c>
    </row>
    <row r="42" spans="2:10" ht="14" x14ac:dyDescent="0.3">
      <c r="B42" s="122" t="s">
        <v>44</v>
      </c>
      <c r="C42" s="139">
        <v>15</v>
      </c>
      <c r="D42" s="148">
        <v>2</v>
      </c>
      <c r="E42" s="148">
        <v>1</v>
      </c>
      <c r="F42" s="139">
        <v>0</v>
      </c>
      <c r="J42" s="127"/>
    </row>
    <row r="43" spans="2:10" x14ac:dyDescent="0.3">
      <c r="B43" s="150" t="s">
        <v>46</v>
      </c>
      <c r="C43" s="148">
        <v>1</v>
      </c>
      <c r="D43" s="148">
        <v>0</v>
      </c>
      <c r="E43" s="148">
        <v>0</v>
      </c>
      <c r="F43" s="139">
        <v>0</v>
      </c>
    </row>
    <row r="44" spans="2:10" s="127" customFormat="1" ht="25.5" customHeight="1" x14ac:dyDescent="0.3">
      <c r="B44" s="127" t="s">
        <v>47</v>
      </c>
      <c r="C44" s="153">
        <v>334</v>
      </c>
      <c r="D44" s="153">
        <v>70</v>
      </c>
      <c r="E44" s="153">
        <v>3</v>
      </c>
      <c r="F44" s="153">
        <v>0</v>
      </c>
    </row>
    <row r="45" spans="2:10" x14ac:dyDescent="0.3">
      <c r="B45" s="122" t="s">
        <v>48</v>
      </c>
      <c r="C45" s="139">
        <v>28</v>
      </c>
      <c r="D45" s="139">
        <v>7</v>
      </c>
      <c r="E45" s="139">
        <v>0</v>
      </c>
      <c r="F45" s="139">
        <v>0</v>
      </c>
    </row>
    <row r="46" spans="2:10" x14ac:dyDescent="0.3">
      <c r="B46" s="122" t="s">
        <v>49</v>
      </c>
      <c r="C46" s="139">
        <v>20</v>
      </c>
      <c r="D46" s="139">
        <v>3</v>
      </c>
      <c r="E46" s="139">
        <v>0</v>
      </c>
      <c r="F46" s="139">
        <v>0</v>
      </c>
    </row>
    <row r="47" spans="2:10" x14ac:dyDescent="0.3">
      <c r="B47" s="122" t="s">
        <v>50</v>
      </c>
      <c r="C47" s="139">
        <v>28</v>
      </c>
      <c r="D47" s="139">
        <v>4</v>
      </c>
      <c r="E47" s="139">
        <v>0</v>
      </c>
      <c r="F47" s="139">
        <v>0</v>
      </c>
    </row>
    <row r="48" spans="2:10" x14ac:dyDescent="0.3">
      <c r="B48" s="122" t="s">
        <v>51</v>
      </c>
      <c r="C48" s="139">
        <v>26</v>
      </c>
      <c r="D48" s="139">
        <v>9</v>
      </c>
      <c r="E48" s="139">
        <v>1</v>
      </c>
      <c r="F48" s="139">
        <v>0</v>
      </c>
    </row>
    <row r="49" spans="2:6" x14ac:dyDescent="0.3">
      <c r="B49" s="122" t="s">
        <v>52</v>
      </c>
      <c r="C49" s="139">
        <v>39</v>
      </c>
      <c r="D49" s="139">
        <v>3</v>
      </c>
      <c r="E49" s="139">
        <v>0</v>
      </c>
      <c r="F49" s="139">
        <v>0</v>
      </c>
    </row>
    <row r="50" spans="2:6" x14ac:dyDescent="0.3">
      <c r="B50" s="122" t="s">
        <v>53</v>
      </c>
      <c r="C50" s="165">
        <v>59</v>
      </c>
      <c r="D50" s="139">
        <v>8</v>
      </c>
      <c r="E50" s="139">
        <v>2</v>
      </c>
      <c r="F50" s="139">
        <v>0</v>
      </c>
    </row>
    <row r="51" spans="2:6" x14ac:dyDescent="0.3">
      <c r="B51" s="154" t="s">
        <v>54</v>
      </c>
      <c r="C51" s="169">
        <v>134</v>
      </c>
      <c r="D51" s="169">
        <v>36</v>
      </c>
      <c r="E51" s="169">
        <v>0</v>
      </c>
      <c r="F51" s="169">
        <v>0</v>
      </c>
    </row>
    <row r="52" spans="2:6" x14ac:dyDescent="0.3">
      <c r="C52" s="139"/>
      <c r="D52" s="170"/>
      <c r="E52" s="139"/>
      <c r="F52" s="139"/>
    </row>
    <row r="53" spans="2:6" ht="13.5" customHeight="1" x14ac:dyDescent="0.3">
      <c r="B53" s="12" t="s">
        <v>55</v>
      </c>
    </row>
    <row r="54" spans="2:6" ht="13.5" customHeight="1" x14ac:dyDescent="0.3">
      <c r="B54" s="122" t="s">
        <v>107</v>
      </c>
    </row>
    <row r="55" spans="2:6" ht="14.25" customHeight="1" x14ac:dyDescent="0.3">
      <c r="B55" s="291" t="s">
        <v>108</v>
      </c>
      <c r="C55" s="292"/>
      <c r="D55" s="292"/>
      <c r="E55" s="292"/>
      <c r="F55" s="292"/>
    </row>
    <row r="56" spans="2:6" ht="15" customHeight="1" x14ac:dyDescent="0.3">
      <c r="B56" s="292"/>
      <c r="C56" s="292"/>
      <c r="D56" s="292"/>
      <c r="E56" s="292"/>
      <c r="F56" s="292"/>
    </row>
    <row r="57" spans="2:6" ht="13.5" customHeight="1" x14ac:dyDescent="0.3">
      <c r="B57" s="292"/>
      <c r="C57" s="292"/>
      <c r="D57" s="292"/>
      <c r="E57" s="292"/>
      <c r="F57" s="292"/>
    </row>
    <row r="58" spans="2:6" ht="12.75" customHeight="1" x14ac:dyDescent="0.3">
      <c r="B58" s="292"/>
      <c r="C58" s="292"/>
      <c r="D58" s="292"/>
      <c r="E58" s="292"/>
      <c r="F58" s="292"/>
    </row>
    <row r="59" spans="2:6" ht="15.75" customHeight="1" x14ac:dyDescent="0.3">
      <c r="B59" s="292"/>
      <c r="C59" s="292"/>
      <c r="D59" s="292"/>
      <c r="E59" s="292"/>
      <c r="F59" s="292"/>
    </row>
    <row r="60" spans="2:6" ht="67.5" customHeight="1" x14ac:dyDescent="0.3">
      <c r="B60" s="292"/>
      <c r="C60" s="292"/>
      <c r="D60" s="292"/>
      <c r="E60" s="292"/>
      <c r="F60" s="292"/>
    </row>
    <row r="61" spans="2:6" ht="9.75" customHeight="1" x14ac:dyDescent="0.3">
      <c r="B61" s="57"/>
      <c r="C61" s="57"/>
      <c r="D61" s="57"/>
      <c r="E61" s="57"/>
      <c r="F61" s="57"/>
    </row>
    <row r="62" spans="2:6" x14ac:dyDescent="0.3">
      <c r="B62" s="138" t="s">
        <v>109</v>
      </c>
    </row>
    <row r="64" spans="2:6" x14ac:dyDescent="0.3">
      <c r="B64" s="141"/>
    </row>
  </sheetData>
  <mergeCells count="6">
    <mergeCell ref="B55:F60"/>
    <mergeCell ref="B1:F1"/>
    <mergeCell ref="B2:B3"/>
    <mergeCell ref="C2:C3"/>
    <mergeCell ref="D2:E2"/>
    <mergeCell ref="F2:F3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FF0000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28" hidden="1" customWidth="1"/>
    <col min="2" max="2" width="24.7265625" style="183" customWidth="1"/>
    <col min="3" max="3" width="11" style="183" customWidth="1"/>
    <col min="4" max="4" width="11.7265625" style="183" customWidth="1"/>
    <col min="5" max="10" width="11" style="183" customWidth="1"/>
    <col min="11" max="256" width="9.26953125" style="183"/>
    <col min="257" max="257" width="0" style="183" hidden="1" customWidth="1"/>
    <col min="258" max="258" width="24.7265625" style="183" customWidth="1"/>
    <col min="259" max="259" width="11" style="183" customWidth="1"/>
    <col min="260" max="260" width="11.7265625" style="183" customWidth="1"/>
    <col min="261" max="266" width="11" style="183" customWidth="1"/>
    <col min="267" max="512" width="9.26953125" style="183"/>
    <col min="513" max="513" width="0" style="183" hidden="1" customWidth="1"/>
    <col min="514" max="514" width="24.7265625" style="183" customWidth="1"/>
    <col min="515" max="515" width="11" style="183" customWidth="1"/>
    <col min="516" max="516" width="11.7265625" style="183" customWidth="1"/>
    <col min="517" max="522" width="11" style="183" customWidth="1"/>
    <col min="523" max="768" width="9.26953125" style="183"/>
    <col min="769" max="769" width="0" style="183" hidden="1" customWidth="1"/>
    <col min="770" max="770" width="24.7265625" style="183" customWidth="1"/>
    <col min="771" max="771" width="11" style="183" customWidth="1"/>
    <col min="772" max="772" width="11.7265625" style="183" customWidth="1"/>
    <col min="773" max="778" width="11" style="183" customWidth="1"/>
    <col min="779" max="1024" width="9.26953125" style="183"/>
    <col min="1025" max="1025" width="0" style="183" hidden="1" customWidth="1"/>
    <col min="1026" max="1026" width="24.7265625" style="183" customWidth="1"/>
    <col min="1027" max="1027" width="11" style="183" customWidth="1"/>
    <col min="1028" max="1028" width="11.7265625" style="183" customWidth="1"/>
    <col min="1029" max="1034" width="11" style="183" customWidth="1"/>
    <col min="1035" max="1280" width="9.26953125" style="183"/>
    <col min="1281" max="1281" width="0" style="183" hidden="1" customWidth="1"/>
    <col min="1282" max="1282" width="24.7265625" style="183" customWidth="1"/>
    <col min="1283" max="1283" width="11" style="183" customWidth="1"/>
    <col min="1284" max="1284" width="11.7265625" style="183" customWidth="1"/>
    <col min="1285" max="1290" width="11" style="183" customWidth="1"/>
    <col min="1291" max="1536" width="9.26953125" style="183"/>
    <col min="1537" max="1537" width="0" style="183" hidden="1" customWidth="1"/>
    <col min="1538" max="1538" width="24.7265625" style="183" customWidth="1"/>
    <col min="1539" max="1539" width="11" style="183" customWidth="1"/>
    <col min="1540" max="1540" width="11.7265625" style="183" customWidth="1"/>
    <col min="1541" max="1546" width="11" style="183" customWidth="1"/>
    <col min="1547" max="1792" width="9.26953125" style="183"/>
    <col min="1793" max="1793" width="0" style="183" hidden="1" customWidth="1"/>
    <col min="1794" max="1794" width="24.7265625" style="183" customWidth="1"/>
    <col min="1795" max="1795" width="11" style="183" customWidth="1"/>
    <col min="1796" max="1796" width="11.7265625" style="183" customWidth="1"/>
    <col min="1797" max="1802" width="11" style="183" customWidth="1"/>
    <col min="1803" max="2048" width="9.26953125" style="183"/>
    <col min="2049" max="2049" width="0" style="183" hidden="1" customWidth="1"/>
    <col min="2050" max="2050" width="24.7265625" style="183" customWidth="1"/>
    <col min="2051" max="2051" width="11" style="183" customWidth="1"/>
    <col min="2052" max="2052" width="11.7265625" style="183" customWidth="1"/>
    <col min="2053" max="2058" width="11" style="183" customWidth="1"/>
    <col min="2059" max="2304" width="9.26953125" style="183"/>
    <col min="2305" max="2305" width="0" style="183" hidden="1" customWidth="1"/>
    <col min="2306" max="2306" width="24.7265625" style="183" customWidth="1"/>
    <col min="2307" max="2307" width="11" style="183" customWidth="1"/>
    <col min="2308" max="2308" width="11.7265625" style="183" customWidth="1"/>
    <col min="2309" max="2314" width="11" style="183" customWidth="1"/>
    <col min="2315" max="2560" width="9.26953125" style="183"/>
    <col min="2561" max="2561" width="0" style="183" hidden="1" customWidth="1"/>
    <col min="2562" max="2562" width="24.7265625" style="183" customWidth="1"/>
    <col min="2563" max="2563" width="11" style="183" customWidth="1"/>
    <col min="2564" max="2564" width="11.7265625" style="183" customWidth="1"/>
    <col min="2565" max="2570" width="11" style="183" customWidth="1"/>
    <col min="2571" max="2816" width="9.26953125" style="183"/>
    <col min="2817" max="2817" width="0" style="183" hidden="1" customWidth="1"/>
    <col min="2818" max="2818" width="24.7265625" style="183" customWidth="1"/>
    <col min="2819" max="2819" width="11" style="183" customWidth="1"/>
    <col min="2820" max="2820" width="11.7265625" style="183" customWidth="1"/>
    <col min="2821" max="2826" width="11" style="183" customWidth="1"/>
    <col min="2827" max="3072" width="9.26953125" style="183"/>
    <col min="3073" max="3073" width="0" style="183" hidden="1" customWidth="1"/>
    <col min="3074" max="3074" width="24.7265625" style="183" customWidth="1"/>
    <col min="3075" max="3075" width="11" style="183" customWidth="1"/>
    <col min="3076" max="3076" width="11.7265625" style="183" customWidth="1"/>
    <col min="3077" max="3082" width="11" style="183" customWidth="1"/>
    <col min="3083" max="3328" width="9.26953125" style="183"/>
    <col min="3329" max="3329" width="0" style="183" hidden="1" customWidth="1"/>
    <col min="3330" max="3330" width="24.7265625" style="183" customWidth="1"/>
    <col min="3331" max="3331" width="11" style="183" customWidth="1"/>
    <col min="3332" max="3332" width="11.7265625" style="183" customWidth="1"/>
    <col min="3333" max="3338" width="11" style="183" customWidth="1"/>
    <col min="3339" max="3584" width="9.26953125" style="183"/>
    <col min="3585" max="3585" width="0" style="183" hidden="1" customWidth="1"/>
    <col min="3586" max="3586" width="24.7265625" style="183" customWidth="1"/>
    <col min="3587" max="3587" width="11" style="183" customWidth="1"/>
    <col min="3588" max="3588" width="11.7265625" style="183" customWidth="1"/>
    <col min="3589" max="3594" width="11" style="183" customWidth="1"/>
    <col min="3595" max="3840" width="9.26953125" style="183"/>
    <col min="3841" max="3841" width="0" style="183" hidden="1" customWidth="1"/>
    <col min="3842" max="3842" width="24.7265625" style="183" customWidth="1"/>
    <col min="3843" max="3843" width="11" style="183" customWidth="1"/>
    <col min="3844" max="3844" width="11.7265625" style="183" customWidth="1"/>
    <col min="3845" max="3850" width="11" style="183" customWidth="1"/>
    <col min="3851" max="4096" width="9.26953125" style="183"/>
    <col min="4097" max="4097" width="0" style="183" hidden="1" customWidth="1"/>
    <col min="4098" max="4098" width="24.7265625" style="183" customWidth="1"/>
    <col min="4099" max="4099" width="11" style="183" customWidth="1"/>
    <col min="4100" max="4100" width="11.7265625" style="183" customWidth="1"/>
    <col min="4101" max="4106" width="11" style="183" customWidth="1"/>
    <col min="4107" max="4352" width="9.26953125" style="183"/>
    <col min="4353" max="4353" width="0" style="183" hidden="1" customWidth="1"/>
    <col min="4354" max="4354" width="24.7265625" style="183" customWidth="1"/>
    <col min="4355" max="4355" width="11" style="183" customWidth="1"/>
    <col min="4356" max="4356" width="11.7265625" style="183" customWidth="1"/>
    <col min="4357" max="4362" width="11" style="183" customWidth="1"/>
    <col min="4363" max="4608" width="9.26953125" style="183"/>
    <col min="4609" max="4609" width="0" style="183" hidden="1" customWidth="1"/>
    <col min="4610" max="4610" width="24.7265625" style="183" customWidth="1"/>
    <col min="4611" max="4611" width="11" style="183" customWidth="1"/>
    <col min="4612" max="4612" width="11.7265625" style="183" customWidth="1"/>
    <col min="4613" max="4618" width="11" style="183" customWidth="1"/>
    <col min="4619" max="4864" width="9.26953125" style="183"/>
    <col min="4865" max="4865" width="0" style="183" hidden="1" customWidth="1"/>
    <col min="4866" max="4866" width="24.7265625" style="183" customWidth="1"/>
    <col min="4867" max="4867" width="11" style="183" customWidth="1"/>
    <col min="4868" max="4868" width="11.7265625" style="183" customWidth="1"/>
    <col min="4869" max="4874" width="11" style="183" customWidth="1"/>
    <col min="4875" max="5120" width="9.26953125" style="183"/>
    <col min="5121" max="5121" width="0" style="183" hidden="1" customWidth="1"/>
    <col min="5122" max="5122" width="24.7265625" style="183" customWidth="1"/>
    <col min="5123" max="5123" width="11" style="183" customWidth="1"/>
    <col min="5124" max="5124" width="11.7265625" style="183" customWidth="1"/>
    <col min="5125" max="5130" width="11" style="183" customWidth="1"/>
    <col min="5131" max="5376" width="9.26953125" style="183"/>
    <col min="5377" max="5377" width="0" style="183" hidden="1" customWidth="1"/>
    <col min="5378" max="5378" width="24.7265625" style="183" customWidth="1"/>
    <col min="5379" max="5379" width="11" style="183" customWidth="1"/>
    <col min="5380" max="5380" width="11.7265625" style="183" customWidth="1"/>
    <col min="5381" max="5386" width="11" style="183" customWidth="1"/>
    <col min="5387" max="5632" width="9.26953125" style="183"/>
    <col min="5633" max="5633" width="0" style="183" hidden="1" customWidth="1"/>
    <col min="5634" max="5634" width="24.7265625" style="183" customWidth="1"/>
    <col min="5635" max="5635" width="11" style="183" customWidth="1"/>
    <col min="5636" max="5636" width="11.7265625" style="183" customWidth="1"/>
    <col min="5637" max="5642" width="11" style="183" customWidth="1"/>
    <col min="5643" max="5888" width="9.26953125" style="183"/>
    <col min="5889" max="5889" width="0" style="183" hidden="1" customWidth="1"/>
    <col min="5890" max="5890" width="24.7265625" style="183" customWidth="1"/>
    <col min="5891" max="5891" width="11" style="183" customWidth="1"/>
    <col min="5892" max="5892" width="11.7265625" style="183" customWidth="1"/>
    <col min="5893" max="5898" width="11" style="183" customWidth="1"/>
    <col min="5899" max="6144" width="9.26953125" style="183"/>
    <col min="6145" max="6145" width="0" style="183" hidden="1" customWidth="1"/>
    <col min="6146" max="6146" width="24.7265625" style="183" customWidth="1"/>
    <col min="6147" max="6147" width="11" style="183" customWidth="1"/>
    <col min="6148" max="6148" width="11.7265625" style="183" customWidth="1"/>
    <col min="6149" max="6154" width="11" style="183" customWidth="1"/>
    <col min="6155" max="6400" width="9.26953125" style="183"/>
    <col min="6401" max="6401" width="0" style="183" hidden="1" customWidth="1"/>
    <col min="6402" max="6402" width="24.7265625" style="183" customWidth="1"/>
    <col min="6403" max="6403" width="11" style="183" customWidth="1"/>
    <col min="6404" max="6404" width="11.7265625" style="183" customWidth="1"/>
    <col min="6405" max="6410" width="11" style="183" customWidth="1"/>
    <col min="6411" max="6656" width="9.26953125" style="183"/>
    <col min="6657" max="6657" width="0" style="183" hidden="1" customWidth="1"/>
    <col min="6658" max="6658" width="24.7265625" style="183" customWidth="1"/>
    <col min="6659" max="6659" width="11" style="183" customWidth="1"/>
    <col min="6660" max="6660" width="11.7265625" style="183" customWidth="1"/>
    <col min="6661" max="6666" width="11" style="183" customWidth="1"/>
    <col min="6667" max="6912" width="9.26953125" style="183"/>
    <col min="6913" max="6913" width="0" style="183" hidden="1" customWidth="1"/>
    <col min="6914" max="6914" width="24.7265625" style="183" customWidth="1"/>
    <col min="6915" max="6915" width="11" style="183" customWidth="1"/>
    <col min="6916" max="6916" width="11.7265625" style="183" customWidth="1"/>
    <col min="6917" max="6922" width="11" style="183" customWidth="1"/>
    <col min="6923" max="7168" width="9.26953125" style="183"/>
    <col min="7169" max="7169" width="0" style="183" hidden="1" customWidth="1"/>
    <col min="7170" max="7170" width="24.7265625" style="183" customWidth="1"/>
    <col min="7171" max="7171" width="11" style="183" customWidth="1"/>
    <col min="7172" max="7172" width="11.7265625" style="183" customWidth="1"/>
    <col min="7173" max="7178" width="11" style="183" customWidth="1"/>
    <col min="7179" max="7424" width="9.26953125" style="183"/>
    <col min="7425" max="7425" width="0" style="183" hidden="1" customWidth="1"/>
    <col min="7426" max="7426" width="24.7265625" style="183" customWidth="1"/>
    <col min="7427" max="7427" width="11" style="183" customWidth="1"/>
    <col min="7428" max="7428" width="11.7265625" style="183" customWidth="1"/>
    <col min="7429" max="7434" width="11" style="183" customWidth="1"/>
    <col min="7435" max="7680" width="9.26953125" style="183"/>
    <col min="7681" max="7681" width="0" style="183" hidden="1" customWidth="1"/>
    <col min="7682" max="7682" width="24.7265625" style="183" customWidth="1"/>
    <col min="7683" max="7683" width="11" style="183" customWidth="1"/>
    <col min="7684" max="7684" width="11.7265625" style="183" customWidth="1"/>
    <col min="7685" max="7690" width="11" style="183" customWidth="1"/>
    <col min="7691" max="7936" width="9.26953125" style="183"/>
    <col min="7937" max="7937" width="0" style="183" hidden="1" customWidth="1"/>
    <col min="7938" max="7938" width="24.7265625" style="183" customWidth="1"/>
    <col min="7939" max="7939" width="11" style="183" customWidth="1"/>
    <col min="7940" max="7940" width="11.7265625" style="183" customWidth="1"/>
    <col min="7941" max="7946" width="11" style="183" customWidth="1"/>
    <col min="7947" max="8192" width="9.26953125" style="183"/>
    <col min="8193" max="8193" width="0" style="183" hidden="1" customWidth="1"/>
    <col min="8194" max="8194" width="24.7265625" style="183" customWidth="1"/>
    <col min="8195" max="8195" width="11" style="183" customWidth="1"/>
    <col min="8196" max="8196" width="11.7265625" style="183" customWidth="1"/>
    <col min="8197" max="8202" width="11" style="183" customWidth="1"/>
    <col min="8203" max="8448" width="9.26953125" style="183"/>
    <col min="8449" max="8449" width="0" style="183" hidden="1" customWidth="1"/>
    <col min="8450" max="8450" width="24.7265625" style="183" customWidth="1"/>
    <col min="8451" max="8451" width="11" style="183" customWidth="1"/>
    <col min="8452" max="8452" width="11.7265625" style="183" customWidth="1"/>
    <col min="8453" max="8458" width="11" style="183" customWidth="1"/>
    <col min="8459" max="8704" width="9.26953125" style="183"/>
    <col min="8705" max="8705" width="0" style="183" hidden="1" customWidth="1"/>
    <col min="8706" max="8706" width="24.7265625" style="183" customWidth="1"/>
    <col min="8707" max="8707" width="11" style="183" customWidth="1"/>
    <col min="8708" max="8708" width="11.7265625" style="183" customWidth="1"/>
    <col min="8709" max="8714" width="11" style="183" customWidth="1"/>
    <col min="8715" max="8960" width="9.26953125" style="183"/>
    <col min="8961" max="8961" width="0" style="183" hidden="1" customWidth="1"/>
    <col min="8962" max="8962" width="24.7265625" style="183" customWidth="1"/>
    <col min="8963" max="8963" width="11" style="183" customWidth="1"/>
    <col min="8964" max="8964" width="11.7265625" style="183" customWidth="1"/>
    <col min="8965" max="8970" width="11" style="183" customWidth="1"/>
    <col min="8971" max="9216" width="9.26953125" style="183"/>
    <col min="9217" max="9217" width="0" style="183" hidden="1" customWidth="1"/>
    <col min="9218" max="9218" width="24.7265625" style="183" customWidth="1"/>
    <col min="9219" max="9219" width="11" style="183" customWidth="1"/>
    <col min="9220" max="9220" width="11.7265625" style="183" customWidth="1"/>
    <col min="9221" max="9226" width="11" style="183" customWidth="1"/>
    <col min="9227" max="9472" width="9.26953125" style="183"/>
    <col min="9473" max="9473" width="0" style="183" hidden="1" customWidth="1"/>
    <col min="9474" max="9474" width="24.7265625" style="183" customWidth="1"/>
    <col min="9475" max="9475" width="11" style="183" customWidth="1"/>
    <col min="9476" max="9476" width="11.7265625" style="183" customWidth="1"/>
    <col min="9477" max="9482" width="11" style="183" customWidth="1"/>
    <col min="9483" max="9728" width="9.26953125" style="183"/>
    <col min="9729" max="9729" width="0" style="183" hidden="1" customWidth="1"/>
    <col min="9730" max="9730" width="24.7265625" style="183" customWidth="1"/>
    <col min="9731" max="9731" width="11" style="183" customWidth="1"/>
    <col min="9732" max="9732" width="11.7265625" style="183" customWidth="1"/>
    <col min="9733" max="9738" width="11" style="183" customWidth="1"/>
    <col min="9739" max="9984" width="9.26953125" style="183"/>
    <col min="9985" max="9985" width="0" style="183" hidden="1" customWidth="1"/>
    <col min="9986" max="9986" width="24.7265625" style="183" customWidth="1"/>
    <col min="9987" max="9987" width="11" style="183" customWidth="1"/>
    <col min="9988" max="9988" width="11.7265625" style="183" customWidth="1"/>
    <col min="9989" max="9994" width="11" style="183" customWidth="1"/>
    <col min="9995" max="10240" width="9.26953125" style="183"/>
    <col min="10241" max="10241" width="0" style="183" hidden="1" customWidth="1"/>
    <col min="10242" max="10242" width="24.7265625" style="183" customWidth="1"/>
    <col min="10243" max="10243" width="11" style="183" customWidth="1"/>
    <col min="10244" max="10244" width="11.7265625" style="183" customWidth="1"/>
    <col min="10245" max="10250" width="11" style="183" customWidth="1"/>
    <col min="10251" max="10496" width="9.26953125" style="183"/>
    <col min="10497" max="10497" width="0" style="183" hidden="1" customWidth="1"/>
    <col min="10498" max="10498" width="24.7265625" style="183" customWidth="1"/>
    <col min="10499" max="10499" width="11" style="183" customWidth="1"/>
    <col min="10500" max="10500" width="11.7265625" style="183" customWidth="1"/>
    <col min="10501" max="10506" width="11" style="183" customWidth="1"/>
    <col min="10507" max="10752" width="9.26953125" style="183"/>
    <col min="10753" max="10753" width="0" style="183" hidden="1" customWidth="1"/>
    <col min="10754" max="10754" width="24.7265625" style="183" customWidth="1"/>
    <col min="10755" max="10755" width="11" style="183" customWidth="1"/>
    <col min="10756" max="10756" width="11.7265625" style="183" customWidth="1"/>
    <col min="10757" max="10762" width="11" style="183" customWidth="1"/>
    <col min="10763" max="11008" width="9.26953125" style="183"/>
    <col min="11009" max="11009" width="0" style="183" hidden="1" customWidth="1"/>
    <col min="11010" max="11010" width="24.7265625" style="183" customWidth="1"/>
    <col min="11011" max="11011" width="11" style="183" customWidth="1"/>
    <col min="11012" max="11012" width="11.7265625" style="183" customWidth="1"/>
    <col min="11013" max="11018" width="11" style="183" customWidth="1"/>
    <col min="11019" max="11264" width="9.26953125" style="183"/>
    <col min="11265" max="11265" width="0" style="183" hidden="1" customWidth="1"/>
    <col min="11266" max="11266" width="24.7265625" style="183" customWidth="1"/>
    <col min="11267" max="11267" width="11" style="183" customWidth="1"/>
    <col min="11268" max="11268" width="11.7265625" style="183" customWidth="1"/>
    <col min="11269" max="11274" width="11" style="183" customWidth="1"/>
    <col min="11275" max="11520" width="9.26953125" style="183"/>
    <col min="11521" max="11521" width="0" style="183" hidden="1" customWidth="1"/>
    <col min="11522" max="11522" width="24.7265625" style="183" customWidth="1"/>
    <col min="11523" max="11523" width="11" style="183" customWidth="1"/>
    <col min="11524" max="11524" width="11.7265625" style="183" customWidth="1"/>
    <col min="11525" max="11530" width="11" style="183" customWidth="1"/>
    <col min="11531" max="11776" width="9.26953125" style="183"/>
    <col min="11777" max="11777" width="0" style="183" hidden="1" customWidth="1"/>
    <col min="11778" max="11778" width="24.7265625" style="183" customWidth="1"/>
    <col min="11779" max="11779" width="11" style="183" customWidth="1"/>
    <col min="11780" max="11780" width="11.7265625" style="183" customWidth="1"/>
    <col min="11781" max="11786" width="11" style="183" customWidth="1"/>
    <col min="11787" max="12032" width="9.26953125" style="183"/>
    <col min="12033" max="12033" width="0" style="183" hidden="1" customWidth="1"/>
    <col min="12034" max="12034" width="24.7265625" style="183" customWidth="1"/>
    <col min="12035" max="12035" width="11" style="183" customWidth="1"/>
    <col min="12036" max="12036" width="11.7265625" style="183" customWidth="1"/>
    <col min="12037" max="12042" width="11" style="183" customWidth="1"/>
    <col min="12043" max="12288" width="9.26953125" style="183"/>
    <col min="12289" max="12289" width="0" style="183" hidden="1" customWidth="1"/>
    <col min="12290" max="12290" width="24.7265625" style="183" customWidth="1"/>
    <col min="12291" max="12291" width="11" style="183" customWidth="1"/>
    <col min="12292" max="12292" width="11.7265625" style="183" customWidth="1"/>
    <col min="12293" max="12298" width="11" style="183" customWidth="1"/>
    <col min="12299" max="12544" width="9.26953125" style="183"/>
    <col min="12545" max="12545" width="0" style="183" hidden="1" customWidth="1"/>
    <col min="12546" max="12546" width="24.7265625" style="183" customWidth="1"/>
    <col min="12547" max="12547" width="11" style="183" customWidth="1"/>
    <col min="12548" max="12548" width="11.7265625" style="183" customWidth="1"/>
    <col min="12549" max="12554" width="11" style="183" customWidth="1"/>
    <col min="12555" max="12800" width="9.26953125" style="183"/>
    <col min="12801" max="12801" width="0" style="183" hidden="1" customWidth="1"/>
    <col min="12802" max="12802" width="24.7265625" style="183" customWidth="1"/>
    <col min="12803" max="12803" width="11" style="183" customWidth="1"/>
    <col min="12804" max="12804" width="11.7265625" style="183" customWidth="1"/>
    <col min="12805" max="12810" width="11" style="183" customWidth="1"/>
    <col min="12811" max="13056" width="9.26953125" style="183"/>
    <col min="13057" max="13057" width="0" style="183" hidden="1" customWidth="1"/>
    <col min="13058" max="13058" width="24.7265625" style="183" customWidth="1"/>
    <col min="13059" max="13059" width="11" style="183" customWidth="1"/>
    <col min="13060" max="13060" width="11.7265625" style="183" customWidth="1"/>
    <col min="13061" max="13066" width="11" style="183" customWidth="1"/>
    <col min="13067" max="13312" width="9.26953125" style="183"/>
    <col min="13313" max="13313" width="0" style="183" hidden="1" customWidth="1"/>
    <col min="13314" max="13314" width="24.7265625" style="183" customWidth="1"/>
    <col min="13315" max="13315" width="11" style="183" customWidth="1"/>
    <col min="13316" max="13316" width="11.7265625" style="183" customWidth="1"/>
    <col min="13317" max="13322" width="11" style="183" customWidth="1"/>
    <col min="13323" max="13568" width="9.26953125" style="183"/>
    <col min="13569" max="13569" width="0" style="183" hidden="1" customWidth="1"/>
    <col min="13570" max="13570" width="24.7265625" style="183" customWidth="1"/>
    <col min="13571" max="13571" width="11" style="183" customWidth="1"/>
    <col min="13572" max="13572" width="11.7265625" style="183" customWidth="1"/>
    <col min="13573" max="13578" width="11" style="183" customWidth="1"/>
    <col min="13579" max="13824" width="9.26953125" style="183"/>
    <col min="13825" max="13825" width="0" style="183" hidden="1" customWidth="1"/>
    <col min="13826" max="13826" width="24.7265625" style="183" customWidth="1"/>
    <col min="13827" max="13827" width="11" style="183" customWidth="1"/>
    <col min="13828" max="13828" width="11.7265625" style="183" customWidth="1"/>
    <col min="13829" max="13834" width="11" style="183" customWidth="1"/>
    <col min="13835" max="14080" width="9.26953125" style="183"/>
    <col min="14081" max="14081" width="0" style="183" hidden="1" customWidth="1"/>
    <col min="14082" max="14082" width="24.7265625" style="183" customWidth="1"/>
    <col min="14083" max="14083" width="11" style="183" customWidth="1"/>
    <col min="14084" max="14084" width="11.7265625" style="183" customWidth="1"/>
    <col min="14085" max="14090" width="11" style="183" customWidth="1"/>
    <col min="14091" max="14336" width="9.26953125" style="183"/>
    <col min="14337" max="14337" width="0" style="183" hidden="1" customWidth="1"/>
    <col min="14338" max="14338" width="24.7265625" style="183" customWidth="1"/>
    <col min="14339" max="14339" width="11" style="183" customWidth="1"/>
    <col min="14340" max="14340" width="11.7265625" style="183" customWidth="1"/>
    <col min="14341" max="14346" width="11" style="183" customWidth="1"/>
    <col min="14347" max="14592" width="9.26953125" style="183"/>
    <col min="14593" max="14593" width="0" style="183" hidden="1" customWidth="1"/>
    <col min="14594" max="14594" width="24.7265625" style="183" customWidth="1"/>
    <col min="14595" max="14595" width="11" style="183" customWidth="1"/>
    <col min="14596" max="14596" width="11.7265625" style="183" customWidth="1"/>
    <col min="14597" max="14602" width="11" style="183" customWidth="1"/>
    <col min="14603" max="14848" width="9.26953125" style="183"/>
    <col min="14849" max="14849" width="0" style="183" hidden="1" customWidth="1"/>
    <col min="14850" max="14850" width="24.7265625" style="183" customWidth="1"/>
    <col min="14851" max="14851" width="11" style="183" customWidth="1"/>
    <col min="14852" max="14852" width="11.7265625" style="183" customWidth="1"/>
    <col min="14853" max="14858" width="11" style="183" customWidth="1"/>
    <col min="14859" max="15104" width="9.26953125" style="183"/>
    <col min="15105" max="15105" width="0" style="183" hidden="1" customWidth="1"/>
    <col min="15106" max="15106" width="24.7265625" style="183" customWidth="1"/>
    <col min="15107" max="15107" width="11" style="183" customWidth="1"/>
    <col min="15108" max="15108" width="11.7265625" style="183" customWidth="1"/>
    <col min="15109" max="15114" width="11" style="183" customWidth="1"/>
    <col min="15115" max="15360" width="9.26953125" style="183"/>
    <col min="15361" max="15361" width="0" style="183" hidden="1" customWidth="1"/>
    <col min="15362" max="15362" width="24.7265625" style="183" customWidth="1"/>
    <col min="15363" max="15363" width="11" style="183" customWidth="1"/>
    <col min="15364" max="15364" width="11.7265625" style="183" customWidth="1"/>
    <col min="15365" max="15370" width="11" style="183" customWidth="1"/>
    <col min="15371" max="15616" width="9.26953125" style="183"/>
    <col min="15617" max="15617" width="0" style="183" hidden="1" customWidth="1"/>
    <col min="15618" max="15618" width="24.7265625" style="183" customWidth="1"/>
    <col min="15619" max="15619" width="11" style="183" customWidth="1"/>
    <col min="15620" max="15620" width="11.7265625" style="183" customWidth="1"/>
    <col min="15621" max="15626" width="11" style="183" customWidth="1"/>
    <col min="15627" max="15872" width="9.26953125" style="183"/>
    <col min="15873" max="15873" width="0" style="183" hidden="1" customWidth="1"/>
    <col min="15874" max="15874" width="24.7265625" style="183" customWidth="1"/>
    <col min="15875" max="15875" width="11" style="183" customWidth="1"/>
    <col min="15876" max="15876" width="11.7265625" style="183" customWidth="1"/>
    <col min="15877" max="15882" width="11" style="183" customWidth="1"/>
    <col min="15883" max="16128" width="9.26953125" style="183"/>
    <col min="16129" max="16129" width="0" style="183" hidden="1" customWidth="1"/>
    <col min="16130" max="16130" width="24.7265625" style="183" customWidth="1"/>
    <col min="16131" max="16131" width="11" style="183" customWidth="1"/>
    <col min="16132" max="16132" width="11.7265625" style="183" customWidth="1"/>
    <col min="16133" max="16138" width="11" style="183" customWidth="1"/>
    <col min="16139" max="16384" width="9.26953125" style="183"/>
  </cols>
  <sheetData>
    <row r="1" spans="1:12" ht="48" customHeight="1" x14ac:dyDescent="0.3">
      <c r="B1" s="298" t="s">
        <v>58</v>
      </c>
      <c r="C1" s="298"/>
      <c r="D1" s="298"/>
      <c r="E1" s="298"/>
      <c r="F1" s="298"/>
      <c r="G1" s="298"/>
      <c r="H1" s="298"/>
      <c r="I1" s="298"/>
      <c r="J1" s="298"/>
    </row>
    <row r="2" spans="1:12" ht="12.75" customHeight="1" x14ac:dyDescent="0.3">
      <c r="B2" s="299"/>
      <c r="C2" s="304" t="s">
        <v>1</v>
      </c>
      <c r="D2" s="304"/>
      <c r="E2" s="306" t="s">
        <v>2</v>
      </c>
      <c r="F2" s="306"/>
      <c r="G2" s="306"/>
      <c r="H2" s="306"/>
      <c r="I2" s="307" t="s">
        <v>5</v>
      </c>
      <c r="J2" s="307"/>
    </row>
    <row r="3" spans="1:12" ht="30" customHeight="1" x14ac:dyDescent="0.3">
      <c r="A3" s="29"/>
      <c r="B3" s="299"/>
      <c r="C3" s="305"/>
      <c r="D3" s="305"/>
      <c r="E3" s="30" t="s">
        <v>3</v>
      </c>
      <c r="F3" s="30"/>
      <c r="G3" s="30" t="s">
        <v>4</v>
      </c>
      <c r="H3" s="30"/>
      <c r="I3" s="305"/>
      <c r="J3" s="305"/>
    </row>
    <row r="4" spans="1:12" ht="45.75" customHeight="1" x14ac:dyDescent="0.3">
      <c r="B4" s="303"/>
      <c r="C4" s="31" t="s">
        <v>59</v>
      </c>
      <c r="D4" s="32" t="s">
        <v>60</v>
      </c>
      <c r="E4" s="31" t="s">
        <v>59</v>
      </c>
      <c r="F4" s="32" t="s">
        <v>60</v>
      </c>
      <c r="G4" s="31" t="s">
        <v>59</v>
      </c>
      <c r="H4" s="32" t="s">
        <v>60</v>
      </c>
      <c r="I4" s="31" t="s">
        <v>59</v>
      </c>
      <c r="J4" s="32" t="s">
        <v>60</v>
      </c>
    </row>
    <row r="5" spans="1:12" ht="30" customHeight="1" x14ac:dyDescent="0.3">
      <c r="B5" s="11" t="s">
        <v>6</v>
      </c>
      <c r="C5" s="18">
        <f t="shared" ref="C5:J5" si="0">C6+C45</f>
        <v>717</v>
      </c>
      <c r="D5" s="18">
        <f t="shared" si="0"/>
        <v>354</v>
      </c>
      <c r="E5" s="18">
        <f t="shared" si="0"/>
        <v>142</v>
      </c>
      <c r="F5" s="18">
        <f t="shared" si="0"/>
        <v>68</v>
      </c>
      <c r="G5" s="18">
        <f t="shared" si="0"/>
        <v>51</v>
      </c>
      <c r="H5" s="18">
        <f t="shared" si="0"/>
        <v>24</v>
      </c>
      <c r="I5" s="18">
        <f t="shared" si="0"/>
        <v>0</v>
      </c>
      <c r="J5" s="18">
        <f t="shared" si="0"/>
        <v>0</v>
      </c>
      <c r="L5" s="8"/>
    </row>
    <row r="6" spans="1:12" s="11" customFormat="1" ht="25.5" customHeight="1" x14ac:dyDescent="0.3">
      <c r="A6" s="33"/>
      <c r="B6" s="11" t="s">
        <v>7</v>
      </c>
      <c r="C6" s="34">
        <f t="shared" ref="C6:J6" si="1">SUM(C7:C44)</f>
        <v>477</v>
      </c>
      <c r="D6" s="34">
        <f t="shared" si="1"/>
        <v>231</v>
      </c>
      <c r="E6" s="34">
        <f t="shared" si="1"/>
        <v>89</v>
      </c>
      <c r="F6" s="34">
        <f t="shared" si="1"/>
        <v>27</v>
      </c>
      <c r="G6" s="34">
        <f t="shared" si="1"/>
        <v>13</v>
      </c>
      <c r="H6" s="34">
        <f t="shared" si="1"/>
        <v>4</v>
      </c>
      <c r="I6" s="34">
        <f t="shared" si="1"/>
        <v>0</v>
      </c>
      <c r="J6" s="34">
        <f t="shared" si="1"/>
        <v>0</v>
      </c>
    </row>
    <row r="7" spans="1:12" ht="12.75" customHeight="1" x14ac:dyDescent="0.3">
      <c r="A7" s="35">
        <v>51</v>
      </c>
      <c r="B7" s="183" t="s">
        <v>8</v>
      </c>
      <c r="C7" s="36">
        <v>15</v>
      </c>
      <c r="D7" s="36">
        <v>1</v>
      </c>
      <c r="E7" s="36">
        <v>5</v>
      </c>
      <c r="F7" s="36">
        <v>0</v>
      </c>
      <c r="G7" s="36">
        <v>2</v>
      </c>
      <c r="H7" s="36">
        <v>0</v>
      </c>
      <c r="I7" s="36">
        <v>0</v>
      </c>
      <c r="J7" s="36">
        <v>0</v>
      </c>
      <c r="L7" s="25">
        <v>14</v>
      </c>
    </row>
    <row r="8" spans="1:12" ht="12.75" customHeight="1" x14ac:dyDescent="0.3">
      <c r="A8" s="35">
        <v>52</v>
      </c>
      <c r="B8" s="183" t="s">
        <v>9</v>
      </c>
      <c r="C8" s="36">
        <v>9</v>
      </c>
      <c r="D8" s="36">
        <v>6</v>
      </c>
      <c r="E8" s="36">
        <v>1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</row>
    <row r="9" spans="1:12" ht="12.75" customHeight="1" x14ac:dyDescent="0.3">
      <c r="A9" s="35">
        <v>86</v>
      </c>
      <c r="B9" s="183" t="s">
        <v>10</v>
      </c>
      <c r="C9" s="36">
        <v>10</v>
      </c>
      <c r="D9" s="36">
        <v>9</v>
      </c>
      <c r="E9" s="36">
        <v>2</v>
      </c>
      <c r="F9" s="36">
        <v>1</v>
      </c>
      <c r="G9" s="36">
        <v>0</v>
      </c>
      <c r="H9" s="36">
        <v>0</v>
      </c>
      <c r="I9" s="36">
        <v>0</v>
      </c>
      <c r="J9" s="36">
        <v>0</v>
      </c>
    </row>
    <row r="10" spans="1:12" ht="12.75" customHeight="1" x14ac:dyDescent="0.3">
      <c r="A10" s="35">
        <v>53</v>
      </c>
      <c r="B10" s="183" t="s">
        <v>11</v>
      </c>
      <c r="C10" s="36">
        <v>5</v>
      </c>
      <c r="D10" s="36">
        <v>5</v>
      </c>
      <c r="E10" s="36">
        <v>1</v>
      </c>
      <c r="F10" s="36">
        <v>2</v>
      </c>
      <c r="G10" s="36">
        <v>0</v>
      </c>
      <c r="H10" s="36">
        <v>0</v>
      </c>
      <c r="I10" s="36">
        <v>0</v>
      </c>
      <c r="J10" s="36">
        <v>0</v>
      </c>
    </row>
    <row r="11" spans="1:12" ht="12.75" customHeight="1" x14ac:dyDescent="0.3">
      <c r="A11" s="35">
        <v>54</v>
      </c>
      <c r="B11" s="183" t="s">
        <v>12</v>
      </c>
      <c r="C11" s="36">
        <v>33</v>
      </c>
      <c r="D11" s="36">
        <v>22</v>
      </c>
      <c r="E11" s="36">
        <v>1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</row>
    <row r="12" spans="1:12" ht="12.75" customHeight="1" x14ac:dyDescent="0.3">
      <c r="A12" s="35">
        <v>55</v>
      </c>
      <c r="B12" s="183" t="s">
        <v>13</v>
      </c>
      <c r="C12" s="36">
        <v>5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</row>
    <row r="13" spans="1:12" ht="12.75" customHeight="1" x14ac:dyDescent="0.3">
      <c r="A13" s="35">
        <v>56</v>
      </c>
      <c r="B13" s="183" t="s">
        <v>14</v>
      </c>
      <c r="C13" s="36">
        <v>1</v>
      </c>
      <c r="D13" s="36">
        <v>1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</row>
    <row r="14" spans="1:12" ht="12.75" customHeight="1" x14ac:dyDescent="0.3">
      <c r="A14" s="35">
        <v>57</v>
      </c>
      <c r="B14" s="183" t="s">
        <v>15</v>
      </c>
      <c r="C14" s="36">
        <v>5</v>
      </c>
      <c r="D14" s="36">
        <v>2</v>
      </c>
      <c r="E14" s="36">
        <v>3</v>
      </c>
      <c r="F14" s="36">
        <v>1</v>
      </c>
      <c r="G14" s="36">
        <v>0</v>
      </c>
      <c r="H14" s="36">
        <v>1</v>
      </c>
      <c r="I14" s="36">
        <v>0</v>
      </c>
      <c r="J14" s="36">
        <v>0</v>
      </c>
    </row>
    <row r="15" spans="1:12" ht="12.75" customHeight="1" x14ac:dyDescent="0.3">
      <c r="A15" s="35">
        <v>59</v>
      </c>
      <c r="B15" s="183" t="s">
        <v>16</v>
      </c>
      <c r="C15" s="36">
        <v>9</v>
      </c>
      <c r="D15" s="36">
        <v>1</v>
      </c>
      <c r="E15" s="36">
        <v>3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2" ht="12.75" customHeight="1" x14ac:dyDescent="0.3">
      <c r="A16" s="35">
        <v>60</v>
      </c>
      <c r="B16" s="183" t="s">
        <v>17</v>
      </c>
      <c r="C16" s="36">
        <v>9</v>
      </c>
      <c r="D16" s="36">
        <v>2</v>
      </c>
      <c r="E16" s="36">
        <v>5</v>
      </c>
      <c r="F16" s="36">
        <v>1</v>
      </c>
      <c r="G16" s="36">
        <v>0</v>
      </c>
      <c r="H16" s="36">
        <v>0</v>
      </c>
      <c r="I16" s="36">
        <v>0</v>
      </c>
      <c r="J16" s="36">
        <v>0</v>
      </c>
    </row>
    <row r="17" spans="1:10" ht="12.75" customHeight="1" x14ac:dyDescent="0.3">
      <c r="A17" s="35">
        <v>61</v>
      </c>
      <c r="B17" s="38" t="s">
        <v>18</v>
      </c>
      <c r="C17" s="36">
        <v>22</v>
      </c>
      <c r="D17" s="36">
        <v>4</v>
      </c>
      <c r="E17" s="36">
        <v>5</v>
      </c>
      <c r="F17" s="36">
        <v>1</v>
      </c>
      <c r="G17" s="36">
        <v>0</v>
      </c>
      <c r="H17" s="36">
        <v>0</v>
      </c>
      <c r="I17" s="36">
        <v>0</v>
      </c>
      <c r="J17" s="36">
        <v>0</v>
      </c>
    </row>
    <row r="18" spans="1:10" ht="12.75" customHeight="1" x14ac:dyDescent="0.3">
      <c r="A18" s="35"/>
      <c r="B18" s="130" t="s">
        <v>122</v>
      </c>
      <c r="C18" s="36">
        <v>30</v>
      </c>
      <c r="D18" s="36">
        <v>15</v>
      </c>
      <c r="E18" s="36">
        <v>5</v>
      </c>
      <c r="F18" s="36">
        <v>2</v>
      </c>
      <c r="G18" s="36">
        <v>0</v>
      </c>
      <c r="H18" s="36">
        <v>0</v>
      </c>
      <c r="I18" s="36">
        <v>0</v>
      </c>
      <c r="J18" s="36">
        <v>0</v>
      </c>
    </row>
    <row r="19" spans="1:10" ht="12.75" customHeight="1" x14ac:dyDescent="0.3">
      <c r="A19" s="35">
        <v>58</v>
      </c>
      <c r="B19" s="183" t="s">
        <v>20</v>
      </c>
      <c r="C19" s="36">
        <v>1</v>
      </c>
      <c r="D19" s="36">
        <v>2</v>
      </c>
      <c r="E19" s="36">
        <v>1</v>
      </c>
      <c r="F19" s="36">
        <v>2</v>
      </c>
      <c r="G19" s="36">
        <v>0</v>
      </c>
      <c r="H19" s="36">
        <v>0</v>
      </c>
      <c r="I19" s="36">
        <v>0</v>
      </c>
      <c r="J19" s="36">
        <v>0</v>
      </c>
    </row>
    <row r="20" spans="1:10" ht="12.75" customHeight="1" x14ac:dyDescent="0.3">
      <c r="A20" s="35">
        <v>63</v>
      </c>
      <c r="B20" s="183" t="s">
        <v>21</v>
      </c>
      <c r="C20" s="36">
        <v>10</v>
      </c>
      <c r="D20" s="36">
        <v>10</v>
      </c>
      <c r="E20" s="36">
        <v>1</v>
      </c>
      <c r="F20" s="36">
        <v>1</v>
      </c>
      <c r="G20" s="36">
        <v>3</v>
      </c>
      <c r="H20" s="36">
        <v>1</v>
      </c>
      <c r="I20" s="36">
        <v>0</v>
      </c>
      <c r="J20" s="36">
        <v>0</v>
      </c>
    </row>
    <row r="21" spans="1:10" ht="12.75" customHeight="1" x14ac:dyDescent="0.3">
      <c r="A21" s="35">
        <v>64</v>
      </c>
      <c r="B21" s="183" t="s">
        <v>22</v>
      </c>
      <c r="C21" s="36">
        <v>63</v>
      </c>
      <c r="D21" s="36">
        <v>45</v>
      </c>
      <c r="E21" s="36">
        <v>8</v>
      </c>
      <c r="F21" s="36">
        <v>2</v>
      </c>
      <c r="G21" s="36">
        <v>0</v>
      </c>
      <c r="H21" s="36">
        <v>0</v>
      </c>
      <c r="I21" s="36">
        <v>0</v>
      </c>
      <c r="J21" s="36">
        <v>0</v>
      </c>
    </row>
    <row r="22" spans="1:10" ht="12.75" customHeight="1" x14ac:dyDescent="0.3">
      <c r="A22" s="35">
        <v>65</v>
      </c>
      <c r="B22" s="183" t="s">
        <v>23</v>
      </c>
      <c r="C22" s="36">
        <v>7</v>
      </c>
      <c r="D22" s="36">
        <v>4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</row>
    <row r="23" spans="1:10" ht="12.75" customHeight="1" x14ac:dyDescent="0.3">
      <c r="A23" s="35">
        <v>67</v>
      </c>
      <c r="B23" s="183" t="s">
        <v>24</v>
      </c>
      <c r="C23" s="36">
        <v>15</v>
      </c>
      <c r="D23" s="36">
        <v>10</v>
      </c>
      <c r="E23" s="36">
        <v>3</v>
      </c>
      <c r="F23" s="36">
        <v>2</v>
      </c>
      <c r="G23" s="36">
        <v>2</v>
      </c>
      <c r="H23" s="36">
        <v>0</v>
      </c>
      <c r="I23" s="36">
        <v>0</v>
      </c>
      <c r="J23" s="36">
        <v>0</v>
      </c>
    </row>
    <row r="24" spans="1:10" ht="12.75" customHeight="1" x14ac:dyDescent="0.3">
      <c r="A24" s="35">
        <v>68</v>
      </c>
      <c r="B24" s="183" t="s">
        <v>25</v>
      </c>
      <c r="C24" s="36">
        <v>14</v>
      </c>
      <c r="D24" s="36">
        <v>4</v>
      </c>
      <c r="E24" s="36">
        <v>1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</row>
    <row r="25" spans="1:10" ht="12.75" customHeight="1" x14ac:dyDescent="0.3">
      <c r="A25" s="35">
        <v>69</v>
      </c>
      <c r="B25" s="183" t="s">
        <v>26</v>
      </c>
      <c r="C25" s="36">
        <v>17</v>
      </c>
      <c r="D25" s="36">
        <v>0</v>
      </c>
      <c r="E25" s="36">
        <v>7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</row>
    <row r="26" spans="1:10" ht="12.75" customHeight="1" x14ac:dyDescent="0.3">
      <c r="A26" s="35">
        <v>70</v>
      </c>
      <c r="B26" s="183" t="s">
        <v>27</v>
      </c>
      <c r="C26" s="36">
        <v>24</v>
      </c>
      <c r="D26" s="36">
        <v>8</v>
      </c>
      <c r="E26" s="36">
        <v>6</v>
      </c>
      <c r="F26" s="36">
        <v>0</v>
      </c>
      <c r="G26" s="36">
        <v>2</v>
      </c>
      <c r="H26" s="36">
        <v>0</v>
      </c>
      <c r="I26" s="36">
        <v>0</v>
      </c>
      <c r="J26" s="36">
        <v>0</v>
      </c>
    </row>
    <row r="27" spans="1:10" ht="12.75" customHeight="1" x14ac:dyDescent="0.3">
      <c r="A27" s="35">
        <v>71</v>
      </c>
      <c r="B27" s="39" t="s">
        <v>28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ht="12.75" customHeight="1" x14ac:dyDescent="0.3">
      <c r="A28" s="35">
        <v>73</v>
      </c>
      <c r="B28" s="183" t="s">
        <v>29</v>
      </c>
      <c r="C28" s="36">
        <v>16</v>
      </c>
      <c r="D28" s="36">
        <v>7</v>
      </c>
      <c r="E28" s="36">
        <v>3</v>
      </c>
      <c r="F28" s="36">
        <v>2</v>
      </c>
      <c r="G28" s="36">
        <v>0</v>
      </c>
      <c r="H28" s="36">
        <v>0</v>
      </c>
      <c r="I28" s="36">
        <v>0</v>
      </c>
      <c r="J28" s="36">
        <v>0</v>
      </c>
    </row>
    <row r="29" spans="1:10" ht="12.75" customHeight="1" x14ac:dyDescent="0.3">
      <c r="A29" s="35">
        <v>74</v>
      </c>
      <c r="B29" s="183" t="s">
        <v>30</v>
      </c>
      <c r="C29" s="36">
        <v>9</v>
      </c>
      <c r="D29" s="36">
        <v>5</v>
      </c>
      <c r="E29" s="36">
        <v>3</v>
      </c>
      <c r="F29" s="36">
        <v>1</v>
      </c>
      <c r="G29" s="36">
        <v>0</v>
      </c>
      <c r="H29" s="36">
        <v>0</v>
      </c>
      <c r="I29" s="36">
        <v>0</v>
      </c>
      <c r="J29" s="36">
        <v>0</v>
      </c>
    </row>
    <row r="30" spans="1:10" ht="12.75" customHeight="1" x14ac:dyDescent="0.3">
      <c r="A30" s="35">
        <v>75</v>
      </c>
      <c r="B30" s="183" t="s">
        <v>31</v>
      </c>
      <c r="C30" s="36">
        <v>12</v>
      </c>
      <c r="D30" s="36">
        <v>5</v>
      </c>
      <c r="E30" s="36">
        <v>1</v>
      </c>
      <c r="F30" s="36">
        <v>1</v>
      </c>
      <c r="G30" s="36">
        <v>1</v>
      </c>
      <c r="H30" s="36">
        <v>1</v>
      </c>
      <c r="I30" s="36">
        <v>0</v>
      </c>
      <c r="J30" s="36">
        <v>0</v>
      </c>
    </row>
    <row r="31" spans="1:10" ht="12.75" customHeight="1" x14ac:dyDescent="0.3">
      <c r="A31" s="35">
        <v>76</v>
      </c>
      <c r="B31" s="183" t="s">
        <v>32</v>
      </c>
      <c r="C31" s="36">
        <v>21</v>
      </c>
      <c r="D31" s="36">
        <v>9</v>
      </c>
      <c r="E31" s="36">
        <v>5</v>
      </c>
      <c r="F31" s="36">
        <v>3</v>
      </c>
      <c r="G31" s="36">
        <v>0</v>
      </c>
      <c r="H31" s="36">
        <v>0</v>
      </c>
      <c r="I31" s="36">
        <v>0</v>
      </c>
      <c r="J31" s="36">
        <v>0</v>
      </c>
    </row>
    <row r="32" spans="1:10" ht="12.75" customHeight="1" x14ac:dyDescent="0.3">
      <c r="A32" s="35">
        <v>79</v>
      </c>
      <c r="B32" s="183" t="s">
        <v>33</v>
      </c>
      <c r="C32" s="36">
        <v>22</v>
      </c>
      <c r="D32" s="36">
        <v>8</v>
      </c>
      <c r="E32" s="36">
        <v>0</v>
      </c>
      <c r="F32" s="36">
        <v>1</v>
      </c>
      <c r="G32" s="36">
        <v>0</v>
      </c>
      <c r="H32" s="36">
        <v>1</v>
      </c>
      <c r="I32" s="36">
        <v>0</v>
      </c>
      <c r="J32" s="36">
        <v>0</v>
      </c>
    </row>
    <row r="33" spans="1:12" ht="12.75" customHeight="1" x14ac:dyDescent="0.3">
      <c r="A33" s="35">
        <v>80</v>
      </c>
      <c r="B33" s="183" t="s">
        <v>34</v>
      </c>
      <c r="C33" s="36">
        <v>1</v>
      </c>
      <c r="D33" s="36">
        <v>2</v>
      </c>
      <c r="E33" s="36">
        <v>0</v>
      </c>
      <c r="F33" s="36">
        <v>2</v>
      </c>
      <c r="G33" s="36">
        <v>1</v>
      </c>
      <c r="H33" s="36">
        <v>0</v>
      </c>
      <c r="I33" s="36">
        <v>0</v>
      </c>
      <c r="J33" s="36">
        <v>0</v>
      </c>
    </row>
    <row r="34" spans="1:12" ht="12.75" customHeight="1" x14ac:dyDescent="0.3">
      <c r="A34" s="35">
        <v>81</v>
      </c>
      <c r="B34" s="183" t="s">
        <v>35</v>
      </c>
      <c r="C34" s="36">
        <v>12</v>
      </c>
      <c r="D34" s="36">
        <v>8</v>
      </c>
      <c r="E34" s="36">
        <v>3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</row>
    <row r="35" spans="1:12" ht="12.75" customHeight="1" x14ac:dyDescent="0.3">
      <c r="A35" s="35">
        <v>83</v>
      </c>
      <c r="B35" s="183" t="s">
        <v>36</v>
      </c>
      <c r="C35" s="36">
        <v>2</v>
      </c>
      <c r="D35" s="36">
        <v>2</v>
      </c>
      <c r="E35" s="36">
        <v>0</v>
      </c>
      <c r="F35" s="36">
        <v>0</v>
      </c>
      <c r="G35" s="36">
        <v>1</v>
      </c>
      <c r="H35" s="36">
        <v>0</v>
      </c>
      <c r="I35" s="36">
        <v>0</v>
      </c>
      <c r="J35" s="36">
        <v>0</v>
      </c>
    </row>
    <row r="36" spans="1:12" ht="12.75" customHeight="1" x14ac:dyDescent="0.3">
      <c r="A36" s="35">
        <v>84</v>
      </c>
      <c r="B36" s="183" t="s">
        <v>37</v>
      </c>
      <c r="C36" s="36">
        <v>4</v>
      </c>
      <c r="D36" s="36">
        <v>1</v>
      </c>
      <c r="E36" s="36">
        <v>2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</row>
    <row r="37" spans="1:12" ht="12.75" customHeight="1" x14ac:dyDescent="0.3">
      <c r="A37" s="35">
        <v>85</v>
      </c>
      <c r="B37" s="183" t="s">
        <v>38</v>
      </c>
      <c r="C37" s="36">
        <v>9</v>
      </c>
      <c r="D37" s="36">
        <v>4</v>
      </c>
      <c r="E37" s="36">
        <v>2</v>
      </c>
      <c r="F37" s="36">
        <v>1</v>
      </c>
      <c r="G37" s="36">
        <v>0</v>
      </c>
      <c r="H37" s="36">
        <v>0</v>
      </c>
      <c r="I37" s="36">
        <v>0</v>
      </c>
      <c r="J37" s="36">
        <v>0</v>
      </c>
    </row>
    <row r="38" spans="1:12" ht="12.75" customHeight="1" x14ac:dyDescent="0.3">
      <c r="A38" s="35">
        <v>87</v>
      </c>
      <c r="B38" s="183" t="s">
        <v>39</v>
      </c>
      <c r="C38" s="36">
        <v>9</v>
      </c>
      <c r="D38" s="36">
        <v>9</v>
      </c>
      <c r="E38" s="36">
        <v>2</v>
      </c>
      <c r="F38" s="36">
        <v>0</v>
      </c>
      <c r="G38" s="36">
        <v>1</v>
      </c>
      <c r="H38" s="36">
        <v>0</v>
      </c>
      <c r="I38" s="36">
        <v>0</v>
      </c>
      <c r="J38" s="36">
        <v>0</v>
      </c>
    </row>
    <row r="39" spans="1:12" ht="12.75" customHeight="1" x14ac:dyDescent="0.3">
      <c r="A39" s="35">
        <v>90</v>
      </c>
      <c r="B39" s="183" t="s">
        <v>40</v>
      </c>
      <c r="C39" s="36">
        <v>14</v>
      </c>
      <c r="D39" s="36">
        <v>3</v>
      </c>
      <c r="E39" s="36">
        <v>4</v>
      </c>
      <c r="F39" s="36">
        <v>1</v>
      </c>
      <c r="G39" s="36">
        <v>0</v>
      </c>
      <c r="H39" s="36">
        <v>0</v>
      </c>
      <c r="I39" s="36">
        <v>0</v>
      </c>
      <c r="J39" s="36">
        <v>0</v>
      </c>
    </row>
    <row r="40" spans="1:12" ht="12.75" customHeight="1" x14ac:dyDescent="0.3">
      <c r="A40" s="35">
        <v>91</v>
      </c>
      <c r="B40" s="183" t="s">
        <v>41</v>
      </c>
      <c r="C40" s="36">
        <v>8</v>
      </c>
      <c r="D40" s="36">
        <v>4</v>
      </c>
      <c r="E40" s="36">
        <v>1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11"/>
    </row>
    <row r="41" spans="1:12" ht="12.75" customHeight="1" x14ac:dyDescent="0.3">
      <c r="A41" s="35">
        <v>92</v>
      </c>
      <c r="B41" s="183" t="s">
        <v>42</v>
      </c>
      <c r="C41" s="36">
        <v>20</v>
      </c>
      <c r="D41" s="36">
        <v>2</v>
      </c>
      <c r="E41" s="36">
        <v>4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</row>
    <row r="42" spans="1:12" ht="12.75" customHeight="1" x14ac:dyDescent="0.3">
      <c r="A42" s="35">
        <v>94</v>
      </c>
      <c r="B42" s="183" t="s">
        <v>43</v>
      </c>
      <c r="C42" s="36">
        <v>5</v>
      </c>
      <c r="D42" s="36">
        <v>5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</row>
    <row r="43" spans="1:12" ht="12.75" customHeight="1" x14ac:dyDescent="0.3">
      <c r="A43" s="35">
        <v>96</v>
      </c>
      <c r="B43" s="183" t="s">
        <v>44</v>
      </c>
      <c r="C43" s="36">
        <v>7</v>
      </c>
      <c r="D43" s="36">
        <v>6</v>
      </c>
      <c r="E43" s="36">
        <v>1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L43" s="11"/>
    </row>
    <row r="44" spans="1:12" ht="12.75" customHeight="1" x14ac:dyDescent="0.3">
      <c r="A44" s="35">
        <v>72</v>
      </c>
      <c r="B44" s="39" t="s">
        <v>46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</row>
    <row r="45" spans="1:12" s="11" customFormat="1" ht="25.5" customHeight="1" x14ac:dyDescent="0.3">
      <c r="B45" s="11" t="s">
        <v>47</v>
      </c>
      <c r="C45" s="42">
        <f>SUM(C46:C52)</f>
        <v>240</v>
      </c>
      <c r="D45" s="42">
        <f t="shared" ref="D45:J45" si="2">SUM(D46:D52)</f>
        <v>123</v>
      </c>
      <c r="E45" s="42">
        <f t="shared" si="2"/>
        <v>53</v>
      </c>
      <c r="F45" s="42">
        <f t="shared" si="2"/>
        <v>41</v>
      </c>
      <c r="G45" s="42">
        <f t="shared" si="2"/>
        <v>38</v>
      </c>
      <c r="H45" s="42">
        <f t="shared" si="2"/>
        <v>20</v>
      </c>
      <c r="I45" s="42">
        <f t="shared" si="2"/>
        <v>0</v>
      </c>
      <c r="J45" s="42">
        <f t="shared" si="2"/>
        <v>0</v>
      </c>
    </row>
    <row r="46" spans="1:12" ht="12.75" customHeight="1" x14ac:dyDescent="0.3">
      <c r="A46" s="35">
        <v>66</v>
      </c>
      <c r="B46" s="183" t="s">
        <v>48</v>
      </c>
      <c r="C46" s="36">
        <v>16</v>
      </c>
      <c r="D46" s="36">
        <v>12</v>
      </c>
      <c r="E46" s="36">
        <v>0</v>
      </c>
      <c r="F46" s="36">
        <v>1</v>
      </c>
      <c r="G46" s="36">
        <v>0</v>
      </c>
      <c r="H46" s="36">
        <v>1</v>
      </c>
      <c r="I46" s="36">
        <v>0</v>
      </c>
      <c r="J46" s="36">
        <v>0</v>
      </c>
    </row>
    <row r="47" spans="1:12" ht="12.75" customHeight="1" x14ac:dyDescent="0.3">
      <c r="A47" s="35">
        <v>78</v>
      </c>
      <c r="B47" s="183" t="s">
        <v>49</v>
      </c>
      <c r="C47" s="36">
        <v>14</v>
      </c>
      <c r="D47" s="36">
        <v>2</v>
      </c>
      <c r="E47" s="36">
        <v>4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</row>
    <row r="48" spans="1:12" ht="12.75" customHeight="1" x14ac:dyDescent="0.3">
      <c r="A48" s="35">
        <v>89</v>
      </c>
      <c r="B48" s="183" t="s">
        <v>50</v>
      </c>
      <c r="C48" s="36">
        <v>21</v>
      </c>
      <c r="D48" s="36">
        <v>15</v>
      </c>
      <c r="E48" s="36">
        <v>0</v>
      </c>
      <c r="F48" s="36">
        <v>3</v>
      </c>
      <c r="G48" s="36">
        <v>3</v>
      </c>
      <c r="H48" s="36">
        <v>2</v>
      </c>
      <c r="I48" s="36">
        <v>0</v>
      </c>
      <c r="J48" s="36">
        <v>0</v>
      </c>
    </row>
    <row r="49" spans="1:12" ht="12.75" customHeight="1" x14ac:dyDescent="0.3">
      <c r="A49" s="35">
        <v>93</v>
      </c>
      <c r="B49" s="183" t="s">
        <v>51</v>
      </c>
      <c r="C49" s="36">
        <v>13</v>
      </c>
      <c r="D49" s="36">
        <v>0</v>
      </c>
      <c r="E49" s="36">
        <v>1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</row>
    <row r="50" spans="1:12" ht="12.75" customHeight="1" x14ac:dyDescent="0.3">
      <c r="A50" s="35">
        <v>95</v>
      </c>
      <c r="B50" s="183" t="s">
        <v>52</v>
      </c>
      <c r="C50" s="36">
        <v>31</v>
      </c>
      <c r="D50" s="36">
        <v>12</v>
      </c>
      <c r="E50" s="36">
        <v>4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</row>
    <row r="51" spans="1:12" ht="12.75" customHeight="1" x14ac:dyDescent="0.3">
      <c r="A51" s="35">
        <v>97</v>
      </c>
      <c r="B51" s="183" t="s">
        <v>53</v>
      </c>
      <c r="C51" s="36">
        <v>53</v>
      </c>
      <c r="D51" s="36">
        <v>7</v>
      </c>
      <c r="E51" s="36">
        <v>5</v>
      </c>
      <c r="F51" s="36">
        <v>0</v>
      </c>
      <c r="G51" s="36">
        <v>3</v>
      </c>
      <c r="H51" s="36">
        <v>1</v>
      </c>
      <c r="I51" s="36">
        <v>0</v>
      </c>
      <c r="J51" s="36">
        <v>0</v>
      </c>
    </row>
    <row r="52" spans="1:12" ht="12.75" customHeight="1" x14ac:dyDescent="0.3">
      <c r="A52" s="35">
        <v>77</v>
      </c>
      <c r="B52" s="185" t="s">
        <v>54</v>
      </c>
      <c r="C52" s="36">
        <v>92</v>
      </c>
      <c r="D52" s="36">
        <v>75</v>
      </c>
      <c r="E52" s="36">
        <v>39</v>
      </c>
      <c r="F52" s="36">
        <v>37</v>
      </c>
      <c r="G52" s="36">
        <v>32</v>
      </c>
      <c r="H52" s="36">
        <v>16</v>
      </c>
      <c r="I52" s="36">
        <v>0</v>
      </c>
      <c r="J52" s="36">
        <v>0</v>
      </c>
    </row>
    <row r="53" spans="1:12" s="41" customFormat="1" ht="13.5" customHeight="1" x14ac:dyDescent="0.3">
      <c r="A53" s="28"/>
      <c r="C53" s="46"/>
      <c r="D53" s="47"/>
      <c r="E53" s="46"/>
      <c r="F53" s="46"/>
      <c r="G53" s="46"/>
      <c r="H53" s="46"/>
      <c r="I53" s="46"/>
      <c r="J53" s="46"/>
      <c r="K53" s="183"/>
      <c r="L53" s="183"/>
    </row>
    <row r="54" spans="1:12" ht="18.75" customHeight="1" x14ac:dyDescent="0.3">
      <c r="B54" s="35" t="s">
        <v>55</v>
      </c>
    </row>
    <row r="55" spans="1:12" x14ac:dyDescent="0.3">
      <c r="B55" s="319" t="s">
        <v>56</v>
      </c>
      <c r="C55" s="319"/>
      <c r="D55" s="319"/>
      <c r="E55" s="319"/>
      <c r="F55" s="319"/>
      <c r="G55" s="319"/>
      <c r="H55" s="319"/>
      <c r="I55" s="319"/>
      <c r="J55" s="319"/>
    </row>
    <row r="56" spans="1:12" ht="12.75" customHeight="1" x14ac:dyDescent="0.3">
      <c r="B56" s="319"/>
      <c r="C56" s="319"/>
      <c r="D56" s="319"/>
      <c r="E56" s="319"/>
      <c r="F56" s="319"/>
      <c r="G56" s="319"/>
      <c r="H56" s="319"/>
      <c r="I56" s="319"/>
      <c r="J56" s="319"/>
    </row>
    <row r="57" spans="1:12" ht="18.75" customHeight="1" x14ac:dyDescent="0.3">
      <c r="B57" s="319"/>
      <c r="C57" s="319"/>
      <c r="D57" s="319"/>
      <c r="E57" s="319"/>
      <c r="F57" s="319"/>
      <c r="G57" s="319"/>
      <c r="H57" s="319"/>
      <c r="I57" s="319"/>
      <c r="J57" s="319"/>
    </row>
    <row r="58" spans="1:12" ht="18.75" customHeight="1" x14ac:dyDescent="0.3">
      <c r="B58" s="319"/>
      <c r="C58" s="319"/>
      <c r="D58" s="319"/>
      <c r="E58" s="319"/>
      <c r="F58" s="319"/>
      <c r="G58" s="319"/>
      <c r="H58" s="319"/>
      <c r="I58" s="319"/>
      <c r="J58" s="319"/>
    </row>
    <row r="59" spans="1:12" ht="18.75" customHeight="1" x14ac:dyDescent="0.3">
      <c r="B59" s="319"/>
      <c r="C59" s="319"/>
      <c r="D59" s="319"/>
      <c r="E59" s="319"/>
      <c r="F59" s="319"/>
      <c r="G59" s="319"/>
      <c r="H59" s="319"/>
      <c r="I59" s="319"/>
      <c r="J59" s="319"/>
    </row>
    <row r="60" spans="1:12" ht="17.25" customHeight="1" x14ac:dyDescent="0.3"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12" ht="15.75" customHeight="1" x14ac:dyDescent="0.3">
      <c r="B61" s="35" t="s">
        <v>61</v>
      </c>
    </row>
    <row r="62" spans="1:12" ht="9.75" customHeight="1" x14ac:dyDescent="0.3">
      <c r="B62" s="319"/>
      <c r="C62" s="319"/>
      <c r="D62" s="319"/>
      <c r="E62" s="48"/>
      <c r="F62" s="48"/>
      <c r="G62" s="48"/>
      <c r="H62" s="48"/>
      <c r="I62" s="48"/>
      <c r="J62" s="48"/>
    </row>
    <row r="63" spans="1:12" ht="18.75" customHeight="1" x14ac:dyDescent="0.3">
      <c r="B63" s="24" t="s">
        <v>62</v>
      </c>
    </row>
    <row r="64" spans="1:12" x14ac:dyDescent="0.3">
      <c r="B64" s="26"/>
    </row>
    <row r="66" spans="2:2" x14ac:dyDescent="0.3">
      <c r="B66" s="27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rgb="FFFF0000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183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9.26953125" style="183"/>
    <col min="257" max="257" width="0" style="183" hidden="1" customWidth="1"/>
    <col min="258" max="258" width="24.7265625" style="183" customWidth="1"/>
    <col min="259" max="259" width="18" style="183" customWidth="1"/>
    <col min="260" max="260" width="18.453125" style="183" customWidth="1"/>
    <col min="261" max="261" width="13.7265625" style="183" customWidth="1"/>
    <col min="262" max="262" width="14" style="183" customWidth="1"/>
    <col min="263" max="512" width="9.26953125" style="183"/>
    <col min="513" max="513" width="0" style="183" hidden="1" customWidth="1"/>
    <col min="514" max="514" width="24.7265625" style="183" customWidth="1"/>
    <col min="515" max="515" width="18" style="183" customWidth="1"/>
    <col min="516" max="516" width="18.453125" style="183" customWidth="1"/>
    <col min="517" max="517" width="13.7265625" style="183" customWidth="1"/>
    <col min="518" max="518" width="14" style="183" customWidth="1"/>
    <col min="519" max="768" width="9.26953125" style="183"/>
    <col min="769" max="769" width="0" style="183" hidden="1" customWidth="1"/>
    <col min="770" max="770" width="24.7265625" style="183" customWidth="1"/>
    <col min="771" max="771" width="18" style="183" customWidth="1"/>
    <col min="772" max="772" width="18.453125" style="183" customWidth="1"/>
    <col min="773" max="773" width="13.7265625" style="183" customWidth="1"/>
    <col min="774" max="774" width="14" style="183" customWidth="1"/>
    <col min="775" max="1024" width="9.26953125" style="183"/>
    <col min="1025" max="1025" width="0" style="183" hidden="1" customWidth="1"/>
    <col min="1026" max="1026" width="24.7265625" style="183" customWidth="1"/>
    <col min="1027" max="1027" width="18" style="183" customWidth="1"/>
    <col min="1028" max="1028" width="18.453125" style="183" customWidth="1"/>
    <col min="1029" max="1029" width="13.7265625" style="183" customWidth="1"/>
    <col min="1030" max="1030" width="14" style="183" customWidth="1"/>
    <col min="1031" max="1280" width="9.26953125" style="183"/>
    <col min="1281" max="1281" width="0" style="183" hidden="1" customWidth="1"/>
    <col min="1282" max="1282" width="24.7265625" style="183" customWidth="1"/>
    <col min="1283" max="1283" width="18" style="183" customWidth="1"/>
    <col min="1284" max="1284" width="18.453125" style="183" customWidth="1"/>
    <col min="1285" max="1285" width="13.7265625" style="183" customWidth="1"/>
    <col min="1286" max="1286" width="14" style="183" customWidth="1"/>
    <col min="1287" max="1536" width="9.26953125" style="183"/>
    <col min="1537" max="1537" width="0" style="183" hidden="1" customWidth="1"/>
    <col min="1538" max="1538" width="24.7265625" style="183" customWidth="1"/>
    <col min="1539" max="1539" width="18" style="183" customWidth="1"/>
    <col min="1540" max="1540" width="18.453125" style="183" customWidth="1"/>
    <col min="1541" max="1541" width="13.7265625" style="183" customWidth="1"/>
    <col min="1542" max="1542" width="14" style="183" customWidth="1"/>
    <col min="1543" max="1792" width="9.26953125" style="183"/>
    <col min="1793" max="1793" width="0" style="183" hidden="1" customWidth="1"/>
    <col min="1794" max="1794" width="24.7265625" style="183" customWidth="1"/>
    <col min="1795" max="1795" width="18" style="183" customWidth="1"/>
    <col min="1796" max="1796" width="18.453125" style="183" customWidth="1"/>
    <col min="1797" max="1797" width="13.7265625" style="183" customWidth="1"/>
    <col min="1798" max="1798" width="14" style="183" customWidth="1"/>
    <col min="1799" max="2048" width="9.26953125" style="183"/>
    <col min="2049" max="2049" width="0" style="183" hidden="1" customWidth="1"/>
    <col min="2050" max="2050" width="24.7265625" style="183" customWidth="1"/>
    <col min="2051" max="2051" width="18" style="183" customWidth="1"/>
    <col min="2052" max="2052" width="18.453125" style="183" customWidth="1"/>
    <col min="2053" max="2053" width="13.7265625" style="183" customWidth="1"/>
    <col min="2054" max="2054" width="14" style="183" customWidth="1"/>
    <col min="2055" max="2304" width="9.26953125" style="183"/>
    <col min="2305" max="2305" width="0" style="183" hidden="1" customWidth="1"/>
    <col min="2306" max="2306" width="24.7265625" style="183" customWidth="1"/>
    <col min="2307" max="2307" width="18" style="183" customWidth="1"/>
    <col min="2308" max="2308" width="18.453125" style="183" customWidth="1"/>
    <col min="2309" max="2309" width="13.7265625" style="183" customWidth="1"/>
    <col min="2310" max="2310" width="14" style="183" customWidth="1"/>
    <col min="2311" max="2560" width="9.26953125" style="183"/>
    <col min="2561" max="2561" width="0" style="183" hidden="1" customWidth="1"/>
    <col min="2562" max="2562" width="24.7265625" style="183" customWidth="1"/>
    <col min="2563" max="2563" width="18" style="183" customWidth="1"/>
    <col min="2564" max="2564" width="18.453125" style="183" customWidth="1"/>
    <col min="2565" max="2565" width="13.7265625" style="183" customWidth="1"/>
    <col min="2566" max="2566" width="14" style="183" customWidth="1"/>
    <col min="2567" max="2816" width="9.26953125" style="183"/>
    <col min="2817" max="2817" width="0" style="183" hidden="1" customWidth="1"/>
    <col min="2818" max="2818" width="24.7265625" style="183" customWidth="1"/>
    <col min="2819" max="2819" width="18" style="183" customWidth="1"/>
    <col min="2820" max="2820" width="18.453125" style="183" customWidth="1"/>
    <col min="2821" max="2821" width="13.7265625" style="183" customWidth="1"/>
    <col min="2822" max="2822" width="14" style="183" customWidth="1"/>
    <col min="2823" max="3072" width="9.26953125" style="183"/>
    <col min="3073" max="3073" width="0" style="183" hidden="1" customWidth="1"/>
    <col min="3074" max="3074" width="24.7265625" style="183" customWidth="1"/>
    <col min="3075" max="3075" width="18" style="183" customWidth="1"/>
    <col min="3076" max="3076" width="18.453125" style="183" customWidth="1"/>
    <col min="3077" max="3077" width="13.7265625" style="183" customWidth="1"/>
    <col min="3078" max="3078" width="14" style="183" customWidth="1"/>
    <col min="3079" max="3328" width="9.26953125" style="183"/>
    <col min="3329" max="3329" width="0" style="183" hidden="1" customWidth="1"/>
    <col min="3330" max="3330" width="24.7265625" style="183" customWidth="1"/>
    <col min="3331" max="3331" width="18" style="183" customWidth="1"/>
    <col min="3332" max="3332" width="18.453125" style="183" customWidth="1"/>
    <col min="3333" max="3333" width="13.7265625" style="183" customWidth="1"/>
    <col min="3334" max="3334" width="14" style="183" customWidth="1"/>
    <col min="3335" max="3584" width="9.26953125" style="183"/>
    <col min="3585" max="3585" width="0" style="183" hidden="1" customWidth="1"/>
    <col min="3586" max="3586" width="24.7265625" style="183" customWidth="1"/>
    <col min="3587" max="3587" width="18" style="183" customWidth="1"/>
    <col min="3588" max="3588" width="18.453125" style="183" customWidth="1"/>
    <col min="3589" max="3589" width="13.7265625" style="183" customWidth="1"/>
    <col min="3590" max="3590" width="14" style="183" customWidth="1"/>
    <col min="3591" max="3840" width="9.26953125" style="183"/>
    <col min="3841" max="3841" width="0" style="183" hidden="1" customWidth="1"/>
    <col min="3842" max="3842" width="24.7265625" style="183" customWidth="1"/>
    <col min="3843" max="3843" width="18" style="183" customWidth="1"/>
    <col min="3844" max="3844" width="18.453125" style="183" customWidth="1"/>
    <col min="3845" max="3845" width="13.7265625" style="183" customWidth="1"/>
    <col min="3846" max="3846" width="14" style="183" customWidth="1"/>
    <col min="3847" max="4096" width="9.26953125" style="183"/>
    <col min="4097" max="4097" width="0" style="183" hidden="1" customWidth="1"/>
    <col min="4098" max="4098" width="24.7265625" style="183" customWidth="1"/>
    <col min="4099" max="4099" width="18" style="183" customWidth="1"/>
    <col min="4100" max="4100" width="18.453125" style="183" customWidth="1"/>
    <col min="4101" max="4101" width="13.7265625" style="183" customWidth="1"/>
    <col min="4102" max="4102" width="14" style="183" customWidth="1"/>
    <col min="4103" max="4352" width="9.26953125" style="183"/>
    <col min="4353" max="4353" width="0" style="183" hidden="1" customWidth="1"/>
    <col min="4354" max="4354" width="24.7265625" style="183" customWidth="1"/>
    <col min="4355" max="4355" width="18" style="183" customWidth="1"/>
    <col min="4356" max="4356" width="18.453125" style="183" customWidth="1"/>
    <col min="4357" max="4357" width="13.7265625" style="183" customWidth="1"/>
    <col min="4358" max="4358" width="14" style="183" customWidth="1"/>
    <col min="4359" max="4608" width="9.26953125" style="183"/>
    <col min="4609" max="4609" width="0" style="183" hidden="1" customWidth="1"/>
    <col min="4610" max="4610" width="24.7265625" style="183" customWidth="1"/>
    <col min="4611" max="4611" width="18" style="183" customWidth="1"/>
    <col min="4612" max="4612" width="18.453125" style="183" customWidth="1"/>
    <col min="4613" max="4613" width="13.7265625" style="183" customWidth="1"/>
    <col min="4614" max="4614" width="14" style="183" customWidth="1"/>
    <col min="4615" max="4864" width="9.26953125" style="183"/>
    <col min="4865" max="4865" width="0" style="183" hidden="1" customWidth="1"/>
    <col min="4866" max="4866" width="24.7265625" style="183" customWidth="1"/>
    <col min="4867" max="4867" width="18" style="183" customWidth="1"/>
    <col min="4868" max="4868" width="18.453125" style="183" customWidth="1"/>
    <col min="4869" max="4869" width="13.7265625" style="183" customWidth="1"/>
    <col min="4870" max="4870" width="14" style="183" customWidth="1"/>
    <col min="4871" max="5120" width="9.26953125" style="183"/>
    <col min="5121" max="5121" width="0" style="183" hidden="1" customWidth="1"/>
    <col min="5122" max="5122" width="24.7265625" style="183" customWidth="1"/>
    <col min="5123" max="5123" width="18" style="183" customWidth="1"/>
    <col min="5124" max="5124" width="18.453125" style="183" customWidth="1"/>
    <col min="5125" max="5125" width="13.7265625" style="183" customWidth="1"/>
    <col min="5126" max="5126" width="14" style="183" customWidth="1"/>
    <col min="5127" max="5376" width="9.26953125" style="183"/>
    <col min="5377" max="5377" width="0" style="183" hidden="1" customWidth="1"/>
    <col min="5378" max="5378" width="24.7265625" style="183" customWidth="1"/>
    <col min="5379" max="5379" width="18" style="183" customWidth="1"/>
    <col min="5380" max="5380" width="18.453125" style="183" customWidth="1"/>
    <col min="5381" max="5381" width="13.7265625" style="183" customWidth="1"/>
    <col min="5382" max="5382" width="14" style="183" customWidth="1"/>
    <col min="5383" max="5632" width="9.26953125" style="183"/>
    <col min="5633" max="5633" width="0" style="183" hidden="1" customWidth="1"/>
    <col min="5634" max="5634" width="24.7265625" style="183" customWidth="1"/>
    <col min="5635" max="5635" width="18" style="183" customWidth="1"/>
    <col min="5636" max="5636" width="18.453125" style="183" customWidth="1"/>
    <col min="5637" max="5637" width="13.7265625" style="183" customWidth="1"/>
    <col min="5638" max="5638" width="14" style="183" customWidth="1"/>
    <col min="5639" max="5888" width="9.26953125" style="183"/>
    <col min="5889" max="5889" width="0" style="183" hidden="1" customWidth="1"/>
    <col min="5890" max="5890" width="24.7265625" style="183" customWidth="1"/>
    <col min="5891" max="5891" width="18" style="183" customWidth="1"/>
    <col min="5892" max="5892" width="18.453125" style="183" customWidth="1"/>
    <col min="5893" max="5893" width="13.7265625" style="183" customWidth="1"/>
    <col min="5894" max="5894" width="14" style="183" customWidth="1"/>
    <col min="5895" max="6144" width="9.26953125" style="183"/>
    <col min="6145" max="6145" width="0" style="183" hidden="1" customWidth="1"/>
    <col min="6146" max="6146" width="24.7265625" style="183" customWidth="1"/>
    <col min="6147" max="6147" width="18" style="183" customWidth="1"/>
    <col min="6148" max="6148" width="18.453125" style="183" customWidth="1"/>
    <col min="6149" max="6149" width="13.7265625" style="183" customWidth="1"/>
    <col min="6150" max="6150" width="14" style="183" customWidth="1"/>
    <col min="6151" max="6400" width="9.26953125" style="183"/>
    <col min="6401" max="6401" width="0" style="183" hidden="1" customWidth="1"/>
    <col min="6402" max="6402" width="24.7265625" style="183" customWidth="1"/>
    <col min="6403" max="6403" width="18" style="183" customWidth="1"/>
    <col min="6404" max="6404" width="18.453125" style="183" customWidth="1"/>
    <col min="6405" max="6405" width="13.7265625" style="183" customWidth="1"/>
    <col min="6406" max="6406" width="14" style="183" customWidth="1"/>
    <col min="6407" max="6656" width="9.26953125" style="183"/>
    <col min="6657" max="6657" width="0" style="183" hidden="1" customWidth="1"/>
    <col min="6658" max="6658" width="24.7265625" style="183" customWidth="1"/>
    <col min="6659" max="6659" width="18" style="183" customWidth="1"/>
    <col min="6660" max="6660" width="18.453125" style="183" customWidth="1"/>
    <col min="6661" max="6661" width="13.7265625" style="183" customWidth="1"/>
    <col min="6662" max="6662" width="14" style="183" customWidth="1"/>
    <col min="6663" max="6912" width="9.26953125" style="183"/>
    <col min="6913" max="6913" width="0" style="183" hidden="1" customWidth="1"/>
    <col min="6914" max="6914" width="24.7265625" style="183" customWidth="1"/>
    <col min="6915" max="6915" width="18" style="183" customWidth="1"/>
    <col min="6916" max="6916" width="18.453125" style="183" customWidth="1"/>
    <col min="6917" max="6917" width="13.7265625" style="183" customWidth="1"/>
    <col min="6918" max="6918" width="14" style="183" customWidth="1"/>
    <col min="6919" max="7168" width="9.26953125" style="183"/>
    <col min="7169" max="7169" width="0" style="183" hidden="1" customWidth="1"/>
    <col min="7170" max="7170" width="24.7265625" style="183" customWidth="1"/>
    <col min="7171" max="7171" width="18" style="183" customWidth="1"/>
    <col min="7172" max="7172" width="18.453125" style="183" customWidth="1"/>
    <col min="7173" max="7173" width="13.7265625" style="183" customWidth="1"/>
    <col min="7174" max="7174" width="14" style="183" customWidth="1"/>
    <col min="7175" max="7424" width="9.26953125" style="183"/>
    <col min="7425" max="7425" width="0" style="183" hidden="1" customWidth="1"/>
    <col min="7426" max="7426" width="24.7265625" style="183" customWidth="1"/>
    <col min="7427" max="7427" width="18" style="183" customWidth="1"/>
    <col min="7428" max="7428" width="18.453125" style="183" customWidth="1"/>
    <col min="7429" max="7429" width="13.7265625" style="183" customWidth="1"/>
    <col min="7430" max="7430" width="14" style="183" customWidth="1"/>
    <col min="7431" max="7680" width="9.26953125" style="183"/>
    <col min="7681" max="7681" width="0" style="183" hidden="1" customWidth="1"/>
    <col min="7682" max="7682" width="24.7265625" style="183" customWidth="1"/>
    <col min="7683" max="7683" width="18" style="183" customWidth="1"/>
    <col min="7684" max="7684" width="18.453125" style="183" customWidth="1"/>
    <col min="7685" max="7685" width="13.7265625" style="183" customWidth="1"/>
    <col min="7686" max="7686" width="14" style="183" customWidth="1"/>
    <col min="7687" max="7936" width="9.26953125" style="183"/>
    <col min="7937" max="7937" width="0" style="183" hidden="1" customWidth="1"/>
    <col min="7938" max="7938" width="24.7265625" style="183" customWidth="1"/>
    <col min="7939" max="7939" width="18" style="183" customWidth="1"/>
    <col min="7940" max="7940" width="18.453125" style="183" customWidth="1"/>
    <col min="7941" max="7941" width="13.7265625" style="183" customWidth="1"/>
    <col min="7942" max="7942" width="14" style="183" customWidth="1"/>
    <col min="7943" max="8192" width="9.26953125" style="183"/>
    <col min="8193" max="8193" width="0" style="183" hidden="1" customWidth="1"/>
    <col min="8194" max="8194" width="24.7265625" style="183" customWidth="1"/>
    <col min="8195" max="8195" width="18" style="183" customWidth="1"/>
    <col min="8196" max="8196" width="18.453125" style="183" customWidth="1"/>
    <col min="8197" max="8197" width="13.7265625" style="183" customWidth="1"/>
    <col min="8198" max="8198" width="14" style="183" customWidth="1"/>
    <col min="8199" max="8448" width="9.26953125" style="183"/>
    <col min="8449" max="8449" width="0" style="183" hidden="1" customWidth="1"/>
    <col min="8450" max="8450" width="24.7265625" style="183" customWidth="1"/>
    <col min="8451" max="8451" width="18" style="183" customWidth="1"/>
    <col min="8452" max="8452" width="18.453125" style="183" customWidth="1"/>
    <col min="8453" max="8453" width="13.7265625" style="183" customWidth="1"/>
    <col min="8454" max="8454" width="14" style="183" customWidth="1"/>
    <col min="8455" max="8704" width="9.26953125" style="183"/>
    <col min="8705" max="8705" width="0" style="183" hidden="1" customWidth="1"/>
    <col min="8706" max="8706" width="24.7265625" style="183" customWidth="1"/>
    <col min="8707" max="8707" width="18" style="183" customWidth="1"/>
    <col min="8708" max="8708" width="18.453125" style="183" customWidth="1"/>
    <col min="8709" max="8709" width="13.7265625" style="183" customWidth="1"/>
    <col min="8710" max="8710" width="14" style="183" customWidth="1"/>
    <col min="8711" max="8960" width="9.26953125" style="183"/>
    <col min="8961" max="8961" width="0" style="183" hidden="1" customWidth="1"/>
    <col min="8962" max="8962" width="24.7265625" style="183" customWidth="1"/>
    <col min="8963" max="8963" width="18" style="183" customWidth="1"/>
    <col min="8964" max="8964" width="18.453125" style="183" customWidth="1"/>
    <col min="8965" max="8965" width="13.7265625" style="183" customWidth="1"/>
    <col min="8966" max="8966" width="14" style="183" customWidth="1"/>
    <col min="8967" max="9216" width="9.26953125" style="183"/>
    <col min="9217" max="9217" width="0" style="183" hidden="1" customWidth="1"/>
    <col min="9218" max="9218" width="24.7265625" style="183" customWidth="1"/>
    <col min="9219" max="9219" width="18" style="183" customWidth="1"/>
    <col min="9220" max="9220" width="18.453125" style="183" customWidth="1"/>
    <col min="9221" max="9221" width="13.7265625" style="183" customWidth="1"/>
    <col min="9222" max="9222" width="14" style="183" customWidth="1"/>
    <col min="9223" max="9472" width="9.26953125" style="183"/>
    <col min="9473" max="9473" width="0" style="183" hidden="1" customWidth="1"/>
    <col min="9474" max="9474" width="24.7265625" style="183" customWidth="1"/>
    <col min="9475" max="9475" width="18" style="183" customWidth="1"/>
    <col min="9476" max="9476" width="18.453125" style="183" customWidth="1"/>
    <col min="9477" max="9477" width="13.7265625" style="183" customWidth="1"/>
    <col min="9478" max="9478" width="14" style="183" customWidth="1"/>
    <col min="9479" max="9728" width="9.26953125" style="183"/>
    <col min="9729" max="9729" width="0" style="183" hidden="1" customWidth="1"/>
    <col min="9730" max="9730" width="24.7265625" style="183" customWidth="1"/>
    <col min="9731" max="9731" width="18" style="183" customWidth="1"/>
    <col min="9732" max="9732" width="18.453125" style="183" customWidth="1"/>
    <col min="9733" max="9733" width="13.7265625" style="183" customWidth="1"/>
    <col min="9734" max="9734" width="14" style="183" customWidth="1"/>
    <col min="9735" max="9984" width="9.26953125" style="183"/>
    <col min="9985" max="9985" width="0" style="183" hidden="1" customWidth="1"/>
    <col min="9986" max="9986" width="24.7265625" style="183" customWidth="1"/>
    <col min="9987" max="9987" width="18" style="183" customWidth="1"/>
    <col min="9988" max="9988" width="18.453125" style="183" customWidth="1"/>
    <col min="9989" max="9989" width="13.7265625" style="183" customWidth="1"/>
    <col min="9990" max="9990" width="14" style="183" customWidth="1"/>
    <col min="9991" max="10240" width="9.26953125" style="183"/>
    <col min="10241" max="10241" width="0" style="183" hidden="1" customWidth="1"/>
    <col min="10242" max="10242" width="24.7265625" style="183" customWidth="1"/>
    <col min="10243" max="10243" width="18" style="183" customWidth="1"/>
    <col min="10244" max="10244" width="18.453125" style="183" customWidth="1"/>
    <col min="10245" max="10245" width="13.7265625" style="183" customWidth="1"/>
    <col min="10246" max="10246" width="14" style="183" customWidth="1"/>
    <col min="10247" max="10496" width="9.26953125" style="183"/>
    <col min="10497" max="10497" width="0" style="183" hidden="1" customWidth="1"/>
    <col min="10498" max="10498" width="24.7265625" style="183" customWidth="1"/>
    <col min="10499" max="10499" width="18" style="183" customWidth="1"/>
    <col min="10500" max="10500" width="18.453125" style="183" customWidth="1"/>
    <col min="10501" max="10501" width="13.7265625" style="183" customWidth="1"/>
    <col min="10502" max="10502" width="14" style="183" customWidth="1"/>
    <col min="10503" max="10752" width="9.26953125" style="183"/>
    <col min="10753" max="10753" width="0" style="183" hidden="1" customWidth="1"/>
    <col min="10754" max="10754" width="24.7265625" style="183" customWidth="1"/>
    <col min="10755" max="10755" width="18" style="183" customWidth="1"/>
    <col min="10756" max="10756" width="18.453125" style="183" customWidth="1"/>
    <col min="10757" max="10757" width="13.7265625" style="183" customWidth="1"/>
    <col min="10758" max="10758" width="14" style="183" customWidth="1"/>
    <col min="10759" max="11008" width="9.26953125" style="183"/>
    <col min="11009" max="11009" width="0" style="183" hidden="1" customWidth="1"/>
    <col min="11010" max="11010" width="24.7265625" style="183" customWidth="1"/>
    <col min="11011" max="11011" width="18" style="183" customWidth="1"/>
    <col min="11012" max="11012" width="18.453125" style="183" customWidth="1"/>
    <col min="11013" max="11013" width="13.7265625" style="183" customWidth="1"/>
    <col min="11014" max="11014" width="14" style="183" customWidth="1"/>
    <col min="11015" max="11264" width="9.26953125" style="183"/>
    <col min="11265" max="11265" width="0" style="183" hidden="1" customWidth="1"/>
    <col min="11266" max="11266" width="24.7265625" style="183" customWidth="1"/>
    <col min="11267" max="11267" width="18" style="183" customWidth="1"/>
    <col min="11268" max="11268" width="18.453125" style="183" customWidth="1"/>
    <col min="11269" max="11269" width="13.7265625" style="183" customWidth="1"/>
    <col min="11270" max="11270" width="14" style="183" customWidth="1"/>
    <col min="11271" max="11520" width="9.26953125" style="183"/>
    <col min="11521" max="11521" width="0" style="183" hidden="1" customWidth="1"/>
    <col min="11522" max="11522" width="24.7265625" style="183" customWidth="1"/>
    <col min="11523" max="11523" width="18" style="183" customWidth="1"/>
    <col min="11524" max="11524" width="18.453125" style="183" customWidth="1"/>
    <col min="11525" max="11525" width="13.7265625" style="183" customWidth="1"/>
    <col min="11526" max="11526" width="14" style="183" customWidth="1"/>
    <col min="11527" max="11776" width="9.26953125" style="183"/>
    <col min="11777" max="11777" width="0" style="183" hidden="1" customWidth="1"/>
    <col min="11778" max="11778" width="24.7265625" style="183" customWidth="1"/>
    <col min="11779" max="11779" width="18" style="183" customWidth="1"/>
    <col min="11780" max="11780" width="18.453125" style="183" customWidth="1"/>
    <col min="11781" max="11781" width="13.7265625" style="183" customWidth="1"/>
    <col min="11782" max="11782" width="14" style="183" customWidth="1"/>
    <col min="11783" max="12032" width="9.26953125" style="183"/>
    <col min="12033" max="12033" width="0" style="183" hidden="1" customWidth="1"/>
    <col min="12034" max="12034" width="24.7265625" style="183" customWidth="1"/>
    <col min="12035" max="12035" width="18" style="183" customWidth="1"/>
    <col min="12036" max="12036" width="18.453125" style="183" customWidth="1"/>
    <col min="12037" max="12037" width="13.7265625" style="183" customWidth="1"/>
    <col min="12038" max="12038" width="14" style="183" customWidth="1"/>
    <col min="12039" max="12288" width="9.26953125" style="183"/>
    <col min="12289" max="12289" width="0" style="183" hidden="1" customWidth="1"/>
    <col min="12290" max="12290" width="24.7265625" style="183" customWidth="1"/>
    <col min="12291" max="12291" width="18" style="183" customWidth="1"/>
    <col min="12292" max="12292" width="18.453125" style="183" customWidth="1"/>
    <col min="12293" max="12293" width="13.7265625" style="183" customWidth="1"/>
    <col min="12294" max="12294" width="14" style="183" customWidth="1"/>
    <col min="12295" max="12544" width="9.26953125" style="183"/>
    <col min="12545" max="12545" width="0" style="183" hidden="1" customWidth="1"/>
    <col min="12546" max="12546" width="24.7265625" style="183" customWidth="1"/>
    <col min="12547" max="12547" width="18" style="183" customWidth="1"/>
    <col min="12548" max="12548" width="18.453125" style="183" customWidth="1"/>
    <col min="12549" max="12549" width="13.7265625" style="183" customWidth="1"/>
    <col min="12550" max="12550" width="14" style="183" customWidth="1"/>
    <col min="12551" max="12800" width="9.26953125" style="183"/>
    <col min="12801" max="12801" width="0" style="183" hidden="1" customWidth="1"/>
    <col min="12802" max="12802" width="24.7265625" style="183" customWidth="1"/>
    <col min="12803" max="12803" width="18" style="183" customWidth="1"/>
    <col min="12804" max="12804" width="18.453125" style="183" customWidth="1"/>
    <col min="12805" max="12805" width="13.7265625" style="183" customWidth="1"/>
    <col min="12806" max="12806" width="14" style="183" customWidth="1"/>
    <col min="12807" max="13056" width="9.26953125" style="183"/>
    <col min="13057" max="13057" width="0" style="183" hidden="1" customWidth="1"/>
    <col min="13058" max="13058" width="24.7265625" style="183" customWidth="1"/>
    <col min="13059" max="13059" width="18" style="183" customWidth="1"/>
    <col min="13060" max="13060" width="18.453125" style="183" customWidth="1"/>
    <col min="13061" max="13061" width="13.7265625" style="183" customWidth="1"/>
    <col min="13062" max="13062" width="14" style="183" customWidth="1"/>
    <col min="13063" max="13312" width="9.26953125" style="183"/>
    <col min="13313" max="13313" width="0" style="183" hidden="1" customWidth="1"/>
    <col min="13314" max="13314" width="24.7265625" style="183" customWidth="1"/>
    <col min="13315" max="13315" width="18" style="183" customWidth="1"/>
    <col min="13316" max="13316" width="18.453125" style="183" customWidth="1"/>
    <col min="13317" max="13317" width="13.7265625" style="183" customWidth="1"/>
    <col min="13318" max="13318" width="14" style="183" customWidth="1"/>
    <col min="13319" max="13568" width="9.26953125" style="183"/>
    <col min="13569" max="13569" width="0" style="183" hidden="1" customWidth="1"/>
    <col min="13570" max="13570" width="24.7265625" style="183" customWidth="1"/>
    <col min="13571" max="13571" width="18" style="183" customWidth="1"/>
    <col min="13572" max="13572" width="18.453125" style="183" customWidth="1"/>
    <col min="13573" max="13573" width="13.7265625" style="183" customWidth="1"/>
    <col min="13574" max="13574" width="14" style="183" customWidth="1"/>
    <col min="13575" max="13824" width="9.26953125" style="183"/>
    <col min="13825" max="13825" width="0" style="183" hidden="1" customWidth="1"/>
    <col min="13826" max="13826" width="24.7265625" style="183" customWidth="1"/>
    <col min="13827" max="13827" width="18" style="183" customWidth="1"/>
    <col min="13828" max="13828" width="18.453125" style="183" customWidth="1"/>
    <col min="13829" max="13829" width="13.7265625" style="183" customWidth="1"/>
    <col min="13830" max="13830" width="14" style="183" customWidth="1"/>
    <col min="13831" max="14080" width="9.26953125" style="183"/>
    <col min="14081" max="14081" width="0" style="183" hidden="1" customWidth="1"/>
    <col min="14082" max="14082" width="24.7265625" style="183" customWidth="1"/>
    <col min="14083" max="14083" width="18" style="183" customWidth="1"/>
    <col min="14084" max="14084" width="18.453125" style="183" customWidth="1"/>
    <col min="14085" max="14085" width="13.7265625" style="183" customWidth="1"/>
    <col min="14086" max="14086" width="14" style="183" customWidth="1"/>
    <col min="14087" max="14336" width="9.26953125" style="183"/>
    <col min="14337" max="14337" width="0" style="183" hidden="1" customWidth="1"/>
    <col min="14338" max="14338" width="24.7265625" style="183" customWidth="1"/>
    <col min="14339" max="14339" width="18" style="183" customWidth="1"/>
    <col min="14340" max="14340" width="18.453125" style="183" customWidth="1"/>
    <col min="14341" max="14341" width="13.7265625" style="183" customWidth="1"/>
    <col min="14342" max="14342" width="14" style="183" customWidth="1"/>
    <col min="14343" max="14592" width="9.26953125" style="183"/>
    <col min="14593" max="14593" width="0" style="183" hidden="1" customWidth="1"/>
    <col min="14594" max="14594" width="24.7265625" style="183" customWidth="1"/>
    <col min="14595" max="14595" width="18" style="183" customWidth="1"/>
    <col min="14596" max="14596" width="18.453125" style="183" customWidth="1"/>
    <col min="14597" max="14597" width="13.7265625" style="183" customWidth="1"/>
    <col min="14598" max="14598" width="14" style="183" customWidth="1"/>
    <col min="14599" max="14848" width="9.26953125" style="183"/>
    <col min="14849" max="14849" width="0" style="183" hidden="1" customWidth="1"/>
    <col min="14850" max="14850" width="24.7265625" style="183" customWidth="1"/>
    <col min="14851" max="14851" width="18" style="183" customWidth="1"/>
    <col min="14852" max="14852" width="18.453125" style="183" customWidth="1"/>
    <col min="14853" max="14853" width="13.7265625" style="183" customWidth="1"/>
    <col min="14854" max="14854" width="14" style="183" customWidth="1"/>
    <col min="14855" max="15104" width="9.26953125" style="183"/>
    <col min="15105" max="15105" width="0" style="183" hidden="1" customWidth="1"/>
    <col min="15106" max="15106" width="24.7265625" style="183" customWidth="1"/>
    <col min="15107" max="15107" width="18" style="183" customWidth="1"/>
    <col min="15108" max="15108" width="18.453125" style="183" customWidth="1"/>
    <col min="15109" max="15109" width="13.7265625" style="183" customWidth="1"/>
    <col min="15110" max="15110" width="14" style="183" customWidth="1"/>
    <col min="15111" max="15360" width="9.26953125" style="183"/>
    <col min="15361" max="15361" width="0" style="183" hidden="1" customWidth="1"/>
    <col min="15362" max="15362" width="24.7265625" style="183" customWidth="1"/>
    <col min="15363" max="15363" width="18" style="183" customWidth="1"/>
    <col min="15364" max="15364" width="18.453125" style="183" customWidth="1"/>
    <col min="15365" max="15365" width="13.7265625" style="183" customWidth="1"/>
    <col min="15366" max="15366" width="14" style="183" customWidth="1"/>
    <col min="15367" max="15616" width="9.26953125" style="183"/>
    <col min="15617" max="15617" width="0" style="183" hidden="1" customWidth="1"/>
    <col min="15618" max="15618" width="24.7265625" style="183" customWidth="1"/>
    <col min="15619" max="15619" width="18" style="183" customWidth="1"/>
    <col min="15620" max="15620" width="18.453125" style="183" customWidth="1"/>
    <col min="15621" max="15621" width="13.7265625" style="183" customWidth="1"/>
    <col min="15622" max="15622" width="14" style="183" customWidth="1"/>
    <col min="15623" max="15872" width="9.26953125" style="183"/>
    <col min="15873" max="15873" width="0" style="183" hidden="1" customWidth="1"/>
    <col min="15874" max="15874" width="24.7265625" style="183" customWidth="1"/>
    <col min="15875" max="15875" width="18" style="183" customWidth="1"/>
    <col min="15876" max="15876" width="18.453125" style="183" customWidth="1"/>
    <col min="15877" max="15877" width="13.7265625" style="183" customWidth="1"/>
    <col min="15878" max="15878" width="14" style="183" customWidth="1"/>
    <col min="15879" max="16128" width="9.26953125" style="183"/>
    <col min="16129" max="16129" width="0" style="183" hidden="1" customWidth="1"/>
    <col min="16130" max="16130" width="24.7265625" style="183" customWidth="1"/>
    <col min="16131" max="16131" width="18" style="183" customWidth="1"/>
    <col min="16132" max="16132" width="18.453125" style="183" customWidth="1"/>
    <col min="16133" max="16133" width="13.7265625" style="183" customWidth="1"/>
    <col min="16134" max="16134" width="14" style="183" customWidth="1"/>
    <col min="16135" max="16384" width="9.26953125" style="183"/>
  </cols>
  <sheetData>
    <row r="1" spans="1:9" ht="48.75" customHeight="1" x14ac:dyDescent="0.3">
      <c r="B1" s="316"/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f>C5+C44</f>
        <v>922</v>
      </c>
      <c r="D4" s="49">
        <f>D5+D44</f>
        <v>181</v>
      </c>
      <c r="E4" s="49">
        <f>E5+E44</f>
        <v>37</v>
      </c>
      <c r="F4" s="49">
        <f>F5+F44</f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f>SUM(C6:C43)</f>
        <v>754</v>
      </c>
      <c r="D5" s="42">
        <f>SUM(D6:D43)</f>
        <v>137</v>
      </c>
      <c r="E5" s="42">
        <f>SUM(E6:E43)</f>
        <v>31</v>
      </c>
      <c r="F5" s="42">
        <f>SUM(F6:F43)</f>
        <v>0</v>
      </c>
    </row>
    <row r="6" spans="1:9" x14ac:dyDescent="0.3">
      <c r="A6" s="12">
        <v>51</v>
      </c>
      <c r="B6" s="183" t="s">
        <v>8</v>
      </c>
      <c r="C6" s="37">
        <v>29</v>
      </c>
      <c r="D6" s="37">
        <v>6</v>
      </c>
      <c r="E6" s="37">
        <v>0</v>
      </c>
      <c r="F6" s="37">
        <v>0</v>
      </c>
    </row>
    <row r="7" spans="1:9" x14ac:dyDescent="0.3">
      <c r="A7" s="12">
        <v>52</v>
      </c>
      <c r="B7" s="183" t="s">
        <v>9</v>
      </c>
      <c r="C7" s="37">
        <v>11</v>
      </c>
      <c r="D7" s="37">
        <v>2</v>
      </c>
      <c r="E7" s="37">
        <v>0</v>
      </c>
      <c r="F7" s="37">
        <v>0</v>
      </c>
    </row>
    <row r="8" spans="1:9" x14ac:dyDescent="0.3">
      <c r="A8" s="12">
        <v>86</v>
      </c>
      <c r="B8" s="183" t="s">
        <v>10</v>
      </c>
      <c r="C8" s="37">
        <v>14</v>
      </c>
      <c r="D8" s="37">
        <v>1</v>
      </c>
      <c r="E8" s="37">
        <v>0</v>
      </c>
      <c r="F8" s="37">
        <v>0</v>
      </c>
    </row>
    <row r="9" spans="1:9" x14ac:dyDescent="0.3">
      <c r="A9" s="12">
        <v>53</v>
      </c>
      <c r="B9" s="183" t="s">
        <v>11</v>
      </c>
      <c r="C9" s="37">
        <v>16</v>
      </c>
      <c r="D9" s="37">
        <v>1</v>
      </c>
      <c r="E9" s="37">
        <v>0</v>
      </c>
      <c r="F9" s="37">
        <v>0</v>
      </c>
    </row>
    <row r="10" spans="1:9" x14ac:dyDescent="0.3">
      <c r="A10" s="12">
        <v>54</v>
      </c>
      <c r="B10" s="183" t="s">
        <v>12</v>
      </c>
      <c r="C10" s="37">
        <v>39</v>
      </c>
      <c r="D10" s="37">
        <v>4</v>
      </c>
      <c r="E10" s="37">
        <v>6</v>
      </c>
      <c r="F10" s="37">
        <v>0</v>
      </c>
    </row>
    <row r="11" spans="1:9" x14ac:dyDescent="0.3">
      <c r="A11" s="12">
        <v>55</v>
      </c>
      <c r="B11" s="183" t="s">
        <v>13</v>
      </c>
      <c r="C11" s="37">
        <v>8</v>
      </c>
      <c r="D11" s="37">
        <v>1</v>
      </c>
      <c r="E11" s="37">
        <v>0</v>
      </c>
      <c r="F11" s="37">
        <v>0</v>
      </c>
    </row>
    <row r="12" spans="1:9" x14ac:dyDescent="0.3">
      <c r="A12" s="12">
        <v>56</v>
      </c>
      <c r="B12" s="183" t="s">
        <v>14</v>
      </c>
      <c r="C12" s="37">
        <v>4</v>
      </c>
      <c r="D12" s="37">
        <v>0</v>
      </c>
      <c r="E12" s="37">
        <v>0</v>
      </c>
      <c r="F12" s="37">
        <v>0</v>
      </c>
    </row>
    <row r="13" spans="1:9" x14ac:dyDescent="0.3">
      <c r="A13" s="12">
        <v>57</v>
      </c>
      <c r="B13" s="183" t="s">
        <v>15</v>
      </c>
      <c r="C13" s="37">
        <v>8</v>
      </c>
      <c r="D13" s="37">
        <v>0</v>
      </c>
      <c r="E13" s="37">
        <v>2</v>
      </c>
      <c r="F13" s="37">
        <v>0</v>
      </c>
    </row>
    <row r="14" spans="1:9" x14ac:dyDescent="0.3">
      <c r="A14" s="12">
        <v>59</v>
      </c>
      <c r="B14" s="183" t="s">
        <v>16</v>
      </c>
      <c r="C14" s="37">
        <v>8</v>
      </c>
      <c r="D14" s="37">
        <v>2</v>
      </c>
      <c r="E14" s="37">
        <v>0</v>
      </c>
      <c r="F14" s="37">
        <v>0</v>
      </c>
    </row>
    <row r="15" spans="1:9" x14ac:dyDescent="0.3">
      <c r="A15" s="12">
        <v>60</v>
      </c>
      <c r="B15" s="183" t="s">
        <v>17</v>
      </c>
      <c r="C15" s="37">
        <v>12</v>
      </c>
      <c r="D15" s="37">
        <v>2</v>
      </c>
      <c r="E15" s="37">
        <v>2</v>
      </c>
      <c r="F15" s="37">
        <v>0</v>
      </c>
    </row>
    <row r="16" spans="1:9" x14ac:dyDescent="0.3">
      <c r="A16" s="12">
        <v>61</v>
      </c>
      <c r="B16" s="38" t="s">
        <v>18</v>
      </c>
      <c r="C16" s="37">
        <v>27</v>
      </c>
      <c r="D16" s="37">
        <v>15</v>
      </c>
      <c r="E16" s="37">
        <v>1</v>
      </c>
      <c r="F16" s="37">
        <v>0</v>
      </c>
    </row>
    <row r="17" spans="1:6" x14ac:dyDescent="0.3">
      <c r="A17" s="12"/>
      <c r="B17" s="130" t="s">
        <v>122</v>
      </c>
      <c r="C17" s="37">
        <v>33</v>
      </c>
      <c r="D17" s="37">
        <v>3</v>
      </c>
      <c r="E17" s="37">
        <v>1</v>
      </c>
      <c r="F17" s="37">
        <v>0</v>
      </c>
    </row>
    <row r="18" spans="1:6" x14ac:dyDescent="0.3">
      <c r="A18" s="12">
        <v>58</v>
      </c>
      <c r="B18" s="183" t="s">
        <v>20</v>
      </c>
      <c r="C18" s="37">
        <v>3</v>
      </c>
      <c r="D18" s="37">
        <v>1</v>
      </c>
      <c r="E18" s="37">
        <v>0</v>
      </c>
      <c r="F18" s="37">
        <v>0</v>
      </c>
    </row>
    <row r="19" spans="1:6" x14ac:dyDescent="0.3">
      <c r="A19" s="12">
        <v>63</v>
      </c>
      <c r="B19" s="183" t="s">
        <v>21</v>
      </c>
      <c r="C19" s="37">
        <v>23</v>
      </c>
      <c r="D19" s="37">
        <v>4</v>
      </c>
      <c r="E19" s="37">
        <v>1</v>
      </c>
      <c r="F19" s="37">
        <v>0</v>
      </c>
    </row>
    <row r="20" spans="1:6" x14ac:dyDescent="0.3">
      <c r="A20" s="12">
        <v>64</v>
      </c>
      <c r="B20" s="183" t="s">
        <v>22</v>
      </c>
      <c r="C20" s="37">
        <v>37</v>
      </c>
      <c r="D20" s="37">
        <v>6</v>
      </c>
      <c r="E20" s="37">
        <v>0</v>
      </c>
      <c r="F20" s="37">
        <v>0</v>
      </c>
    </row>
    <row r="21" spans="1:6" x14ac:dyDescent="0.3">
      <c r="A21" s="12">
        <v>65</v>
      </c>
      <c r="B21" s="183" t="s">
        <v>23</v>
      </c>
      <c r="C21" s="37">
        <v>35</v>
      </c>
      <c r="D21" s="37">
        <v>0</v>
      </c>
      <c r="E21" s="37">
        <v>0</v>
      </c>
      <c r="F21" s="37">
        <v>0</v>
      </c>
    </row>
    <row r="22" spans="1:6" x14ac:dyDescent="0.3">
      <c r="A22" s="12">
        <v>67</v>
      </c>
      <c r="B22" s="183" t="s">
        <v>24</v>
      </c>
      <c r="C22" s="37">
        <v>41</v>
      </c>
      <c r="D22" s="37">
        <v>7</v>
      </c>
      <c r="E22" s="37">
        <v>0</v>
      </c>
      <c r="F22" s="37">
        <v>0</v>
      </c>
    </row>
    <row r="23" spans="1:6" x14ac:dyDescent="0.3">
      <c r="A23" s="12">
        <v>68</v>
      </c>
      <c r="B23" s="183" t="s">
        <v>25</v>
      </c>
      <c r="C23" s="37">
        <v>31</v>
      </c>
      <c r="D23" s="37">
        <v>6</v>
      </c>
      <c r="E23" s="37">
        <v>0</v>
      </c>
      <c r="F23" s="37">
        <v>0</v>
      </c>
    </row>
    <row r="24" spans="1:6" x14ac:dyDescent="0.3">
      <c r="A24" s="12">
        <v>69</v>
      </c>
      <c r="B24" s="183" t="s">
        <v>26</v>
      </c>
      <c r="C24" s="37">
        <v>22</v>
      </c>
      <c r="D24" s="37">
        <v>9</v>
      </c>
      <c r="E24" s="37">
        <v>0</v>
      </c>
      <c r="F24" s="37">
        <v>0</v>
      </c>
    </row>
    <row r="25" spans="1:6" x14ac:dyDescent="0.3">
      <c r="A25" s="12">
        <v>70</v>
      </c>
      <c r="B25" s="183" t="s">
        <v>27</v>
      </c>
      <c r="C25" s="37">
        <v>38</v>
      </c>
      <c r="D25" s="37">
        <v>7</v>
      </c>
      <c r="E25" s="37">
        <v>2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4</v>
      </c>
      <c r="D26" s="37">
        <v>0</v>
      </c>
      <c r="E26" s="37">
        <v>0</v>
      </c>
      <c r="F26" s="37">
        <v>0</v>
      </c>
    </row>
    <row r="27" spans="1:6" x14ac:dyDescent="0.3">
      <c r="A27" s="12">
        <v>73</v>
      </c>
      <c r="B27" s="183" t="s">
        <v>29</v>
      </c>
      <c r="C27" s="37">
        <v>25</v>
      </c>
      <c r="D27" s="37">
        <v>8</v>
      </c>
      <c r="E27" s="37">
        <v>1</v>
      </c>
      <c r="F27" s="37">
        <v>0</v>
      </c>
    </row>
    <row r="28" spans="1:6" x14ac:dyDescent="0.3">
      <c r="A28" s="12">
        <v>74</v>
      </c>
      <c r="B28" s="183" t="s">
        <v>30</v>
      </c>
      <c r="C28" s="37">
        <v>22</v>
      </c>
      <c r="D28" s="37">
        <v>9</v>
      </c>
      <c r="E28" s="37">
        <v>0</v>
      </c>
      <c r="F28" s="37">
        <v>0</v>
      </c>
    </row>
    <row r="29" spans="1:6" x14ac:dyDescent="0.3">
      <c r="A29" s="12">
        <v>75</v>
      </c>
      <c r="B29" s="183" t="s">
        <v>31</v>
      </c>
      <c r="C29" s="37">
        <v>29</v>
      </c>
      <c r="D29" s="37">
        <v>18</v>
      </c>
      <c r="E29" s="37">
        <v>11</v>
      </c>
      <c r="F29" s="37">
        <v>0</v>
      </c>
    </row>
    <row r="30" spans="1:6" x14ac:dyDescent="0.3">
      <c r="A30" s="12">
        <v>76</v>
      </c>
      <c r="B30" s="183" t="s">
        <v>32</v>
      </c>
      <c r="C30" s="37">
        <v>11</v>
      </c>
      <c r="D30" s="37">
        <v>2</v>
      </c>
      <c r="E30" s="37">
        <v>0</v>
      </c>
      <c r="F30" s="37">
        <v>0</v>
      </c>
    </row>
    <row r="31" spans="1:6" x14ac:dyDescent="0.3">
      <c r="A31" s="12">
        <v>79</v>
      </c>
      <c r="B31" s="183" t="s">
        <v>33</v>
      </c>
      <c r="C31" s="37">
        <v>37</v>
      </c>
      <c r="D31" s="37">
        <v>2</v>
      </c>
      <c r="E31" s="37">
        <v>0</v>
      </c>
      <c r="F31" s="37">
        <v>0</v>
      </c>
    </row>
    <row r="32" spans="1:6" x14ac:dyDescent="0.3">
      <c r="A32" s="12">
        <v>80</v>
      </c>
      <c r="B32" s="183" t="s">
        <v>34</v>
      </c>
      <c r="C32" s="37">
        <v>36</v>
      </c>
      <c r="D32" s="37">
        <v>4</v>
      </c>
      <c r="E32" s="37">
        <v>3</v>
      </c>
      <c r="F32" s="37">
        <v>0</v>
      </c>
    </row>
    <row r="33" spans="1:10" x14ac:dyDescent="0.3">
      <c r="A33" s="12">
        <v>81</v>
      </c>
      <c r="B33" s="183" t="s">
        <v>35</v>
      </c>
      <c r="C33" s="37">
        <v>14</v>
      </c>
      <c r="D33" s="37">
        <v>3</v>
      </c>
      <c r="E33" s="37">
        <v>0</v>
      </c>
      <c r="F33" s="37">
        <v>0</v>
      </c>
    </row>
    <row r="34" spans="1:10" x14ac:dyDescent="0.3">
      <c r="A34" s="12">
        <v>83</v>
      </c>
      <c r="B34" s="183" t="s">
        <v>36</v>
      </c>
      <c r="C34" s="37">
        <v>9</v>
      </c>
      <c r="D34" s="37">
        <v>0</v>
      </c>
      <c r="E34" s="37">
        <v>0</v>
      </c>
      <c r="F34" s="37">
        <v>0</v>
      </c>
    </row>
    <row r="35" spans="1:10" x14ac:dyDescent="0.3">
      <c r="A35" s="12">
        <v>84</v>
      </c>
      <c r="B35" s="183" t="s">
        <v>37</v>
      </c>
      <c r="C35" s="37">
        <v>9</v>
      </c>
      <c r="D35" s="37">
        <v>1</v>
      </c>
      <c r="E35" s="37">
        <v>0</v>
      </c>
      <c r="F35" s="37">
        <v>0</v>
      </c>
    </row>
    <row r="36" spans="1:10" ht="14" x14ac:dyDescent="0.3">
      <c r="A36" s="12">
        <v>85</v>
      </c>
      <c r="B36" s="183" t="s">
        <v>38</v>
      </c>
      <c r="C36" s="37">
        <v>23</v>
      </c>
      <c r="D36" s="37">
        <v>2</v>
      </c>
      <c r="E36" s="37">
        <v>0</v>
      </c>
      <c r="F36" s="37">
        <v>0</v>
      </c>
      <c r="G36" s="11"/>
    </row>
    <row r="37" spans="1:10" ht="14" x14ac:dyDescent="0.3">
      <c r="A37" s="12">
        <v>87</v>
      </c>
      <c r="B37" s="183" t="s">
        <v>39</v>
      </c>
      <c r="C37" s="37">
        <v>8</v>
      </c>
      <c r="D37" s="37">
        <v>2</v>
      </c>
      <c r="E37" s="37">
        <v>0</v>
      </c>
      <c r="F37" s="37">
        <v>0</v>
      </c>
      <c r="H37" s="11"/>
      <c r="I37" s="11"/>
    </row>
    <row r="38" spans="1:10" x14ac:dyDescent="0.3">
      <c r="A38" s="12">
        <v>90</v>
      </c>
      <c r="B38" s="183" t="s">
        <v>40</v>
      </c>
      <c r="C38" s="37">
        <v>19</v>
      </c>
      <c r="D38" s="37">
        <v>0</v>
      </c>
      <c r="E38" s="37">
        <v>1</v>
      </c>
      <c r="F38" s="37">
        <v>0</v>
      </c>
    </row>
    <row r="39" spans="1:10" x14ac:dyDescent="0.3">
      <c r="A39" s="12">
        <v>91</v>
      </c>
      <c r="B39" s="183" t="s">
        <v>41</v>
      </c>
      <c r="C39" s="37">
        <v>32</v>
      </c>
      <c r="D39" s="37">
        <v>6</v>
      </c>
      <c r="E39" s="37">
        <v>0</v>
      </c>
      <c r="F39" s="37">
        <v>0</v>
      </c>
    </row>
    <row r="40" spans="1:10" x14ac:dyDescent="0.3">
      <c r="A40" s="12">
        <v>92</v>
      </c>
      <c r="B40" s="183" t="s">
        <v>42</v>
      </c>
      <c r="C40" s="37">
        <v>16</v>
      </c>
      <c r="D40" s="37">
        <v>1</v>
      </c>
      <c r="E40" s="37">
        <v>0</v>
      </c>
      <c r="F40" s="37">
        <v>0</v>
      </c>
    </row>
    <row r="41" spans="1:10" x14ac:dyDescent="0.3">
      <c r="A41" s="12">
        <v>94</v>
      </c>
      <c r="B41" s="183" t="s">
        <v>43</v>
      </c>
      <c r="C41" s="37">
        <v>8</v>
      </c>
      <c r="D41" s="37">
        <v>2</v>
      </c>
      <c r="E41" s="37">
        <v>0</v>
      </c>
      <c r="F41" s="37">
        <v>0</v>
      </c>
    </row>
    <row r="42" spans="1:10" ht="14" x14ac:dyDescent="0.3">
      <c r="A42" s="12">
        <v>96</v>
      </c>
      <c r="B42" s="183" t="s">
        <v>44</v>
      </c>
      <c r="C42" s="37">
        <v>13</v>
      </c>
      <c r="D42" s="37">
        <v>0</v>
      </c>
      <c r="E42" s="37">
        <v>0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f>SUM(C45:C51)</f>
        <v>168</v>
      </c>
      <c r="D44" s="42">
        <f t="shared" ref="D44:F44" si="0">SUM(D45:D51)</f>
        <v>44</v>
      </c>
      <c r="E44" s="42">
        <f t="shared" si="0"/>
        <v>6</v>
      </c>
      <c r="F44" s="42">
        <f t="shared" si="0"/>
        <v>0</v>
      </c>
    </row>
    <row r="45" spans="1:10" x14ac:dyDescent="0.3">
      <c r="A45" s="12">
        <v>66</v>
      </c>
      <c r="B45" s="183" t="s">
        <v>48</v>
      </c>
      <c r="C45" s="37">
        <v>21</v>
      </c>
      <c r="D45" s="37">
        <v>4</v>
      </c>
      <c r="E45" s="37">
        <v>1</v>
      </c>
      <c r="F45" s="37">
        <v>0</v>
      </c>
    </row>
    <row r="46" spans="1:10" x14ac:dyDescent="0.3">
      <c r="A46" s="12">
        <v>78</v>
      </c>
      <c r="B46" s="183" t="s">
        <v>49</v>
      </c>
      <c r="C46" s="37">
        <v>6</v>
      </c>
      <c r="D46" s="37">
        <v>0</v>
      </c>
      <c r="E46" s="37">
        <v>0</v>
      </c>
      <c r="F46" s="37">
        <v>0</v>
      </c>
    </row>
    <row r="47" spans="1:10" x14ac:dyDescent="0.3">
      <c r="A47" s="12">
        <v>89</v>
      </c>
      <c r="B47" s="183" t="s">
        <v>50</v>
      </c>
      <c r="C47" s="37">
        <v>13</v>
      </c>
      <c r="D47" s="37">
        <v>2</v>
      </c>
      <c r="E47" s="37">
        <v>3</v>
      </c>
      <c r="F47" s="37">
        <v>0</v>
      </c>
    </row>
    <row r="48" spans="1:10" x14ac:dyDescent="0.3">
      <c r="A48" s="12">
        <v>93</v>
      </c>
      <c r="B48" s="183" t="s">
        <v>51</v>
      </c>
      <c r="C48" s="37">
        <v>6</v>
      </c>
      <c r="D48" s="37">
        <v>3</v>
      </c>
      <c r="E48" s="37">
        <v>0</v>
      </c>
      <c r="F48" s="37">
        <v>0</v>
      </c>
    </row>
    <row r="49" spans="1:6" x14ac:dyDescent="0.3">
      <c r="A49" s="12">
        <v>95</v>
      </c>
      <c r="B49" s="183" t="s">
        <v>52</v>
      </c>
      <c r="C49" s="37">
        <v>20</v>
      </c>
      <c r="D49" s="37">
        <v>5</v>
      </c>
      <c r="E49" s="37">
        <v>0</v>
      </c>
      <c r="F49" s="37">
        <v>0</v>
      </c>
    </row>
    <row r="50" spans="1:6" x14ac:dyDescent="0.3">
      <c r="A50" s="12">
        <v>97</v>
      </c>
      <c r="B50" s="183" t="s">
        <v>53</v>
      </c>
      <c r="C50" s="37">
        <v>58</v>
      </c>
      <c r="D50" s="37">
        <v>15</v>
      </c>
      <c r="E50" s="37">
        <v>2</v>
      </c>
      <c r="F50" s="37">
        <v>0</v>
      </c>
    </row>
    <row r="51" spans="1:6" x14ac:dyDescent="0.3">
      <c r="A51" s="12">
        <v>77</v>
      </c>
      <c r="B51" s="185" t="s">
        <v>54</v>
      </c>
      <c r="C51" s="37">
        <v>44</v>
      </c>
      <c r="D51" s="37">
        <v>15</v>
      </c>
      <c r="E51" s="37">
        <v>0</v>
      </c>
      <c r="F51" s="37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182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FF0000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183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9.26953125" style="183"/>
    <col min="257" max="257" width="0" style="183" hidden="1" customWidth="1"/>
    <col min="258" max="258" width="24.7265625" style="183" customWidth="1"/>
    <col min="259" max="259" width="18" style="183" customWidth="1"/>
    <col min="260" max="260" width="18.453125" style="183" customWidth="1"/>
    <col min="261" max="261" width="13.7265625" style="183" customWidth="1"/>
    <col min="262" max="262" width="14" style="183" customWidth="1"/>
    <col min="263" max="512" width="9.26953125" style="183"/>
    <col min="513" max="513" width="0" style="183" hidden="1" customWidth="1"/>
    <col min="514" max="514" width="24.7265625" style="183" customWidth="1"/>
    <col min="515" max="515" width="18" style="183" customWidth="1"/>
    <col min="516" max="516" width="18.453125" style="183" customWidth="1"/>
    <col min="517" max="517" width="13.7265625" style="183" customWidth="1"/>
    <col min="518" max="518" width="14" style="183" customWidth="1"/>
    <col min="519" max="768" width="9.26953125" style="183"/>
    <col min="769" max="769" width="0" style="183" hidden="1" customWidth="1"/>
    <col min="770" max="770" width="24.7265625" style="183" customWidth="1"/>
    <col min="771" max="771" width="18" style="183" customWidth="1"/>
    <col min="772" max="772" width="18.453125" style="183" customWidth="1"/>
    <col min="773" max="773" width="13.7265625" style="183" customWidth="1"/>
    <col min="774" max="774" width="14" style="183" customWidth="1"/>
    <col min="775" max="1024" width="9.26953125" style="183"/>
    <col min="1025" max="1025" width="0" style="183" hidden="1" customWidth="1"/>
    <col min="1026" max="1026" width="24.7265625" style="183" customWidth="1"/>
    <col min="1027" max="1027" width="18" style="183" customWidth="1"/>
    <col min="1028" max="1028" width="18.453125" style="183" customWidth="1"/>
    <col min="1029" max="1029" width="13.7265625" style="183" customWidth="1"/>
    <col min="1030" max="1030" width="14" style="183" customWidth="1"/>
    <col min="1031" max="1280" width="9.26953125" style="183"/>
    <col min="1281" max="1281" width="0" style="183" hidden="1" customWidth="1"/>
    <col min="1282" max="1282" width="24.7265625" style="183" customWidth="1"/>
    <col min="1283" max="1283" width="18" style="183" customWidth="1"/>
    <col min="1284" max="1284" width="18.453125" style="183" customWidth="1"/>
    <col min="1285" max="1285" width="13.7265625" style="183" customWidth="1"/>
    <col min="1286" max="1286" width="14" style="183" customWidth="1"/>
    <col min="1287" max="1536" width="9.26953125" style="183"/>
    <col min="1537" max="1537" width="0" style="183" hidden="1" customWidth="1"/>
    <col min="1538" max="1538" width="24.7265625" style="183" customWidth="1"/>
    <col min="1539" max="1539" width="18" style="183" customWidth="1"/>
    <col min="1540" max="1540" width="18.453125" style="183" customWidth="1"/>
    <col min="1541" max="1541" width="13.7265625" style="183" customWidth="1"/>
    <col min="1542" max="1542" width="14" style="183" customWidth="1"/>
    <col min="1543" max="1792" width="9.26953125" style="183"/>
    <col min="1793" max="1793" width="0" style="183" hidden="1" customWidth="1"/>
    <col min="1794" max="1794" width="24.7265625" style="183" customWidth="1"/>
    <col min="1795" max="1795" width="18" style="183" customWidth="1"/>
    <col min="1796" max="1796" width="18.453125" style="183" customWidth="1"/>
    <col min="1797" max="1797" width="13.7265625" style="183" customWidth="1"/>
    <col min="1798" max="1798" width="14" style="183" customWidth="1"/>
    <col min="1799" max="2048" width="9.26953125" style="183"/>
    <col min="2049" max="2049" width="0" style="183" hidden="1" customWidth="1"/>
    <col min="2050" max="2050" width="24.7265625" style="183" customWidth="1"/>
    <col min="2051" max="2051" width="18" style="183" customWidth="1"/>
    <col min="2052" max="2052" width="18.453125" style="183" customWidth="1"/>
    <col min="2053" max="2053" width="13.7265625" style="183" customWidth="1"/>
    <col min="2054" max="2054" width="14" style="183" customWidth="1"/>
    <col min="2055" max="2304" width="9.26953125" style="183"/>
    <col min="2305" max="2305" width="0" style="183" hidden="1" customWidth="1"/>
    <col min="2306" max="2306" width="24.7265625" style="183" customWidth="1"/>
    <col min="2307" max="2307" width="18" style="183" customWidth="1"/>
    <col min="2308" max="2308" width="18.453125" style="183" customWidth="1"/>
    <col min="2309" max="2309" width="13.7265625" style="183" customWidth="1"/>
    <col min="2310" max="2310" width="14" style="183" customWidth="1"/>
    <col min="2311" max="2560" width="9.26953125" style="183"/>
    <col min="2561" max="2561" width="0" style="183" hidden="1" customWidth="1"/>
    <col min="2562" max="2562" width="24.7265625" style="183" customWidth="1"/>
    <col min="2563" max="2563" width="18" style="183" customWidth="1"/>
    <col min="2564" max="2564" width="18.453125" style="183" customWidth="1"/>
    <col min="2565" max="2565" width="13.7265625" style="183" customWidth="1"/>
    <col min="2566" max="2566" width="14" style="183" customWidth="1"/>
    <col min="2567" max="2816" width="9.26953125" style="183"/>
    <col min="2817" max="2817" width="0" style="183" hidden="1" customWidth="1"/>
    <col min="2818" max="2818" width="24.7265625" style="183" customWidth="1"/>
    <col min="2819" max="2819" width="18" style="183" customWidth="1"/>
    <col min="2820" max="2820" width="18.453125" style="183" customWidth="1"/>
    <col min="2821" max="2821" width="13.7265625" style="183" customWidth="1"/>
    <col min="2822" max="2822" width="14" style="183" customWidth="1"/>
    <col min="2823" max="3072" width="9.26953125" style="183"/>
    <col min="3073" max="3073" width="0" style="183" hidden="1" customWidth="1"/>
    <col min="3074" max="3074" width="24.7265625" style="183" customWidth="1"/>
    <col min="3075" max="3075" width="18" style="183" customWidth="1"/>
    <col min="3076" max="3076" width="18.453125" style="183" customWidth="1"/>
    <col min="3077" max="3077" width="13.7265625" style="183" customWidth="1"/>
    <col min="3078" max="3078" width="14" style="183" customWidth="1"/>
    <col min="3079" max="3328" width="9.26953125" style="183"/>
    <col min="3329" max="3329" width="0" style="183" hidden="1" customWidth="1"/>
    <col min="3330" max="3330" width="24.7265625" style="183" customWidth="1"/>
    <col min="3331" max="3331" width="18" style="183" customWidth="1"/>
    <col min="3332" max="3332" width="18.453125" style="183" customWidth="1"/>
    <col min="3333" max="3333" width="13.7265625" style="183" customWidth="1"/>
    <col min="3334" max="3334" width="14" style="183" customWidth="1"/>
    <col min="3335" max="3584" width="9.26953125" style="183"/>
    <col min="3585" max="3585" width="0" style="183" hidden="1" customWidth="1"/>
    <col min="3586" max="3586" width="24.7265625" style="183" customWidth="1"/>
    <col min="3587" max="3587" width="18" style="183" customWidth="1"/>
    <col min="3588" max="3588" width="18.453125" style="183" customWidth="1"/>
    <col min="3589" max="3589" width="13.7265625" style="183" customWidth="1"/>
    <col min="3590" max="3590" width="14" style="183" customWidth="1"/>
    <col min="3591" max="3840" width="9.26953125" style="183"/>
    <col min="3841" max="3841" width="0" style="183" hidden="1" customWidth="1"/>
    <col min="3842" max="3842" width="24.7265625" style="183" customWidth="1"/>
    <col min="3843" max="3843" width="18" style="183" customWidth="1"/>
    <col min="3844" max="3844" width="18.453125" style="183" customWidth="1"/>
    <col min="3845" max="3845" width="13.7265625" style="183" customWidth="1"/>
    <col min="3846" max="3846" width="14" style="183" customWidth="1"/>
    <col min="3847" max="4096" width="9.26953125" style="183"/>
    <col min="4097" max="4097" width="0" style="183" hidden="1" customWidth="1"/>
    <col min="4098" max="4098" width="24.7265625" style="183" customWidth="1"/>
    <col min="4099" max="4099" width="18" style="183" customWidth="1"/>
    <col min="4100" max="4100" width="18.453125" style="183" customWidth="1"/>
    <col min="4101" max="4101" width="13.7265625" style="183" customWidth="1"/>
    <col min="4102" max="4102" width="14" style="183" customWidth="1"/>
    <col min="4103" max="4352" width="9.26953125" style="183"/>
    <col min="4353" max="4353" width="0" style="183" hidden="1" customWidth="1"/>
    <col min="4354" max="4354" width="24.7265625" style="183" customWidth="1"/>
    <col min="4355" max="4355" width="18" style="183" customWidth="1"/>
    <col min="4356" max="4356" width="18.453125" style="183" customWidth="1"/>
    <col min="4357" max="4357" width="13.7265625" style="183" customWidth="1"/>
    <col min="4358" max="4358" width="14" style="183" customWidth="1"/>
    <col min="4359" max="4608" width="9.26953125" style="183"/>
    <col min="4609" max="4609" width="0" style="183" hidden="1" customWidth="1"/>
    <col min="4610" max="4610" width="24.7265625" style="183" customWidth="1"/>
    <col min="4611" max="4611" width="18" style="183" customWidth="1"/>
    <col min="4612" max="4612" width="18.453125" style="183" customWidth="1"/>
    <col min="4613" max="4613" width="13.7265625" style="183" customWidth="1"/>
    <col min="4614" max="4614" width="14" style="183" customWidth="1"/>
    <col min="4615" max="4864" width="9.26953125" style="183"/>
    <col min="4865" max="4865" width="0" style="183" hidden="1" customWidth="1"/>
    <col min="4866" max="4866" width="24.7265625" style="183" customWidth="1"/>
    <col min="4867" max="4867" width="18" style="183" customWidth="1"/>
    <col min="4868" max="4868" width="18.453125" style="183" customWidth="1"/>
    <col min="4869" max="4869" width="13.7265625" style="183" customWidth="1"/>
    <col min="4870" max="4870" width="14" style="183" customWidth="1"/>
    <col min="4871" max="5120" width="9.26953125" style="183"/>
    <col min="5121" max="5121" width="0" style="183" hidden="1" customWidth="1"/>
    <col min="5122" max="5122" width="24.7265625" style="183" customWidth="1"/>
    <col min="5123" max="5123" width="18" style="183" customWidth="1"/>
    <col min="5124" max="5124" width="18.453125" style="183" customWidth="1"/>
    <col min="5125" max="5125" width="13.7265625" style="183" customWidth="1"/>
    <col min="5126" max="5126" width="14" style="183" customWidth="1"/>
    <col min="5127" max="5376" width="9.26953125" style="183"/>
    <col min="5377" max="5377" width="0" style="183" hidden="1" customWidth="1"/>
    <col min="5378" max="5378" width="24.7265625" style="183" customWidth="1"/>
    <col min="5379" max="5379" width="18" style="183" customWidth="1"/>
    <col min="5380" max="5380" width="18.453125" style="183" customWidth="1"/>
    <col min="5381" max="5381" width="13.7265625" style="183" customWidth="1"/>
    <col min="5382" max="5382" width="14" style="183" customWidth="1"/>
    <col min="5383" max="5632" width="9.26953125" style="183"/>
    <col min="5633" max="5633" width="0" style="183" hidden="1" customWidth="1"/>
    <col min="5634" max="5634" width="24.7265625" style="183" customWidth="1"/>
    <col min="5635" max="5635" width="18" style="183" customWidth="1"/>
    <col min="5636" max="5636" width="18.453125" style="183" customWidth="1"/>
    <col min="5637" max="5637" width="13.7265625" style="183" customWidth="1"/>
    <col min="5638" max="5638" width="14" style="183" customWidth="1"/>
    <col min="5639" max="5888" width="9.26953125" style="183"/>
    <col min="5889" max="5889" width="0" style="183" hidden="1" customWidth="1"/>
    <col min="5890" max="5890" width="24.7265625" style="183" customWidth="1"/>
    <col min="5891" max="5891" width="18" style="183" customWidth="1"/>
    <col min="5892" max="5892" width="18.453125" style="183" customWidth="1"/>
    <col min="5893" max="5893" width="13.7265625" style="183" customWidth="1"/>
    <col min="5894" max="5894" width="14" style="183" customWidth="1"/>
    <col min="5895" max="6144" width="9.26953125" style="183"/>
    <col min="6145" max="6145" width="0" style="183" hidden="1" customWidth="1"/>
    <col min="6146" max="6146" width="24.7265625" style="183" customWidth="1"/>
    <col min="6147" max="6147" width="18" style="183" customWidth="1"/>
    <col min="6148" max="6148" width="18.453125" style="183" customWidth="1"/>
    <col min="6149" max="6149" width="13.7265625" style="183" customWidth="1"/>
    <col min="6150" max="6150" width="14" style="183" customWidth="1"/>
    <col min="6151" max="6400" width="9.26953125" style="183"/>
    <col min="6401" max="6401" width="0" style="183" hidden="1" customWidth="1"/>
    <col min="6402" max="6402" width="24.7265625" style="183" customWidth="1"/>
    <col min="6403" max="6403" width="18" style="183" customWidth="1"/>
    <col min="6404" max="6404" width="18.453125" style="183" customWidth="1"/>
    <col min="6405" max="6405" width="13.7265625" style="183" customWidth="1"/>
    <col min="6406" max="6406" width="14" style="183" customWidth="1"/>
    <col min="6407" max="6656" width="9.26953125" style="183"/>
    <col min="6657" max="6657" width="0" style="183" hidden="1" customWidth="1"/>
    <col min="6658" max="6658" width="24.7265625" style="183" customWidth="1"/>
    <col min="6659" max="6659" width="18" style="183" customWidth="1"/>
    <col min="6660" max="6660" width="18.453125" style="183" customWidth="1"/>
    <col min="6661" max="6661" width="13.7265625" style="183" customWidth="1"/>
    <col min="6662" max="6662" width="14" style="183" customWidth="1"/>
    <col min="6663" max="6912" width="9.26953125" style="183"/>
    <col min="6913" max="6913" width="0" style="183" hidden="1" customWidth="1"/>
    <col min="6914" max="6914" width="24.7265625" style="183" customWidth="1"/>
    <col min="6915" max="6915" width="18" style="183" customWidth="1"/>
    <col min="6916" max="6916" width="18.453125" style="183" customWidth="1"/>
    <col min="6917" max="6917" width="13.7265625" style="183" customWidth="1"/>
    <col min="6918" max="6918" width="14" style="183" customWidth="1"/>
    <col min="6919" max="7168" width="9.26953125" style="183"/>
    <col min="7169" max="7169" width="0" style="183" hidden="1" customWidth="1"/>
    <col min="7170" max="7170" width="24.7265625" style="183" customWidth="1"/>
    <col min="7171" max="7171" width="18" style="183" customWidth="1"/>
    <col min="7172" max="7172" width="18.453125" style="183" customWidth="1"/>
    <col min="7173" max="7173" width="13.7265625" style="183" customWidth="1"/>
    <col min="7174" max="7174" width="14" style="183" customWidth="1"/>
    <col min="7175" max="7424" width="9.26953125" style="183"/>
    <col min="7425" max="7425" width="0" style="183" hidden="1" customWidth="1"/>
    <col min="7426" max="7426" width="24.7265625" style="183" customWidth="1"/>
    <col min="7427" max="7427" width="18" style="183" customWidth="1"/>
    <col min="7428" max="7428" width="18.453125" style="183" customWidth="1"/>
    <col min="7429" max="7429" width="13.7265625" style="183" customWidth="1"/>
    <col min="7430" max="7430" width="14" style="183" customWidth="1"/>
    <col min="7431" max="7680" width="9.26953125" style="183"/>
    <col min="7681" max="7681" width="0" style="183" hidden="1" customWidth="1"/>
    <col min="7682" max="7682" width="24.7265625" style="183" customWidth="1"/>
    <col min="7683" max="7683" width="18" style="183" customWidth="1"/>
    <col min="7684" max="7684" width="18.453125" style="183" customWidth="1"/>
    <col min="7685" max="7685" width="13.7265625" style="183" customWidth="1"/>
    <col min="7686" max="7686" width="14" style="183" customWidth="1"/>
    <col min="7687" max="7936" width="9.26953125" style="183"/>
    <col min="7937" max="7937" width="0" style="183" hidden="1" customWidth="1"/>
    <col min="7938" max="7938" width="24.7265625" style="183" customWidth="1"/>
    <col min="7939" max="7939" width="18" style="183" customWidth="1"/>
    <col min="7940" max="7940" width="18.453125" style="183" customWidth="1"/>
    <col min="7941" max="7941" width="13.7265625" style="183" customWidth="1"/>
    <col min="7942" max="7942" width="14" style="183" customWidth="1"/>
    <col min="7943" max="8192" width="9.26953125" style="183"/>
    <col min="8193" max="8193" width="0" style="183" hidden="1" customWidth="1"/>
    <col min="8194" max="8194" width="24.7265625" style="183" customWidth="1"/>
    <col min="8195" max="8195" width="18" style="183" customWidth="1"/>
    <col min="8196" max="8196" width="18.453125" style="183" customWidth="1"/>
    <col min="8197" max="8197" width="13.7265625" style="183" customWidth="1"/>
    <col min="8198" max="8198" width="14" style="183" customWidth="1"/>
    <col min="8199" max="8448" width="9.26953125" style="183"/>
    <col min="8449" max="8449" width="0" style="183" hidden="1" customWidth="1"/>
    <col min="8450" max="8450" width="24.7265625" style="183" customWidth="1"/>
    <col min="8451" max="8451" width="18" style="183" customWidth="1"/>
    <col min="8452" max="8452" width="18.453125" style="183" customWidth="1"/>
    <col min="8453" max="8453" width="13.7265625" style="183" customWidth="1"/>
    <col min="8454" max="8454" width="14" style="183" customWidth="1"/>
    <col min="8455" max="8704" width="9.26953125" style="183"/>
    <col min="8705" max="8705" width="0" style="183" hidden="1" customWidth="1"/>
    <col min="8706" max="8706" width="24.7265625" style="183" customWidth="1"/>
    <col min="8707" max="8707" width="18" style="183" customWidth="1"/>
    <col min="8708" max="8708" width="18.453125" style="183" customWidth="1"/>
    <col min="8709" max="8709" width="13.7265625" style="183" customWidth="1"/>
    <col min="8710" max="8710" width="14" style="183" customWidth="1"/>
    <col min="8711" max="8960" width="9.26953125" style="183"/>
    <col min="8961" max="8961" width="0" style="183" hidden="1" customWidth="1"/>
    <col min="8962" max="8962" width="24.7265625" style="183" customWidth="1"/>
    <col min="8963" max="8963" width="18" style="183" customWidth="1"/>
    <col min="8964" max="8964" width="18.453125" style="183" customWidth="1"/>
    <col min="8965" max="8965" width="13.7265625" style="183" customWidth="1"/>
    <col min="8966" max="8966" width="14" style="183" customWidth="1"/>
    <col min="8967" max="9216" width="9.26953125" style="183"/>
    <col min="9217" max="9217" width="0" style="183" hidden="1" customWidth="1"/>
    <col min="9218" max="9218" width="24.7265625" style="183" customWidth="1"/>
    <col min="9219" max="9219" width="18" style="183" customWidth="1"/>
    <col min="9220" max="9220" width="18.453125" style="183" customWidth="1"/>
    <col min="9221" max="9221" width="13.7265625" style="183" customWidth="1"/>
    <col min="9222" max="9222" width="14" style="183" customWidth="1"/>
    <col min="9223" max="9472" width="9.26953125" style="183"/>
    <col min="9473" max="9473" width="0" style="183" hidden="1" customWidth="1"/>
    <col min="9474" max="9474" width="24.7265625" style="183" customWidth="1"/>
    <col min="9475" max="9475" width="18" style="183" customWidth="1"/>
    <col min="9476" max="9476" width="18.453125" style="183" customWidth="1"/>
    <col min="9477" max="9477" width="13.7265625" style="183" customWidth="1"/>
    <col min="9478" max="9478" width="14" style="183" customWidth="1"/>
    <col min="9479" max="9728" width="9.26953125" style="183"/>
    <col min="9729" max="9729" width="0" style="183" hidden="1" customWidth="1"/>
    <col min="9730" max="9730" width="24.7265625" style="183" customWidth="1"/>
    <col min="9731" max="9731" width="18" style="183" customWidth="1"/>
    <col min="9732" max="9732" width="18.453125" style="183" customWidth="1"/>
    <col min="9733" max="9733" width="13.7265625" style="183" customWidth="1"/>
    <col min="9734" max="9734" width="14" style="183" customWidth="1"/>
    <col min="9735" max="9984" width="9.26953125" style="183"/>
    <col min="9985" max="9985" width="0" style="183" hidden="1" customWidth="1"/>
    <col min="9986" max="9986" width="24.7265625" style="183" customWidth="1"/>
    <col min="9987" max="9987" width="18" style="183" customWidth="1"/>
    <col min="9988" max="9988" width="18.453125" style="183" customWidth="1"/>
    <col min="9989" max="9989" width="13.7265625" style="183" customWidth="1"/>
    <col min="9990" max="9990" width="14" style="183" customWidth="1"/>
    <col min="9991" max="10240" width="9.26953125" style="183"/>
    <col min="10241" max="10241" width="0" style="183" hidden="1" customWidth="1"/>
    <col min="10242" max="10242" width="24.7265625" style="183" customWidth="1"/>
    <col min="10243" max="10243" width="18" style="183" customWidth="1"/>
    <col min="10244" max="10244" width="18.453125" style="183" customWidth="1"/>
    <col min="10245" max="10245" width="13.7265625" style="183" customWidth="1"/>
    <col min="10246" max="10246" width="14" style="183" customWidth="1"/>
    <col min="10247" max="10496" width="9.26953125" style="183"/>
    <col min="10497" max="10497" width="0" style="183" hidden="1" customWidth="1"/>
    <col min="10498" max="10498" width="24.7265625" style="183" customWidth="1"/>
    <col min="10499" max="10499" width="18" style="183" customWidth="1"/>
    <col min="10500" max="10500" width="18.453125" style="183" customWidth="1"/>
    <col min="10501" max="10501" width="13.7265625" style="183" customWidth="1"/>
    <col min="10502" max="10502" width="14" style="183" customWidth="1"/>
    <col min="10503" max="10752" width="9.26953125" style="183"/>
    <col min="10753" max="10753" width="0" style="183" hidden="1" customWidth="1"/>
    <col min="10754" max="10754" width="24.7265625" style="183" customWidth="1"/>
    <col min="10755" max="10755" width="18" style="183" customWidth="1"/>
    <col min="10756" max="10756" width="18.453125" style="183" customWidth="1"/>
    <col min="10757" max="10757" width="13.7265625" style="183" customWidth="1"/>
    <col min="10758" max="10758" width="14" style="183" customWidth="1"/>
    <col min="10759" max="11008" width="9.26953125" style="183"/>
    <col min="11009" max="11009" width="0" style="183" hidden="1" customWidth="1"/>
    <col min="11010" max="11010" width="24.7265625" style="183" customWidth="1"/>
    <col min="11011" max="11011" width="18" style="183" customWidth="1"/>
    <col min="11012" max="11012" width="18.453125" style="183" customWidth="1"/>
    <col min="11013" max="11013" width="13.7265625" style="183" customWidth="1"/>
    <col min="11014" max="11014" width="14" style="183" customWidth="1"/>
    <col min="11015" max="11264" width="9.26953125" style="183"/>
    <col min="11265" max="11265" width="0" style="183" hidden="1" customWidth="1"/>
    <col min="11266" max="11266" width="24.7265625" style="183" customWidth="1"/>
    <col min="11267" max="11267" width="18" style="183" customWidth="1"/>
    <col min="11268" max="11268" width="18.453125" style="183" customWidth="1"/>
    <col min="11269" max="11269" width="13.7265625" style="183" customWidth="1"/>
    <col min="11270" max="11270" width="14" style="183" customWidth="1"/>
    <col min="11271" max="11520" width="9.26953125" style="183"/>
    <col min="11521" max="11521" width="0" style="183" hidden="1" customWidth="1"/>
    <col min="11522" max="11522" width="24.7265625" style="183" customWidth="1"/>
    <col min="11523" max="11523" width="18" style="183" customWidth="1"/>
    <col min="11524" max="11524" width="18.453125" style="183" customWidth="1"/>
    <col min="11525" max="11525" width="13.7265625" style="183" customWidth="1"/>
    <col min="11526" max="11526" width="14" style="183" customWidth="1"/>
    <col min="11527" max="11776" width="9.26953125" style="183"/>
    <col min="11777" max="11777" width="0" style="183" hidden="1" customWidth="1"/>
    <col min="11778" max="11778" width="24.7265625" style="183" customWidth="1"/>
    <col min="11779" max="11779" width="18" style="183" customWidth="1"/>
    <col min="11780" max="11780" width="18.453125" style="183" customWidth="1"/>
    <col min="11781" max="11781" width="13.7265625" style="183" customWidth="1"/>
    <col min="11782" max="11782" width="14" style="183" customWidth="1"/>
    <col min="11783" max="12032" width="9.26953125" style="183"/>
    <col min="12033" max="12033" width="0" style="183" hidden="1" customWidth="1"/>
    <col min="12034" max="12034" width="24.7265625" style="183" customWidth="1"/>
    <col min="12035" max="12035" width="18" style="183" customWidth="1"/>
    <col min="12036" max="12036" width="18.453125" style="183" customWidth="1"/>
    <col min="12037" max="12037" width="13.7265625" style="183" customWidth="1"/>
    <col min="12038" max="12038" width="14" style="183" customWidth="1"/>
    <col min="12039" max="12288" width="9.26953125" style="183"/>
    <col min="12289" max="12289" width="0" style="183" hidden="1" customWidth="1"/>
    <col min="12290" max="12290" width="24.7265625" style="183" customWidth="1"/>
    <col min="12291" max="12291" width="18" style="183" customWidth="1"/>
    <col min="12292" max="12292" width="18.453125" style="183" customWidth="1"/>
    <col min="12293" max="12293" width="13.7265625" style="183" customWidth="1"/>
    <col min="12294" max="12294" width="14" style="183" customWidth="1"/>
    <col min="12295" max="12544" width="9.26953125" style="183"/>
    <col min="12545" max="12545" width="0" style="183" hidden="1" customWidth="1"/>
    <col min="12546" max="12546" width="24.7265625" style="183" customWidth="1"/>
    <col min="12547" max="12547" width="18" style="183" customWidth="1"/>
    <col min="12548" max="12548" width="18.453125" style="183" customWidth="1"/>
    <col min="12549" max="12549" width="13.7265625" style="183" customWidth="1"/>
    <col min="12550" max="12550" width="14" style="183" customWidth="1"/>
    <col min="12551" max="12800" width="9.26953125" style="183"/>
    <col min="12801" max="12801" width="0" style="183" hidden="1" customWidth="1"/>
    <col min="12802" max="12802" width="24.7265625" style="183" customWidth="1"/>
    <col min="12803" max="12803" width="18" style="183" customWidth="1"/>
    <col min="12804" max="12804" width="18.453125" style="183" customWidth="1"/>
    <col min="12805" max="12805" width="13.7265625" style="183" customWidth="1"/>
    <col min="12806" max="12806" width="14" style="183" customWidth="1"/>
    <col min="12807" max="13056" width="9.26953125" style="183"/>
    <col min="13057" max="13057" width="0" style="183" hidden="1" customWidth="1"/>
    <col min="13058" max="13058" width="24.7265625" style="183" customWidth="1"/>
    <col min="13059" max="13059" width="18" style="183" customWidth="1"/>
    <col min="13060" max="13060" width="18.453125" style="183" customWidth="1"/>
    <col min="13061" max="13061" width="13.7265625" style="183" customWidth="1"/>
    <col min="13062" max="13062" width="14" style="183" customWidth="1"/>
    <col min="13063" max="13312" width="9.26953125" style="183"/>
    <col min="13313" max="13313" width="0" style="183" hidden="1" customWidth="1"/>
    <col min="13314" max="13314" width="24.7265625" style="183" customWidth="1"/>
    <col min="13315" max="13315" width="18" style="183" customWidth="1"/>
    <col min="13316" max="13316" width="18.453125" style="183" customWidth="1"/>
    <col min="13317" max="13317" width="13.7265625" style="183" customWidth="1"/>
    <col min="13318" max="13318" width="14" style="183" customWidth="1"/>
    <col min="13319" max="13568" width="9.26953125" style="183"/>
    <col min="13569" max="13569" width="0" style="183" hidden="1" customWidth="1"/>
    <col min="13570" max="13570" width="24.7265625" style="183" customWidth="1"/>
    <col min="13571" max="13571" width="18" style="183" customWidth="1"/>
    <col min="13572" max="13572" width="18.453125" style="183" customWidth="1"/>
    <col min="13573" max="13573" width="13.7265625" style="183" customWidth="1"/>
    <col min="13574" max="13574" width="14" style="183" customWidth="1"/>
    <col min="13575" max="13824" width="9.26953125" style="183"/>
    <col min="13825" max="13825" width="0" style="183" hidden="1" customWidth="1"/>
    <col min="13826" max="13826" width="24.7265625" style="183" customWidth="1"/>
    <col min="13827" max="13827" width="18" style="183" customWidth="1"/>
    <col min="13828" max="13828" width="18.453125" style="183" customWidth="1"/>
    <col min="13829" max="13829" width="13.7265625" style="183" customWidth="1"/>
    <col min="13830" max="13830" width="14" style="183" customWidth="1"/>
    <col min="13831" max="14080" width="9.26953125" style="183"/>
    <col min="14081" max="14081" width="0" style="183" hidden="1" customWidth="1"/>
    <col min="14082" max="14082" width="24.7265625" style="183" customWidth="1"/>
    <col min="14083" max="14083" width="18" style="183" customWidth="1"/>
    <col min="14084" max="14084" width="18.453125" style="183" customWidth="1"/>
    <col min="14085" max="14085" width="13.7265625" style="183" customWidth="1"/>
    <col min="14086" max="14086" width="14" style="183" customWidth="1"/>
    <col min="14087" max="14336" width="9.26953125" style="183"/>
    <col min="14337" max="14337" width="0" style="183" hidden="1" customWidth="1"/>
    <col min="14338" max="14338" width="24.7265625" style="183" customWidth="1"/>
    <col min="14339" max="14339" width="18" style="183" customWidth="1"/>
    <col min="14340" max="14340" width="18.453125" style="183" customWidth="1"/>
    <col min="14341" max="14341" width="13.7265625" style="183" customWidth="1"/>
    <col min="14342" max="14342" width="14" style="183" customWidth="1"/>
    <col min="14343" max="14592" width="9.26953125" style="183"/>
    <col min="14593" max="14593" width="0" style="183" hidden="1" customWidth="1"/>
    <col min="14594" max="14594" width="24.7265625" style="183" customWidth="1"/>
    <col min="14595" max="14595" width="18" style="183" customWidth="1"/>
    <col min="14596" max="14596" width="18.453125" style="183" customWidth="1"/>
    <col min="14597" max="14597" width="13.7265625" style="183" customWidth="1"/>
    <col min="14598" max="14598" width="14" style="183" customWidth="1"/>
    <col min="14599" max="14848" width="9.26953125" style="183"/>
    <col min="14849" max="14849" width="0" style="183" hidden="1" customWidth="1"/>
    <col min="14850" max="14850" width="24.7265625" style="183" customWidth="1"/>
    <col min="14851" max="14851" width="18" style="183" customWidth="1"/>
    <col min="14852" max="14852" width="18.453125" style="183" customWidth="1"/>
    <col min="14853" max="14853" width="13.7265625" style="183" customWidth="1"/>
    <col min="14854" max="14854" width="14" style="183" customWidth="1"/>
    <col min="14855" max="15104" width="9.26953125" style="183"/>
    <col min="15105" max="15105" width="0" style="183" hidden="1" customWidth="1"/>
    <col min="15106" max="15106" width="24.7265625" style="183" customWidth="1"/>
    <col min="15107" max="15107" width="18" style="183" customWidth="1"/>
    <col min="15108" max="15108" width="18.453125" style="183" customWidth="1"/>
    <col min="15109" max="15109" width="13.7265625" style="183" customWidth="1"/>
    <col min="15110" max="15110" width="14" style="183" customWidth="1"/>
    <col min="15111" max="15360" width="9.26953125" style="183"/>
    <col min="15361" max="15361" width="0" style="183" hidden="1" customWidth="1"/>
    <col min="15362" max="15362" width="24.7265625" style="183" customWidth="1"/>
    <col min="15363" max="15363" width="18" style="183" customWidth="1"/>
    <col min="15364" max="15364" width="18.453125" style="183" customWidth="1"/>
    <col min="15365" max="15365" width="13.7265625" style="183" customWidth="1"/>
    <col min="15366" max="15366" width="14" style="183" customWidth="1"/>
    <col min="15367" max="15616" width="9.26953125" style="183"/>
    <col min="15617" max="15617" width="0" style="183" hidden="1" customWidth="1"/>
    <col min="15618" max="15618" width="24.7265625" style="183" customWidth="1"/>
    <col min="15619" max="15619" width="18" style="183" customWidth="1"/>
    <col min="15620" max="15620" width="18.453125" style="183" customWidth="1"/>
    <col min="15621" max="15621" width="13.7265625" style="183" customWidth="1"/>
    <col min="15622" max="15622" width="14" style="183" customWidth="1"/>
    <col min="15623" max="15872" width="9.26953125" style="183"/>
    <col min="15873" max="15873" width="0" style="183" hidden="1" customWidth="1"/>
    <col min="15874" max="15874" width="24.7265625" style="183" customWidth="1"/>
    <col min="15875" max="15875" width="18" style="183" customWidth="1"/>
    <col min="15876" max="15876" width="18.453125" style="183" customWidth="1"/>
    <col min="15877" max="15877" width="13.7265625" style="183" customWidth="1"/>
    <col min="15878" max="15878" width="14" style="183" customWidth="1"/>
    <col min="15879" max="16128" width="9.26953125" style="183"/>
    <col min="16129" max="16129" width="0" style="183" hidden="1" customWidth="1"/>
    <col min="16130" max="16130" width="24.7265625" style="183" customWidth="1"/>
    <col min="16131" max="16131" width="18" style="183" customWidth="1"/>
    <col min="16132" max="16132" width="18.453125" style="183" customWidth="1"/>
    <col min="16133" max="16133" width="13.7265625" style="183" customWidth="1"/>
    <col min="16134" max="16134" width="14" style="183" customWidth="1"/>
    <col min="16135" max="16384" width="9.26953125" style="183"/>
  </cols>
  <sheetData>
    <row r="1" spans="1:9" ht="48.75" customHeight="1" x14ac:dyDescent="0.3">
      <c r="B1" s="316" t="s">
        <v>64</v>
      </c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f>C5+C44</f>
        <v>530</v>
      </c>
      <c r="D4" s="49">
        <f>D5+D44</f>
        <v>72</v>
      </c>
      <c r="E4" s="49">
        <f>E5+E44</f>
        <v>18</v>
      </c>
      <c r="F4" s="49">
        <f>F5+F44</f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f>SUM(C6:C43)</f>
        <v>412</v>
      </c>
      <c r="D5" s="42">
        <f>SUM(D6:D43)</f>
        <v>57</v>
      </c>
      <c r="E5" s="42">
        <f>SUM(E6:E43)</f>
        <v>13</v>
      </c>
      <c r="F5" s="42">
        <f>SUM(F6:F43)</f>
        <v>0</v>
      </c>
    </row>
    <row r="6" spans="1:9" x14ac:dyDescent="0.3">
      <c r="A6" s="12">
        <v>51</v>
      </c>
      <c r="B6" s="183" t="s">
        <v>8</v>
      </c>
      <c r="C6" s="37">
        <v>19</v>
      </c>
      <c r="D6" s="37">
        <v>8</v>
      </c>
      <c r="E6" s="37">
        <v>0</v>
      </c>
      <c r="F6" s="37">
        <v>0</v>
      </c>
    </row>
    <row r="7" spans="1:9" x14ac:dyDescent="0.3">
      <c r="A7" s="12">
        <v>52</v>
      </c>
      <c r="B7" s="183" t="s">
        <v>9</v>
      </c>
      <c r="C7" s="37">
        <v>6</v>
      </c>
      <c r="D7" s="37">
        <v>0</v>
      </c>
      <c r="E7" s="37">
        <v>0</v>
      </c>
      <c r="F7" s="37">
        <v>0</v>
      </c>
    </row>
    <row r="8" spans="1:9" x14ac:dyDescent="0.3">
      <c r="A8" s="12">
        <v>86</v>
      </c>
      <c r="B8" s="183" t="s">
        <v>10</v>
      </c>
      <c r="C8" s="37">
        <v>9</v>
      </c>
      <c r="D8" s="37">
        <v>1</v>
      </c>
      <c r="E8" s="37">
        <v>0</v>
      </c>
      <c r="F8" s="37">
        <v>0</v>
      </c>
    </row>
    <row r="9" spans="1:9" x14ac:dyDescent="0.3">
      <c r="A9" s="12">
        <v>53</v>
      </c>
      <c r="B9" s="183" t="s">
        <v>11</v>
      </c>
      <c r="C9" s="37">
        <v>11</v>
      </c>
      <c r="D9" s="37">
        <v>3</v>
      </c>
      <c r="E9" s="37">
        <v>0</v>
      </c>
      <c r="F9" s="37">
        <v>0</v>
      </c>
    </row>
    <row r="10" spans="1:9" x14ac:dyDescent="0.3">
      <c r="A10" s="12">
        <v>54</v>
      </c>
      <c r="B10" s="183" t="s">
        <v>12</v>
      </c>
      <c r="C10" s="37">
        <v>21</v>
      </c>
      <c r="D10" s="37">
        <v>0</v>
      </c>
      <c r="E10" s="37">
        <v>1</v>
      </c>
      <c r="F10" s="37">
        <v>0</v>
      </c>
    </row>
    <row r="11" spans="1:9" x14ac:dyDescent="0.3">
      <c r="A11" s="12">
        <v>55</v>
      </c>
      <c r="B11" s="183" t="s">
        <v>13</v>
      </c>
      <c r="C11" s="37">
        <v>0</v>
      </c>
      <c r="D11" s="37">
        <v>0</v>
      </c>
      <c r="E11" s="37">
        <v>0</v>
      </c>
      <c r="F11" s="37">
        <v>0</v>
      </c>
    </row>
    <row r="12" spans="1:9" x14ac:dyDescent="0.3">
      <c r="A12" s="12">
        <v>56</v>
      </c>
      <c r="B12" s="183" t="s">
        <v>14</v>
      </c>
      <c r="C12" s="37">
        <v>2</v>
      </c>
      <c r="D12" s="37">
        <v>1</v>
      </c>
      <c r="E12" s="37">
        <v>1</v>
      </c>
      <c r="F12" s="37">
        <v>0</v>
      </c>
    </row>
    <row r="13" spans="1:9" x14ac:dyDescent="0.3">
      <c r="A13" s="12">
        <v>57</v>
      </c>
      <c r="B13" s="183" t="s">
        <v>15</v>
      </c>
      <c r="C13" s="37">
        <v>14</v>
      </c>
      <c r="D13" s="37">
        <v>2</v>
      </c>
      <c r="E13" s="37">
        <v>2</v>
      </c>
      <c r="F13" s="37">
        <v>0</v>
      </c>
    </row>
    <row r="14" spans="1:9" x14ac:dyDescent="0.3">
      <c r="A14" s="12">
        <v>59</v>
      </c>
      <c r="B14" s="183" t="s">
        <v>16</v>
      </c>
      <c r="C14" s="37">
        <v>5</v>
      </c>
      <c r="D14" s="37">
        <v>1</v>
      </c>
      <c r="E14" s="37">
        <v>0</v>
      </c>
      <c r="F14" s="37">
        <v>0</v>
      </c>
    </row>
    <row r="15" spans="1:9" x14ac:dyDescent="0.3">
      <c r="A15" s="12">
        <v>60</v>
      </c>
      <c r="B15" s="183" t="s">
        <v>17</v>
      </c>
      <c r="C15" s="37">
        <v>5</v>
      </c>
      <c r="D15" s="37">
        <v>0</v>
      </c>
      <c r="E15" s="37">
        <v>0</v>
      </c>
      <c r="F15" s="37">
        <v>0</v>
      </c>
    </row>
    <row r="16" spans="1:9" x14ac:dyDescent="0.3">
      <c r="A16" s="12">
        <v>61</v>
      </c>
      <c r="B16" s="38" t="s">
        <v>18</v>
      </c>
      <c r="C16" s="37">
        <v>6</v>
      </c>
      <c r="D16" s="37">
        <v>1</v>
      </c>
      <c r="E16" s="37">
        <v>0</v>
      </c>
      <c r="F16" s="37">
        <v>0</v>
      </c>
    </row>
    <row r="17" spans="1:6" x14ac:dyDescent="0.3">
      <c r="A17" s="12"/>
      <c r="B17" s="130" t="s">
        <v>122</v>
      </c>
      <c r="C17" s="37">
        <v>13</v>
      </c>
      <c r="D17" s="37">
        <v>0</v>
      </c>
      <c r="E17" s="37">
        <v>0</v>
      </c>
      <c r="F17" s="37">
        <v>0</v>
      </c>
    </row>
    <row r="18" spans="1:6" x14ac:dyDescent="0.3">
      <c r="A18" s="12">
        <v>58</v>
      </c>
      <c r="B18" s="183" t="s">
        <v>20</v>
      </c>
      <c r="C18" s="37">
        <v>3</v>
      </c>
      <c r="D18" s="37">
        <v>0</v>
      </c>
      <c r="E18" s="37">
        <v>0</v>
      </c>
      <c r="F18" s="37">
        <v>0</v>
      </c>
    </row>
    <row r="19" spans="1:6" x14ac:dyDescent="0.3">
      <c r="A19" s="12">
        <v>63</v>
      </c>
      <c r="B19" s="183" t="s">
        <v>21</v>
      </c>
      <c r="C19" s="37">
        <v>20</v>
      </c>
      <c r="D19" s="37">
        <v>3</v>
      </c>
      <c r="E19" s="37">
        <v>2</v>
      </c>
      <c r="F19" s="37">
        <v>0</v>
      </c>
    </row>
    <row r="20" spans="1:6" x14ac:dyDescent="0.3">
      <c r="A20" s="12">
        <v>64</v>
      </c>
      <c r="B20" s="183" t="s">
        <v>22</v>
      </c>
      <c r="C20" s="37">
        <v>19</v>
      </c>
      <c r="D20" s="37">
        <v>1</v>
      </c>
      <c r="E20" s="37">
        <v>0</v>
      </c>
      <c r="F20" s="37">
        <v>0</v>
      </c>
    </row>
    <row r="21" spans="1:6" x14ac:dyDescent="0.3">
      <c r="A21" s="12">
        <v>65</v>
      </c>
      <c r="B21" s="183" t="s">
        <v>23</v>
      </c>
      <c r="C21" s="37">
        <v>10</v>
      </c>
      <c r="D21" s="37">
        <v>0</v>
      </c>
      <c r="E21" s="37">
        <v>0</v>
      </c>
      <c r="F21" s="37">
        <v>0</v>
      </c>
    </row>
    <row r="22" spans="1:6" x14ac:dyDescent="0.3">
      <c r="A22" s="12">
        <v>67</v>
      </c>
      <c r="B22" s="183" t="s">
        <v>24</v>
      </c>
      <c r="C22" s="37">
        <v>14</v>
      </c>
      <c r="D22" s="37">
        <v>0</v>
      </c>
      <c r="E22" s="37">
        <v>0</v>
      </c>
      <c r="F22" s="37">
        <v>0</v>
      </c>
    </row>
    <row r="23" spans="1:6" x14ac:dyDescent="0.3">
      <c r="A23" s="12">
        <v>68</v>
      </c>
      <c r="B23" s="183" t="s">
        <v>25</v>
      </c>
      <c r="C23" s="37">
        <v>7</v>
      </c>
      <c r="D23" s="37">
        <v>0</v>
      </c>
      <c r="E23" s="37">
        <v>0</v>
      </c>
      <c r="F23" s="37">
        <v>0</v>
      </c>
    </row>
    <row r="24" spans="1:6" x14ac:dyDescent="0.3">
      <c r="A24" s="12">
        <v>69</v>
      </c>
      <c r="B24" s="183" t="s">
        <v>26</v>
      </c>
      <c r="C24" s="37">
        <v>19</v>
      </c>
      <c r="D24" s="37">
        <v>3</v>
      </c>
      <c r="E24" s="37">
        <v>0</v>
      </c>
      <c r="F24" s="37">
        <v>0</v>
      </c>
    </row>
    <row r="25" spans="1:6" x14ac:dyDescent="0.3">
      <c r="A25" s="12">
        <v>70</v>
      </c>
      <c r="B25" s="183" t="s">
        <v>27</v>
      </c>
      <c r="C25" s="37">
        <v>15</v>
      </c>
      <c r="D25" s="37">
        <v>2</v>
      </c>
      <c r="E25" s="37">
        <v>0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2</v>
      </c>
      <c r="D26" s="37">
        <v>1</v>
      </c>
      <c r="E26" s="37">
        <v>0</v>
      </c>
      <c r="F26" s="37">
        <v>0</v>
      </c>
    </row>
    <row r="27" spans="1:6" x14ac:dyDescent="0.3">
      <c r="A27" s="12">
        <v>73</v>
      </c>
      <c r="B27" s="183" t="s">
        <v>29</v>
      </c>
      <c r="C27" s="37">
        <v>11</v>
      </c>
      <c r="D27" s="37">
        <v>2</v>
      </c>
      <c r="E27" s="37">
        <v>1</v>
      </c>
      <c r="F27" s="37">
        <v>0</v>
      </c>
    </row>
    <row r="28" spans="1:6" x14ac:dyDescent="0.3">
      <c r="A28" s="12">
        <v>74</v>
      </c>
      <c r="B28" s="183" t="s">
        <v>30</v>
      </c>
      <c r="C28" s="37">
        <v>17</v>
      </c>
      <c r="D28" s="37">
        <v>6</v>
      </c>
      <c r="E28" s="37">
        <v>1</v>
      </c>
      <c r="F28" s="37">
        <v>0</v>
      </c>
    </row>
    <row r="29" spans="1:6" x14ac:dyDescent="0.3">
      <c r="A29" s="12">
        <v>75</v>
      </c>
      <c r="B29" s="183" t="s">
        <v>31</v>
      </c>
      <c r="C29" s="37">
        <v>16</v>
      </c>
      <c r="D29" s="37">
        <v>4</v>
      </c>
      <c r="E29" s="37">
        <v>2</v>
      </c>
      <c r="F29" s="37">
        <v>0</v>
      </c>
    </row>
    <row r="30" spans="1:6" x14ac:dyDescent="0.3">
      <c r="A30" s="12">
        <v>76</v>
      </c>
      <c r="B30" s="183" t="s">
        <v>32</v>
      </c>
      <c r="C30" s="37">
        <v>10</v>
      </c>
      <c r="D30" s="37">
        <v>2</v>
      </c>
      <c r="E30" s="37">
        <v>0</v>
      </c>
      <c r="F30" s="37">
        <v>0</v>
      </c>
    </row>
    <row r="31" spans="1:6" x14ac:dyDescent="0.3">
      <c r="A31" s="12">
        <v>79</v>
      </c>
      <c r="B31" s="183" t="s">
        <v>33</v>
      </c>
      <c r="C31" s="37">
        <v>16</v>
      </c>
      <c r="D31" s="37">
        <v>1</v>
      </c>
      <c r="E31" s="37">
        <v>0</v>
      </c>
      <c r="F31" s="37">
        <v>0</v>
      </c>
    </row>
    <row r="32" spans="1:6" x14ac:dyDescent="0.3">
      <c r="A32" s="12">
        <v>80</v>
      </c>
      <c r="B32" s="183" t="s">
        <v>34</v>
      </c>
      <c r="C32" s="37">
        <v>22</v>
      </c>
      <c r="D32" s="37">
        <v>4</v>
      </c>
      <c r="E32" s="37">
        <v>2</v>
      </c>
      <c r="F32" s="37">
        <v>0</v>
      </c>
    </row>
    <row r="33" spans="1:10" x14ac:dyDescent="0.3">
      <c r="A33" s="12">
        <v>81</v>
      </c>
      <c r="B33" s="183" t="s">
        <v>35</v>
      </c>
      <c r="C33" s="37">
        <v>13</v>
      </c>
      <c r="D33" s="37">
        <v>3</v>
      </c>
      <c r="E33" s="37">
        <v>0</v>
      </c>
      <c r="F33" s="37">
        <v>0</v>
      </c>
    </row>
    <row r="34" spans="1:10" x14ac:dyDescent="0.3">
      <c r="A34" s="12">
        <v>83</v>
      </c>
      <c r="B34" s="183" t="s">
        <v>36</v>
      </c>
      <c r="C34" s="37">
        <v>8</v>
      </c>
      <c r="D34" s="37">
        <v>0</v>
      </c>
      <c r="E34" s="37">
        <v>0</v>
      </c>
      <c r="F34" s="37">
        <v>0</v>
      </c>
    </row>
    <row r="35" spans="1:10" x14ac:dyDescent="0.3">
      <c r="A35" s="12">
        <v>84</v>
      </c>
      <c r="B35" s="183" t="s">
        <v>37</v>
      </c>
      <c r="C35" s="37">
        <v>9</v>
      </c>
      <c r="D35" s="37">
        <v>0</v>
      </c>
      <c r="E35" s="37">
        <v>0</v>
      </c>
      <c r="F35" s="37">
        <v>0</v>
      </c>
    </row>
    <row r="36" spans="1:10" ht="14" x14ac:dyDescent="0.3">
      <c r="A36" s="12">
        <v>85</v>
      </c>
      <c r="B36" s="183" t="s">
        <v>38</v>
      </c>
      <c r="C36" s="37">
        <v>6</v>
      </c>
      <c r="D36" s="37">
        <v>1</v>
      </c>
      <c r="E36" s="37">
        <v>0</v>
      </c>
      <c r="F36" s="37">
        <v>0</v>
      </c>
      <c r="G36" s="11"/>
    </row>
    <row r="37" spans="1:10" ht="14" x14ac:dyDescent="0.3">
      <c r="A37" s="12">
        <v>87</v>
      </c>
      <c r="B37" s="183" t="s">
        <v>39</v>
      </c>
      <c r="C37" s="37">
        <v>6</v>
      </c>
      <c r="D37" s="37">
        <v>0</v>
      </c>
      <c r="E37" s="37">
        <v>1</v>
      </c>
      <c r="F37" s="37">
        <v>0</v>
      </c>
      <c r="H37" s="11"/>
      <c r="I37" s="11"/>
    </row>
    <row r="38" spans="1:10" x14ac:dyDescent="0.3">
      <c r="A38" s="12">
        <v>90</v>
      </c>
      <c r="B38" s="183" t="s">
        <v>40</v>
      </c>
      <c r="C38" s="37">
        <v>13</v>
      </c>
      <c r="D38" s="37">
        <v>1</v>
      </c>
      <c r="E38" s="37">
        <v>0</v>
      </c>
      <c r="F38" s="37">
        <v>0</v>
      </c>
    </row>
    <row r="39" spans="1:10" x14ac:dyDescent="0.3">
      <c r="A39" s="12">
        <v>91</v>
      </c>
      <c r="B39" s="183" t="s">
        <v>41</v>
      </c>
      <c r="C39" s="37">
        <v>11</v>
      </c>
      <c r="D39" s="37">
        <v>2</v>
      </c>
      <c r="E39" s="37">
        <v>0</v>
      </c>
      <c r="F39" s="37">
        <v>0</v>
      </c>
    </row>
    <row r="40" spans="1:10" x14ac:dyDescent="0.3">
      <c r="A40" s="12">
        <v>92</v>
      </c>
      <c r="B40" s="183" t="s">
        <v>42</v>
      </c>
      <c r="C40" s="37">
        <v>11</v>
      </c>
      <c r="D40" s="37">
        <v>3</v>
      </c>
      <c r="E40" s="37">
        <v>0</v>
      </c>
      <c r="F40" s="37">
        <v>0</v>
      </c>
    </row>
    <row r="41" spans="1:10" x14ac:dyDescent="0.3">
      <c r="A41" s="12">
        <v>94</v>
      </c>
      <c r="B41" s="183" t="s">
        <v>43</v>
      </c>
      <c r="C41" s="37">
        <v>16</v>
      </c>
      <c r="D41" s="37">
        <v>1</v>
      </c>
      <c r="E41" s="37">
        <v>0</v>
      </c>
      <c r="F41" s="37">
        <v>0</v>
      </c>
    </row>
    <row r="42" spans="1:10" ht="14" x14ac:dyDescent="0.3">
      <c r="A42" s="12">
        <v>96</v>
      </c>
      <c r="B42" s="183" t="s">
        <v>44</v>
      </c>
      <c r="C42" s="37">
        <v>7</v>
      </c>
      <c r="D42" s="37">
        <v>0</v>
      </c>
      <c r="E42" s="37">
        <v>0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f>SUM(C45:C51)</f>
        <v>118</v>
      </c>
      <c r="D44" s="42">
        <f t="shared" ref="D44:F44" si="0">SUM(D45:D51)</f>
        <v>15</v>
      </c>
      <c r="E44" s="42">
        <f t="shared" si="0"/>
        <v>5</v>
      </c>
      <c r="F44" s="42">
        <f t="shared" si="0"/>
        <v>0</v>
      </c>
    </row>
    <row r="45" spans="1:10" x14ac:dyDescent="0.3">
      <c r="A45" s="12">
        <v>66</v>
      </c>
      <c r="B45" s="183" t="s">
        <v>48</v>
      </c>
      <c r="C45" s="37">
        <v>17</v>
      </c>
      <c r="D45" s="37">
        <v>3</v>
      </c>
      <c r="E45" s="37">
        <v>2</v>
      </c>
      <c r="F45" s="37">
        <v>0</v>
      </c>
    </row>
    <row r="46" spans="1:10" x14ac:dyDescent="0.3">
      <c r="A46" s="12">
        <v>78</v>
      </c>
      <c r="B46" s="183" t="s">
        <v>49</v>
      </c>
      <c r="C46" s="37">
        <v>21</v>
      </c>
      <c r="D46" s="37">
        <v>5</v>
      </c>
      <c r="E46" s="37">
        <v>1</v>
      </c>
      <c r="F46" s="37">
        <v>0</v>
      </c>
    </row>
    <row r="47" spans="1:10" x14ac:dyDescent="0.3">
      <c r="A47" s="12">
        <v>89</v>
      </c>
      <c r="B47" s="183" t="s">
        <v>50</v>
      </c>
      <c r="C47" s="37">
        <v>4</v>
      </c>
      <c r="D47" s="37">
        <v>1</v>
      </c>
      <c r="E47" s="37">
        <v>2</v>
      </c>
      <c r="F47" s="37">
        <v>0</v>
      </c>
    </row>
    <row r="48" spans="1:10" x14ac:dyDescent="0.3">
      <c r="A48" s="12">
        <v>93</v>
      </c>
      <c r="B48" s="183" t="s">
        <v>51</v>
      </c>
      <c r="C48" s="37">
        <v>8</v>
      </c>
      <c r="D48" s="37">
        <v>2</v>
      </c>
      <c r="E48" s="37">
        <v>0</v>
      </c>
      <c r="F48" s="37">
        <v>0</v>
      </c>
    </row>
    <row r="49" spans="1:6" x14ac:dyDescent="0.3">
      <c r="A49" s="12">
        <v>95</v>
      </c>
      <c r="B49" s="183" t="s">
        <v>52</v>
      </c>
      <c r="C49" s="37">
        <v>36</v>
      </c>
      <c r="D49" s="37">
        <v>2</v>
      </c>
      <c r="E49" s="37">
        <v>0</v>
      </c>
      <c r="F49" s="37">
        <v>0</v>
      </c>
    </row>
    <row r="50" spans="1:6" x14ac:dyDescent="0.3">
      <c r="A50" s="12">
        <v>97</v>
      </c>
      <c r="B50" s="183" t="s">
        <v>53</v>
      </c>
      <c r="C50" s="37">
        <v>18</v>
      </c>
      <c r="D50" s="37">
        <v>1</v>
      </c>
      <c r="E50" s="37">
        <v>0</v>
      </c>
      <c r="F50" s="37">
        <v>0</v>
      </c>
    </row>
    <row r="51" spans="1:6" x14ac:dyDescent="0.3">
      <c r="A51" s="12">
        <v>77</v>
      </c>
      <c r="B51" s="185" t="s">
        <v>54</v>
      </c>
      <c r="C51" s="37">
        <v>14</v>
      </c>
      <c r="D51" s="37">
        <v>1</v>
      </c>
      <c r="E51" s="37">
        <v>0</v>
      </c>
      <c r="F51" s="37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182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FF0000"/>
  </sheetPr>
  <dimension ref="A1:K66"/>
  <sheetViews>
    <sheetView showGridLines="0" zoomScale="85" workbookViewId="0">
      <pane xSplit="2" ySplit="3" topLeftCell="C10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189" customWidth="1"/>
    <col min="3" max="4" width="20" style="189" customWidth="1"/>
    <col min="5" max="5" width="15.26953125" style="189" customWidth="1"/>
    <col min="6" max="6" width="17.7265625" style="189" customWidth="1"/>
    <col min="7" max="256" width="8.7265625" style="189"/>
    <col min="257" max="257" width="0" style="189" hidden="1" customWidth="1"/>
    <col min="258" max="258" width="28.7265625" style="189" customWidth="1"/>
    <col min="259" max="260" width="20" style="189" customWidth="1"/>
    <col min="261" max="261" width="15.26953125" style="189" customWidth="1"/>
    <col min="262" max="262" width="17.7265625" style="189" customWidth="1"/>
    <col min="263" max="512" width="8.7265625" style="189"/>
    <col min="513" max="513" width="0" style="189" hidden="1" customWidth="1"/>
    <col min="514" max="514" width="28.7265625" style="189" customWidth="1"/>
    <col min="515" max="516" width="20" style="189" customWidth="1"/>
    <col min="517" max="517" width="15.26953125" style="189" customWidth="1"/>
    <col min="518" max="518" width="17.7265625" style="189" customWidth="1"/>
    <col min="519" max="768" width="8.7265625" style="189"/>
    <col min="769" max="769" width="0" style="189" hidden="1" customWidth="1"/>
    <col min="770" max="770" width="28.7265625" style="189" customWidth="1"/>
    <col min="771" max="772" width="20" style="189" customWidth="1"/>
    <col min="773" max="773" width="15.26953125" style="189" customWidth="1"/>
    <col min="774" max="774" width="17.7265625" style="189" customWidth="1"/>
    <col min="775" max="1024" width="8.7265625" style="189"/>
    <col min="1025" max="1025" width="0" style="189" hidden="1" customWidth="1"/>
    <col min="1026" max="1026" width="28.7265625" style="189" customWidth="1"/>
    <col min="1027" max="1028" width="20" style="189" customWidth="1"/>
    <col min="1029" max="1029" width="15.26953125" style="189" customWidth="1"/>
    <col min="1030" max="1030" width="17.7265625" style="189" customWidth="1"/>
    <col min="1031" max="1280" width="8.7265625" style="189"/>
    <col min="1281" max="1281" width="0" style="189" hidden="1" customWidth="1"/>
    <col min="1282" max="1282" width="28.7265625" style="189" customWidth="1"/>
    <col min="1283" max="1284" width="20" style="189" customWidth="1"/>
    <col min="1285" max="1285" width="15.26953125" style="189" customWidth="1"/>
    <col min="1286" max="1286" width="17.7265625" style="189" customWidth="1"/>
    <col min="1287" max="1536" width="8.7265625" style="189"/>
    <col min="1537" max="1537" width="0" style="189" hidden="1" customWidth="1"/>
    <col min="1538" max="1538" width="28.7265625" style="189" customWidth="1"/>
    <col min="1539" max="1540" width="20" style="189" customWidth="1"/>
    <col min="1541" max="1541" width="15.26953125" style="189" customWidth="1"/>
    <col min="1542" max="1542" width="17.7265625" style="189" customWidth="1"/>
    <col min="1543" max="1792" width="8.7265625" style="189"/>
    <col min="1793" max="1793" width="0" style="189" hidden="1" customWidth="1"/>
    <col min="1794" max="1794" width="28.7265625" style="189" customWidth="1"/>
    <col min="1795" max="1796" width="20" style="189" customWidth="1"/>
    <col min="1797" max="1797" width="15.26953125" style="189" customWidth="1"/>
    <col min="1798" max="1798" width="17.7265625" style="189" customWidth="1"/>
    <col min="1799" max="2048" width="8.7265625" style="189"/>
    <col min="2049" max="2049" width="0" style="189" hidden="1" customWidth="1"/>
    <col min="2050" max="2050" width="28.7265625" style="189" customWidth="1"/>
    <col min="2051" max="2052" width="20" style="189" customWidth="1"/>
    <col min="2053" max="2053" width="15.26953125" style="189" customWidth="1"/>
    <col min="2054" max="2054" width="17.7265625" style="189" customWidth="1"/>
    <col min="2055" max="2304" width="8.7265625" style="189"/>
    <col min="2305" max="2305" width="0" style="189" hidden="1" customWidth="1"/>
    <col min="2306" max="2306" width="28.7265625" style="189" customWidth="1"/>
    <col min="2307" max="2308" width="20" style="189" customWidth="1"/>
    <col min="2309" max="2309" width="15.26953125" style="189" customWidth="1"/>
    <col min="2310" max="2310" width="17.7265625" style="189" customWidth="1"/>
    <col min="2311" max="2560" width="8.7265625" style="189"/>
    <col min="2561" max="2561" width="0" style="189" hidden="1" customWidth="1"/>
    <col min="2562" max="2562" width="28.7265625" style="189" customWidth="1"/>
    <col min="2563" max="2564" width="20" style="189" customWidth="1"/>
    <col min="2565" max="2565" width="15.26953125" style="189" customWidth="1"/>
    <col min="2566" max="2566" width="17.7265625" style="189" customWidth="1"/>
    <col min="2567" max="2816" width="8.7265625" style="189"/>
    <col min="2817" max="2817" width="0" style="189" hidden="1" customWidth="1"/>
    <col min="2818" max="2818" width="28.7265625" style="189" customWidth="1"/>
    <col min="2819" max="2820" width="20" style="189" customWidth="1"/>
    <col min="2821" max="2821" width="15.26953125" style="189" customWidth="1"/>
    <col min="2822" max="2822" width="17.7265625" style="189" customWidth="1"/>
    <col min="2823" max="3072" width="8.7265625" style="189"/>
    <col min="3073" max="3073" width="0" style="189" hidden="1" customWidth="1"/>
    <col min="3074" max="3074" width="28.7265625" style="189" customWidth="1"/>
    <col min="3075" max="3076" width="20" style="189" customWidth="1"/>
    <col min="3077" max="3077" width="15.26953125" style="189" customWidth="1"/>
    <col min="3078" max="3078" width="17.7265625" style="189" customWidth="1"/>
    <col min="3079" max="3328" width="8.7265625" style="189"/>
    <col min="3329" max="3329" width="0" style="189" hidden="1" customWidth="1"/>
    <col min="3330" max="3330" width="28.7265625" style="189" customWidth="1"/>
    <col min="3331" max="3332" width="20" style="189" customWidth="1"/>
    <col min="3333" max="3333" width="15.26953125" style="189" customWidth="1"/>
    <col min="3334" max="3334" width="17.7265625" style="189" customWidth="1"/>
    <col min="3335" max="3584" width="8.7265625" style="189"/>
    <col min="3585" max="3585" width="0" style="189" hidden="1" customWidth="1"/>
    <col min="3586" max="3586" width="28.7265625" style="189" customWidth="1"/>
    <col min="3587" max="3588" width="20" style="189" customWidth="1"/>
    <col min="3589" max="3589" width="15.26953125" style="189" customWidth="1"/>
    <col min="3590" max="3590" width="17.7265625" style="189" customWidth="1"/>
    <col min="3591" max="3840" width="8.7265625" style="189"/>
    <col min="3841" max="3841" width="0" style="189" hidden="1" customWidth="1"/>
    <col min="3842" max="3842" width="28.7265625" style="189" customWidth="1"/>
    <col min="3843" max="3844" width="20" style="189" customWidth="1"/>
    <col min="3845" max="3845" width="15.26953125" style="189" customWidth="1"/>
    <col min="3846" max="3846" width="17.7265625" style="189" customWidth="1"/>
    <col min="3847" max="4096" width="8.7265625" style="189"/>
    <col min="4097" max="4097" width="0" style="189" hidden="1" customWidth="1"/>
    <col min="4098" max="4098" width="28.7265625" style="189" customWidth="1"/>
    <col min="4099" max="4100" width="20" style="189" customWidth="1"/>
    <col min="4101" max="4101" width="15.26953125" style="189" customWidth="1"/>
    <col min="4102" max="4102" width="17.7265625" style="189" customWidth="1"/>
    <col min="4103" max="4352" width="8.7265625" style="189"/>
    <col min="4353" max="4353" width="0" style="189" hidden="1" customWidth="1"/>
    <col min="4354" max="4354" width="28.7265625" style="189" customWidth="1"/>
    <col min="4355" max="4356" width="20" style="189" customWidth="1"/>
    <col min="4357" max="4357" width="15.26953125" style="189" customWidth="1"/>
    <col min="4358" max="4358" width="17.7265625" style="189" customWidth="1"/>
    <col min="4359" max="4608" width="8.7265625" style="189"/>
    <col min="4609" max="4609" width="0" style="189" hidden="1" customWidth="1"/>
    <col min="4610" max="4610" width="28.7265625" style="189" customWidth="1"/>
    <col min="4611" max="4612" width="20" style="189" customWidth="1"/>
    <col min="4613" max="4613" width="15.26953125" style="189" customWidth="1"/>
    <col min="4614" max="4614" width="17.7265625" style="189" customWidth="1"/>
    <col min="4615" max="4864" width="8.7265625" style="189"/>
    <col min="4865" max="4865" width="0" style="189" hidden="1" customWidth="1"/>
    <col min="4866" max="4866" width="28.7265625" style="189" customWidth="1"/>
    <col min="4867" max="4868" width="20" style="189" customWidth="1"/>
    <col min="4869" max="4869" width="15.26953125" style="189" customWidth="1"/>
    <col min="4870" max="4870" width="17.7265625" style="189" customWidth="1"/>
    <col min="4871" max="5120" width="8.7265625" style="189"/>
    <col min="5121" max="5121" width="0" style="189" hidden="1" customWidth="1"/>
    <col min="5122" max="5122" width="28.7265625" style="189" customWidth="1"/>
    <col min="5123" max="5124" width="20" style="189" customWidth="1"/>
    <col min="5125" max="5125" width="15.26953125" style="189" customWidth="1"/>
    <col min="5126" max="5126" width="17.7265625" style="189" customWidth="1"/>
    <col min="5127" max="5376" width="8.7265625" style="189"/>
    <col min="5377" max="5377" width="0" style="189" hidden="1" customWidth="1"/>
    <col min="5378" max="5378" width="28.7265625" style="189" customWidth="1"/>
    <col min="5379" max="5380" width="20" style="189" customWidth="1"/>
    <col min="5381" max="5381" width="15.26953125" style="189" customWidth="1"/>
    <col min="5382" max="5382" width="17.7265625" style="189" customWidth="1"/>
    <col min="5383" max="5632" width="8.7265625" style="189"/>
    <col min="5633" max="5633" width="0" style="189" hidden="1" customWidth="1"/>
    <col min="5634" max="5634" width="28.7265625" style="189" customWidth="1"/>
    <col min="5635" max="5636" width="20" style="189" customWidth="1"/>
    <col min="5637" max="5637" width="15.26953125" style="189" customWidth="1"/>
    <col min="5638" max="5638" width="17.7265625" style="189" customWidth="1"/>
    <col min="5639" max="5888" width="8.7265625" style="189"/>
    <col min="5889" max="5889" width="0" style="189" hidden="1" customWidth="1"/>
    <col min="5890" max="5890" width="28.7265625" style="189" customWidth="1"/>
    <col min="5891" max="5892" width="20" style="189" customWidth="1"/>
    <col min="5893" max="5893" width="15.26953125" style="189" customWidth="1"/>
    <col min="5894" max="5894" width="17.7265625" style="189" customWidth="1"/>
    <col min="5895" max="6144" width="8.7265625" style="189"/>
    <col min="6145" max="6145" width="0" style="189" hidden="1" customWidth="1"/>
    <col min="6146" max="6146" width="28.7265625" style="189" customWidth="1"/>
    <col min="6147" max="6148" width="20" style="189" customWidth="1"/>
    <col min="6149" max="6149" width="15.26953125" style="189" customWidth="1"/>
    <col min="6150" max="6150" width="17.7265625" style="189" customWidth="1"/>
    <col min="6151" max="6400" width="8.7265625" style="189"/>
    <col min="6401" max="6401" width="0" style="189" hidden="1" customWidth="1"/>
    <col min="6402" max="6402" width="28.7265625" style="189" customWidth="1"/>
    <col min="6403" max="6404" width="20" style="189" customWidth="1"/>
    <col min="6405" max="6405" width="15.26953125" style="189" customWidth="1"/>
    <col min="6406" max="6406" width="17.7265625" style="189" customWidth="1"/>
    <col min="6407" max="6656" width="8.7265625" style="189"/>
    <col min="6657" max="6657" width="0" style="189" hidden="1" customWidth="1"/>
    <col min="6658" max="6658" width="28.7265625" style="189" customWidth="1"/>
    <col min="6659" max="6660" width="20" style="189" customWidth="1"/>
    <col min="6661" max="6661" width="15.26953125" style="189" customWidth="1"/>
    <col min="6662" max="6662" width="17.7265625" style="189" customWidth="1"/>
    <col min="6663" max="6912" width="8.7265625" style="189"/>
    <col min="6913" max="6913" width="0" style="189" hidden="1" customWidth="1"/>
    <col min="6914" max="6914" width="28.7265625" style="189" customWidth="1"/>
    <col min="6915" max="6916" width="20" style="189" customWidth="1"/>
    <col min="6917" max="6917" width="15.26953125" style="189" customWidth="1"/>
    <col min="6918" max="6918" width="17.7265625" style="189" customWidth="1"/>
    <col min="6919" max="7168" width="8.7265625" style="189"/>
    <col min="7169" max="7169" width="0" style="189" hidden="1" customWidth="1"/>
    <col min="7170" max="7170" width="28.7265625" style="189" customWidth="1"/>
    <col min="7171" max="7172" width="20" style="189" customWidth="1"/>
    <col min="7173" max="7173" width="15.26953125" style="189" customWidth="1"/>
    <col min="7174" max="7174" width="17.7265625" style="189" customWidth="1"/>
    <col min="7175" max="7424" width="8.7265625" style="189"/>
    <col min="7425" max="7425" width="0" style="189" hidden="1" customWidth="1"/>
    <col min="7426" max="7426" width="28.7265625" style="189" customWidth="1"/>
    <col min="7427" max="7428" width="20" style="189" customWidth="1"/>
    <col min="7429" max="7429" width="15.26953125" style="189" customWidth="1"/>
    <col min="7430" max="7430" width="17.7265625" style="189" customWidth="1"/>
    <col min="7431" max="7680" width="8.7265625" style="189"/>
    <col min="7681" max="7681" width="0" style="189" hidden="1" customWidth="1"/>
    <col min="7682" max="7682" width="28.7265625" style="189" customWidth="1"/>
    <col min="7683" max="7684" width="20" style="189" customWidth="1"/>
    <col min="7685" max="7685" width="15.26953125" style="189" customWidth="1"/>
    <col min="7686" max="7686" width="17.7265625" style="189" customWidth="1"/>
    <col min="7687" max="7936" width="8.7265625" style="189"/>
    <col min="7937" max="7937" width="0" style="189" hidden="1" customWidth="1"/>
    <col min="7938" max="7938" width="28.7265625" style="189" customWidth="1"/>
    <col min="7939" max="7940" width="20" style="189" customWidth="1"/>
    <col min="7941" max="7941" width="15.26953125" style="189" customWidth="1"/>
    <col min="7942" max="7942" width="17.7265625" style="189" customWidth="1"/>
    <col min="7943" max="8192" width="8.7265625" style="189"/>
    <col min="8193" max="8193" width="0" style="189" hidden="1" customWidth="1"/>
    <col min="8194" max="8194" width="28.7265625" style="189" customWidth="1"/>
    <col min="8195" max="8196" width="20" style="189" customWidth="1"/>
    <col min="8197" max="8197" width="15.26953125" style="189" customWidth="1"/>
    <col min="8198" max="8198" width="17.7265625" style="189" customWidth="1"/>
    <col min="8199" max="8448" width="8.7265625" style="189"/>
    <col min="8449" max="8449" width="0" style="189" hidden="1" customWidth="1"/>
    <col min="8450" max="8450" width="28.7265625" style="189" customWidth="1"/>
    <col min="8451" max="8452" width="20" style="189" customWidth="1"/>
    <col min="8453" max="8453" width="15.26953125" style="189" customWidth="1"/>
    <col min="8454" max="8454" width="17.7265625" style="189" customWidth="1"/>
    <col min="8455" max="8704" width="8.7265625" style="189"/>
    <col min="8705" max="8705" width="0" style="189" hidden="1" customWidth="1"/>
    <col min="8706" max="8706" width="28.7265625" style="189" customWidth="1"/>
    <col min="8707" max="8708" width="20" style="189" customWidth="1"/>
    <col min="8709" max="8709" width="15.26953125" style="189" customWidth="1"/>
    <col min="8710" max="8710" width="17.7265625" style="189" customWidth="1"/>
    <col min="8711" max="8960" width="8.7265625" style="189"/>
    <col min="8961" max="8961" width="0" style="189" hidden="1" customWidth="1"/>
    <col min="8962" max="8962" width="28.7265625" style="189" customWidth="1"/>
    <col min="8963" max="8964" width="20" style="189" customWidth="1"/>
    <col min="8965" max="8965" width="15.26953125" style="189" customWidth="1"/>
    <col min="8966" max="8966" width="17.7265625" style="189" customWidth="1"/>
    <col min="8967" max="9216" width="8.7265625" style="189"/>
    <col min="9217" max="9217" width="0" style="189" hidden="1" customWidth="1"/>
    <col min="9218" max="9218" width="28.7265625" style="189" customWidth="1"/>
    <col min="9219" max="9220" width="20" style="189" customWidth="1"/>
    <col min="9221" max="9221" width="15.26953125" style="189" customWidth="1"/>
    <col min="9222" max="9222" width="17.7265625" style="189" customWidth="1"/>
    <col min="9223" max="9472" width="8.7265625" style="189"/>
    <col min="9473" max="9473" width="0" style="189" hidden="1" customWidth="1"/>
    <col min="9474" max="9474" width="28.7265625" style="189" customWidth="1"/>
    <col min="9475" max="9476" width="20" style="189" customWidth="1"/>
    <col min="9477" max="9477" width="15.26953125" style="189" customWidth="1"/>
    <col min="9478" max="9478" width="17.7265625" style="189" customWidth="1"/>
    <col min="9479" max="9728" width="8.7265625" style="189"/>
    <col min="9729" max="9729" width="0" style="189" hidden="1" customWidth="1"/>
    <col min="9730" max="9730" width="28.7265625" style="189" customWidth="1"/>
    <col min="9731" max="9732" width="20" style="189" customWidth="1"/>
    <col min="9733" max="9733" width="15.26953125" style="189" customWidth="1"/>
    <col min="9734" max="9734" width="17.7265625" style="189" customWidth="1"/>
    <col min="9735" max="9984" width="8.7265625" style="189"/>
    <col min="9985" max="9985" width="0" style="189" hidden="1" customWidth="1"/>
    <col min="9986" max="9986" width="28.7265625" style="189" customWidth="1"/>
    <col min="9987" max="9988" width="20" style="189" customWidth="1"/>
    <col min="9989" max="9989" width="15.26953125" style="189" customWidth="1"/>
    <col min="9990" max="9990" width="17.7265625" style="189" customWidth="1"/>
    <col min="9991" max="10240" width="8.7265625" style="189"/>
    <col min="10241" max="10241" width="0" style="189" hidden="1" customWidth="1"/>
    <col min="10242" max="10242" width="28.7265625" style="189" customWidth="1"/>
    <col min="10243" max="10244" width="20" style="189" customWidth="1"/>
    <col min="10245" max="10245" width="15.26953125" style="189" customWidth="1"/>
    <col min="10246" max="10246" width="17.7265625" style="189" customWidth="1"/>
    <col min="10247" max="10496" width="8.7265625" style="189"/>
    <col min="10497" max="10497" width="0" style="189" hidden="1" customWidth="1"/>
    <col min="10498" max="10498" width="28.7265625" style="189" customWidth="1"/>
    <col min="10499" max="10500" width="20" style="189" customWidth="1"/>
    <col min="10501" max="10501" width="15.26953125" style="189" customWidth="1"/>
    <col min="10502" max="10502" width="17.7265625" style="189" customWidth="1"/>
    <col min="10503" max="10752" width="8.7265625" style="189"/>
    <col min="10753" max="10753" width="0" style="189" hidden="1" customWidth="1"/>
    <col min="10754" max="10754" width="28.7265625" style="189" customWidth="1"/>
    <col min="10755" max="10756" width="20" style="189" customWidth="1"/>
    <col min="10757" max="10757" width="15.26953125" style="189" customWidth="1"/>
    <col min="10758" max="10758" width="17.7265625" style="189" customWidth="1"/>
    <col min="10759" max="11008" width="8.7265625" style="189"/>
    <col min="11009" max="11009" width="0" style="189" hidden="1" customWidth="1"/>
    <col min="11010" max="11010" width="28.7265625" style="189" customWidth="1"/>
    <col min="11011" max="11012" width="20" style="189" customWidth="1"/>
    <col min="11013" max="11013" width="15.26953125" style="189" customWidth="1"/>
    <col min="11014" max="11014" width="17.7265625" style="189" customWidth="1"/>
    <col min="11015" max="11264" width="8.7265625" style="189"/>
    <col min="11265" max="11265" width="0" style="189" hidden="1" customWidth="1"/>
    <col min="11266" max="11266" width="28.7265625" style="189" customWidth="1"/>
    <col min="11267" max="11268" width="20" style="189" customWidth="1"/>
    <col min="11269" max="11269" width="15.26953125" style="189" customWidth="1"/>
    <col min="11270" max="11270" width="17.7265625" style="189" customWidth="1"/>
    <col min="11271" max="11520" width="8.7265625" style="189"/>
    <col min="11521" max="11521" width="0" style="189" hidden="1" customWidth="1"/>
    <col min="11522" max="11522" width="28.7265625" style="189" customWidth="1"/>
    <col min="11523" max="11524" width="20" style="189" customWidth="1"/>
    <col min="11525" max="11525" width="15.26953125" style="189" customWidth="1"/>
    <col min="11526" max="11526" width="17.7265625" style="189" customWidth="1"/>
    <col min="11527" max="11776" width="8.7265625" style="189"/>
    <col min="11777" max="11777" width="0" style="189" hidden="1" customWidth="1"/>
    <col min="11778" max="11778" width="28.7265625" style="189" customWidth="1"/>
    <col min="11779" max="11780" width="20" style="189" customWidth="1"/>
    <col min="11781" max="11781" width="15.26953125" style="189" customWidth="1"/>
    <col min="11782" max="11782" width="17.7265625" style="189" customWidth="1"/>
    <col min="11783" max="12032" width="8.7265625" style="189"/>
    <col min="12033" max="12033" width="0" style="189" hidden="1" customWidth="1"/>
    <col min="12034" max="12034" width="28.7265625" style="189" customWidth="1"/>
    <col min="12035" max="12036" width="20" style="189" customWidth="1"/>
    <col min="12037" max="12037" width="15.26953125" style="189" customWidth="1"/>
    <col min="12038" max="12038" width="17.7265625" style="189" customWidth="1"/>
    <col min="12039" max="12288" width="8.7265625" style="189"/>
    <col min="12289" max="12289" width="0" style="189" hidden="1" customWidth="1"/>
    <col min="12290" max="12290" width="28.7265625" style="189" customWidth="1"/>
    <col min="12291" max="12292" width="20" style="189" customWidth="1"/>
    <col min="12293" max="12293" width="15.26953125" style="189" customWidth="1"/>
    <col min="12294" max="12294" width="17.7265625" style="189" customWidth="1"/>
    <col min="12295" max="12544" width="8.7265625" style="189"/>
    <col min="12545" max="12545" width="0" style="189" hidden="1" customWidth="1"/>
    <col min="12546" max="12546" width="28.7265625" style="189" customWidth="1"/>
    <col min="12547" max="12548" width="20" style="189" customWidth="1"/>
    <col min="12549" max="12549" width="15.26953125" style="189" customWidth="1"/>
    <col min="12550" max="12550" width="17.7265625" style="189" customWidth="1"/>
    <col min="12551" max="12800" width="8.7265625" style="189"/>
    <col min="12801" max="12801" width="0" style="189" hidden="1" customWidth="1"/>
    <col min="12802" max="12802" width="28.7265625" style="189" customWidth="1"/>
    <col min="12803" max="12804" width="20" style="189" customWidth="1"/>
    <col min="12805" max="12805" width="15.26953125" style="189" customWidth="1"/>
    <col min="12806" max="12806" width="17.7265625" style="189" customWidth="1"/>
    <col min="12807" max="13056" width="8.7265625" style="189"/>
    <col min="13057" max="13057" width="0" style="189" hidden="1" customWidth="1"/>
    <col min="13058" max="13058" width="28.7265625" style="189" customWidth="1"/>
    <col min="13059" max="13060" width="20" style="189" customWidth="1"/>
    <col min="13061" max="13061" width="15.26953125" style="189" customWidth="1"/>
    <col min="13062" max="13062" width="17.7265625" style="189" customWidth="1"/>
    <col min="13063" max="13312" width="8.7265625" style="189"/>
    <col min="13313" max="13313" width="0" style="189" hidden="1" customWidth="1"/>
    <col min="13314" max="13314" width="28.7265625" style="189" customWidth="1"/>
    <col min="13315" max="13316" width="20" style="189" customWidth="1"/>
    <col min="13317" max="13317" width="15.26953125" style="189" customWidth="1"/>
    <col min="13318" max="13318" width="17.7265625" style="189" customWidth="1"/>
    <col min="13319" max="13568" width="8.7265625" style="189"/>
    <col min="13569" max="13569" width="0" style="189" hidden="1" customWidth="1"/>
    <col min="13570" max="13570" width="28.7265625" style="189" customWidth="1"/>
    <col min="13571" max="13572" width="20" style="189" customWidth="1"/>
    <col min="13573" max="13573" width="15.26953125" style="189" customWidth="1"/>
    <col min="13574" max="13574" width="17.7265625" style="189" customWidth="1"/>
    <col min="13575" max="13824" width="8.7265625" style="189"/>
    <col min="13825" max="13825" width="0" style="189" hidden="1" customWidth="1"/>
    <col min="13826" max="13826" width="28.7265625" style="189" customWidth="1"/>
    <col min="13827" max="13828" width="20" style="189" customWidth="1"/>
    <col min="13829" max="13829" width="15.26953125" style="189" customWidth="1"/>
    <col min="13830" max="13830" width="17.7265625" style="189" customWidth="1"/>
    <col min="13831" max="14080" width="8.7265625" style="189"/>
    <col min="14081" max="14081" width="0" style="189" hidden="1" customWidth="1"/>
    <col min="14082" max="14082" width="28.7265625" style="189" customWidth="1"/>
    <col min="14083" max="14084" width="20" style="189" customWidth="1"/>
    <col min="14085" max="14085" width="15.26953125" style="189" customWidth="1"/>
    <col min="14086" max="14086" width="17.7265625" style="189" customWidth="1"/>
    <col min="14087" max="14336" width="8.7265625" style="189"/>
    <col min="14337" max="14337" width="0" style="189" hidden="1" customWidth="1"/>
    <col min="14338" max="14338" width="28.7265625" style="189" customWidth="1"/>
    <col min="14339" max="14340" width="20" style="189" customWidth="1"/>
    <col min="14341" max="14341" width="15.26953125" style="189" customWidth="1"/>
    <col min="14342" max="14342" width="17.7265625" style="189" customWidth="1"/>
    <col min="14343" max="14592" width="8.7265625" style="189"/>
    <col min="14593" max="14593" width="0" style="189" hidden="1" customWidth="1"/>
    <col min="14594" max="14594" width="28.7265625" style="189" customWidth="1"/>
    <col min="14595" max="14596" width="20" style="189" customWidth="1"/>
    <col min="14597" max="14597" width="15.26953125" style="189" customWidth="1"/>
    <col min="14598" max="14598" width="17.7265625" style="189" customWidth="1"/>
    <col min="14599" max="14848" width="8.7265625" style="189"/>
    <col min="14849" max="14849" width="0" style="189" hidden="1" customWidth="1"/>
    <col min="14850" max="14850" width="28.7265625" style="189" customWidth="1"/>
    <col min="14851" max="14852" width="20" style="189" customWidth="1"/>
    <col min="14853" max="14853" width="15.26953125" style="189" customWidth="1"/>
    <col min="14854" max="14854" width="17.7265625" style="189" customWidth="1"/>
    <col min="14855" max="15104" width="8.7265625" style="189"/>
    <col min="15105" max="15105" width="0" style="189" hidden="1" customWidth="1"/>
    <col min="15106" max="15106" width="28.7265625" style="189" customWidth="1"/>
    <col min="15107" max="15108" width="20" style="189" customWidth="1"/>
    <col min="15109" max="15109" width="15.26953125" style="189" customWidth="1"/>
    <col min="15110" max="15110" width="17.7265625" style="189" customWidth="1"/>
    <col min="15111" max="15360" width="8.7265625" style="189"/>
    <col min="15361" max="15361" width="0" style="189" hidden="1" customWidth="1"/>
    <col min="15362" max="15362" width="28.7265625" style="189" customWidth="1"/>
    <col min="15363" max="15364" width="20" style="189" customWidth="1"/>
    <col min="15365" max="15365" width="15.26953125" style="189" customWidth="1"/>
    <col min="15366" max="15366" width="17.7265625" style="189" customWidth="1"/>
    <col min="15367" max="15616" width="8.7265625" style="189"/>
    <col min="15617" max="15617" width="0" style="189" hidden="1" customWidth="1"/>
    <col min="15618" max="15618" width="28.7265625" style="189" customWidth="1"/>
    <col min="15619" max="15620" width="20" style="189" customWidth="1"/>
    <col min="15621" max="15621" width="15.26953125" style="189" customWidth="1"/>
    <col min="15622" max="15622" width="17.7265625" style="189" customWidth="1"/>
    <col min="15623" max="15872" width="8.7265625" style="189"/>
    <col min="15873" max="15873" width="0" style="189" hidden="1" customWidth="1"/>
    <col min="15874" max="15874" width="28.7265625" style="189" customWidth="1"/>
    <col min="15875" max="15876" width="20" style="189" customWidth="1"/>
    <col min="15877" max="15877" width="15.26953125" style="189" customWidth="1"/>
    <col min="15878" max="15878" width="17.7265625" style="189" customWidth="1"/>
    <col min="15879" max="16128" width="8.7265625" style="189"/>
    <col min="16129" max="16129" width="0" style="189" hidden="1" customWidth="1"/>
    <col min="16130" max="16130" width="28.7265625" style="189" customWidth="1"/>
    <col min="16131" max="16132" width="20" style="189" customWidth="1"/>
    <col min="16133" max="16133" width="15.26953125" style="189" customWidth="1"/>
    <col min="16134" max="16134" width="17.7265625" style="189" customWidth="1"/>
    <col min="16135" max="16384" width="8.7265625" style="189"/>
  </cols>
  <sheetData>
    <row r="1" spans="1:11" ht="60" customHeight="1" x14ac:dyDescent="0.3">
      <c r="B1" s="316"/>
      <c r="C1" s="317"/>
      <c r="D1" s="317"/>
      <c r="E1" s="317"/>
      <c r="F1" s="318"/>
    </row>
    <row r="2" spans="1:11" ht="14.5" x14ac:dyDescent="0.3">
      <c r="B2" s="299"/>
      <c r="C2" s="300" t="s">
        <v>1</v>
      </c>
      <c r="D2" s="302" t="s">
        <v>2</v>
      </c>
      <c r="E2" s="302"/>
    </row>
    <row r="3" spans="1:11" ht="27" x14ac:dyDescent="0.3">
      <c r="A3" s="4"/>
      <c r="B3" s="299"/>
      <c r="C3" s="301"/>
      <c r="D3" s="190" t="s">
        <v>3</v>
      </c>
      <c r="E3" s="190" t="s">
        <v>4</v>
      </c>
      <c r="F3" s="190" t="s">
        <v>5</v>
      </c>
    </row>
    <row r="4" spans="1:11" ht="24" customHeight="1" x14ac:dyDescent="0.3">
      <c r="A4" s="4"/>
      <c r="B4" s="6" t="s">
        <v>6</v>
      </c>
      <c r="C4" s="7">
        <f>C5+C44</f>
        <v>2588</v>
      </c>
      <c r="D4" s="7">
        <f>D5+D44</f>
        <v>351</v>
      </c>
      <c r="E4" s="7">
        <f>E5+E44</f>
        <v>61</v>
      </c>
      <c r="F4" s="7">
        <f>F5+F44</f>
        <v>0</v>
      </c>
      <c r="H4" s="8"/>
      <c r="I4" s="8"/>
      <c r="J4" s="8"/>
      <c r="K4" s="8"/>
    </row>
    <row r="5" spans="1:11" s="11" customFormat="1" ht="25.5" customHeight="1" x14ac:dyDescent="0.3">
      <c r="A5" s="9"/>
      <c r="B5" s="10" t="s">
        <v>7</v>
      </c>
      <c r="C5" s="7">
        <f>SUM(C6:C43)</f>
        <v>1660</v>
      </c>
      <c r="D5" s="7">
        <f>SUM(D6:D43)</f>
        <v>229</v>
      </c>
      <c r="E5" s="7">
        <f>SUM(E6:E43)</f>
        <v>48</v>
      </c>
      <c r="F5" s="7">
        <f>SUM(F6:F43)</f>
        <v>0</v>
      </c>
      <c r="H5" s="8"/>
      <c r="I5" s="8"/>
      <c r="J5" s="8"/>
      <c r="K5" s="8"/>
    </row>
    <row r="6" spans="1:11" ht="12.75" customHeight="1" x14ac:dyDescent="0.3">
      <c r="A6" s="12">
        <v>51</v>
      </c>
      <c r="B6" s="13" t="s">
        <v>8</v>
      </c>
      <c r="C6" s="14">
        <f>'(2017-18b)'!C7+'(2017-18b)'!D7+'(2017-18c)'!C6+'(2017-18d)'!C6</f>
        <v>48</v>
      </c>
      <c r="D6" s="14">
        <f>'(2017-18b)'!E7+'(2017-18b)'!F7+'(2017-18c)'!D6+'(2017-18d)'!D6</f>
        <v>6</v>
      </c>
      <c r="E6" s="14">
        <f>'(2017-18b)'!G7+'(2017-18b)'!H7+'(2017-18c)'!E6+'(2017-18d)'!E6</f>
        <v>0</v>
      </c>
      <c r="F6" s="14">
        <f>'(2017-18b)'!I7+'(2017-18b)'!J7+'(2017-18c)'!F6+'(2017-18d)'!F6</f>
        <v>0</v>
      </c>
      <c r="H6" s="8"/>
      <c r="I6" s="8"/>
      <c r="J6" s="8"/>
      <c r="K6" s="8"/>
    </row>
    <row r="7" spans="1:11" ht="12.75" customHeight="1" x14ac:dyDescent="0.3">
      <c r="A7" s="12">
        <v>52</v>
      </c>
      <c r="B7" s="13" t="s">
        <v>9</v>
      </c>
      <c r="C7" s="14">
        <f>'(2017-18b)'!C8+'(2017-18b)'!D8+'(2017-18c)'!C7+'(2017-18d)'!C7</f>
        <v>39</v>
      </c>
      <c r="D7" s="14">
        <f>'(2017-18b)'!E8+'(2017-18b)'!F8+'(2017-18c)'!D7+'(2017-18d)'!D7</f>
        <v>1</v>
      </c>
      <c r="E7" s="14">
        <f>'(2017-18b)'!G8+'(2017-18b)'!H8+'(2017-18c)'!E7+'(2017-18d)'!E7</f>
        <v>1</v>
      </c>
      <c r="F7" s="14">
        <f>'(2017-18b)'!I8+'(2017-18b)'!J8+'(2017-18c)'!F7+'(2017-18d)'!F7</f>
        <v>0</v>
      </c>
      <c r="H7" s="8"/>
      <c r="I7" s="8"/>
      <c r="J7" s="8"/>
      <c r="K7" s="8"/>
    </row>
    <row r="8" spans="1:11" x14ac:dyDescent="0.3">
      <c r="A8" s="12">
        <v>86</v>
      </c>
      <c r="B8" s="13" t="s">
        <v>10</v>
      </c>
      <c r="C8" s="14">
        <f>'(2017-18b)'!C9+'(2017-18b)'!D9+'(2017-18c)'!C8+'(2017-18d)'!C8</f>
        <v>52</v>
      </c>
      <c r="D8" s="14">
        <f>'(2017-18b)'!E9+'(2017-18b)'!F9+'(2017-18c)'!D8+'(2017-18d)'!D8</f>
        <v>7</v>
      </c>
      <c r="E8" s="14">
        <f>'(2017-18b)'!G9+'(2017-18b)'!H9+'(2017-18c)'!E8+'(2017-18d)'!E8</f>
        <v>0</v>
      </c>
      <c r="F8" s="14">
        <f>'(2017-18b)'!I9+'(2017-18b)'!J9+'(2017-18c)'!F8+'(2017-18d)'!F8</f>
        <v>0</v>
      </c>
      <c r="H8" s="8"/>
      <c r="I8" s="8"/>
      <c r="J8" s="8"/>
      <c r="K8" s="8"/>
    </row>
    <row r="9" spans="1:11" ht="12.75" customHeight="1" x14ac:dyDescent="0.3">
      <c r="A9" s="12">
        <v>53</v>
      </c>
      <c r="B9" s="13" t="s">
        <v>11</v>
      </c>
      <c r="C9" s="14">
        <f>'(2017-18b)'!C10+'(2017-18b)'!D10+'(2017-18c)'!C9+'(2017-18d)'!C9</f>
        <v>24</v>
      </c>
      <c r="D9" s="14">
        <f>'(2017-18b)'!E10+'(2017-18b)'!F10+'(2017-18c)'!D9+'(2017-18d)'!D9</f>
        <v>5</v>
      </c>
      <c r="E9" s="14">
        <f>'(2017-18b)'!G10+'(2017-18b)'!H10+'(2017-18c)'!E9+'(2017-18d)'!E9</f>
        <v>1</v>
      </c>
      <c r="F9" s="14">
        <f>'(2017-18b)'!I10+'(2017-18b)'!J10+'(2017-18c)'!F9+'(2017-18d)'!F9</f>
        <v>0</v>
      </c>
      <c r="H9" s="8"/>
      <c r="I9" s="8"/>
      <c r="J9" s="8"/>
      <c r="K9" s="8"/>
    </row>
    <row r="10" spans="1:11" ht="12.75" customHeight="1" x14ac:dyDescent="0.3">
      <c r="A10" s="12">
        <v>54</v>
      </c>
      <c r="B10" s="13" t="s">
        <v>12</v>
      </c>
      <c r="C10" s="14">
        <f>'(2017-18b)'!C11+'(2017-18b)'!D11+'(2017-18c)'!C10+'(2017-18d)'!C10</f>
        <v>74</v>
      </c>
      <c r="D10" s="14">
        <f>'(2017-18b)'!E11+'(2017-18b)'!F11+'(2017-18c)'!D10+'(2017-18d)'!D10</f>
        <v>3</v>
      </c>
      <c r="E10" s="14">
        <f>'(2017-18b)'!G11+'(2017-18b)'!H11+'(2017-18c)'!E10+'(2017-18d)'!E10</f>
        <v>0</v>
      </c>
      <c r="F10" s="14">
        <f>'(2017-18b)'!I11+'(2017-18b)'!J11+'(2017-18c)'!F10+'(2017-18d)'!F10</f>
        <v>0</v>
      </c>
      <c r="H10" s="8"/>
      <c r="I10" s="8"/>
      <c r="J10" s="8"/>
      <c r="K10" s="8"/>
    </row>
    <row r="11" spans="1:11" ht="12.75" customHeight="1" x14ac:dyDescent="0.3">
      <c r="A11" s="12">
        <v>55</v>
      </c>
      <c r="B11" s="13" t="s">
        <v>13</v>
      </c>
      <c r="C11" s="14">
        <f>'(2017-18b)'!C12+'(2017-18b)'!D12+'(2017-18c)'!C11+'(2017-18d)'!C11</f>
        <v>26</v>
      </c>
      <c r="D11" s="14">
        <f>'(2017-18b)'!E12+'(2017-18b)'!F12+'(2017-18c)'!D11+'(2017-18d)'!D11</f>
        <v>1</v>
      </c>
      <c r="E11" s="14">
        <f>'(2017-18b)'!G12+'(2017-18b)'!H12+'(2017-18c)'!E11+'(2017-18d)'!E11</f>
        <v>0</v>
      </c>
      <c r="F11" s="14">
        <f>'(2017-18b)'!I12+'(2017-18b)'!J12+'(2017-18c)'!F11+'(2017-18d)'!F11</f>
        <v>0</v>
      </c>
      <c r="H11" s="8"/>
      <c r="I11" s="8"/>
      <c r="J11" s="8"/>
      <c r="K11" s="8"/>
    </row>
    <row r="12" spans="1:11" ht="12.75" customHeight="1" x14ac:dyDescent="0.3">
      <c r="A12" s="12">
        <v>56</v>
      </c>
      <c r="B12" s="13" t="s">
        <v>14</v>
      </c>
      <c r="C12" s="14">
        <f>'(2017-18b)'!C13+'(2017-18b)'!D13+'(2017-18c)'!C12+'(2017-18d)'!C12</f>
        <v>5</v>
      </c>
      <c r="D12" s="14">
        <f>'(2017-18b)'!E13+'(2017-18b)'!F13+'(2017-18c)'!D12+'(2017-18d)'!D12</f>
        <v>5</v>
      </c>
      <c r="E12" s="14">
        <f>'(2017-18b)'!G13+'(2017-18b)'!H13+'(2017-18c)'!E12+'(2017-18d)'!E12</f>
        <v>2</v>
      </c>
      <c r="F12" s="14">
        <f>'(2017-18b)'!I13+'(2017-18b)'!J13+'(2017-18c)'!F12+'(2017-18d)'!F12</f>
        <v>0</v>
      </c>
      <c r="H12" s="8"/>
      <c r="I12" s="8"/>
      <c r="J12" s="8"/>
      <c r="K12" s="8"/>
    </row>
    <row r="13" spans="1:11" ht="12.75" customHeight="1" x14ac:dyDescent="0.3">
      <c r="A13" s="12">
        <v>57</v>
      </c>
      <c r="B13" s="13" t="s">
        <v>15</v>
      </c>
      <c r="C13" s="14">
        <f>'(2017-18b)'!C14+'(2017-18b)'!D14+'(2017-18c)'!C13+'(2017-18d)'!C13</f>
        <v>53</v>
      </c>
      <c r="D13" s="14">
        <f>'(2017-18b)'!E14+'(2017-18b)'!F14+'(2017-18c)'!D13+'(2017-18d)'!D13</f>
        <v>9</v>
      </c>
      <c r="E13" s="14">
        <f>'(2017-18b)'!G14+'(2017-18b)'!H14+'(2017-18c)'!E13+'(2017-18d)'!E13</f>
        <v>11</v>
      </c>
      <c r="F13" s="14">
        <f>'(2017-18b)'!I14+'(2017-18b)'!J14+'(2017-18c)'!F13+'(2017-18d)'!F13</f>
        <v>0</v>
      </c>
      <c r="H13" s="8"/>
      <c r="I13" s="8"/>
      <c r="J13" s="8"/>
      <c r="K13" s="8"/>
    </row>
    <row r="14" spans="1:11" ht="12.75" customHeight="1" x14ac:dyDescent="0.3">
      <c r="A14" s="12">
        <v>59</v>
      </c>
      <c r="B14" s="13" t="s">
        <v>16</v>
      </c>
      <c r="C14" s="14">
        <f>'(2017-18b)'!C15+'(2017-18b)'!D15+'(2017-18c)'!C14+'(2017-18d)'!C14</f>
        <v>21</v>
      </c>
      <c r="D14" s="14">
        <f>'(2017-18b)'!E15+'(2017-18b)'!F15+'(2017-18c)'!D14+'(2017-18d)'!D14</f>
        <v>3</v>
      </c>
      <c r="E14" s="14">
        <f>'(2017-18b)'!G15+'(2017-18b)'!H15+'(2017-18c)'!E14+'(2017-18d)'!E14</f>
        <v>0</v>
      </c>
      <c r="F14" s="14">
        <f>'(2017-18b)'!I15+'(2017-18b)'!J15+'(2017-18c)'!F14+'(2017-18d)'!F14</f>
        <v>0</v>
      </c>
      <c r="H14" s="8"/>
      <c r="I14" s="8"/>
      <c r="J14" s="8"/>
      <c r="K14" s="8"/>
    </row>
    <row r="15" spans="1:11" ht="12.75" customHeight="1" x14ac:dyDescent="0.3">
      <c r="A15" s="12">
        <v>60</v>
      </c>
      <c r="B15" s="13" t="s">
        <v>17</v>
      </c>
      <c r="C15" s="14">
        <f>'(2017-18b)'!C16+'(2017-18b)'!D16+'(2017-18c)'!C15+'(2017-18d)'!C15</f>
        <v>24</v>
      </c>
      <c r="D15" s="14">
        <f>'(2017-18b)'!E16+'(2017-18b)'!F16+'(2017-18c)'!D15+'(2017-18d)'!D15</f>
        <v>4</v>
      </c>
      <c r="E15" s="14">
        <f>'(2017-18b)'!G16+'(2017-18b)'!H16+'(2017-18c)'!E15+'(2017-18d)'!E15</f>
        <v>5</v>
      </c>
      <c r="F15" s="14">
        <f>'(2017-18b)'!I16+'(2017-18b)'!J16+'(2017-18c)'!F15+'(2017-18d)'!F15</f>
        <v>0</v>
      </c>
      <c r="H15" s="8"/>
      <c r="I15" s="8"/>
      <c r="J15" s="8"/>
      <c r="K15" s="8"/>
    </row>
    <row r="16" spans="1:11" ht="12.75" customHeight="1" x14ac:dyDescent="0.3">
      <c r="A16" s="12">
        <v>61</v>
      </c>
      <c r="B16" s="15" t="s">
        <v>18</v>
      </c>
      <c r="C16" s="14">
        <f>'(2017-18b)'!C17+'(2017-18b)'!D17+'(2017-18c)'!C16+'(2017-18d)'!C16</f>
        <v>58</v>
      </c>
      <c r="D16" s="14">
        <f>'(2017-18b)'!E17+'(2017-18b)'!F17+'(2017-18c)'!D16+'(2017-18d)'!D16</f>
        <v>11</v>
      </c>
      <c r="E16" s="14">
        <f>'(2017-18b)'!G17+'(2017-18b)'!H17+'(2017-18c)'!E16+'(2017-18d)'!E16</f>
        <v>2</v>
      </c>
      <c r="F16" s="14">
        <f>'(2017-18b)'!I17+'(2017-18b)'!J17+'(2017-18c)'!F16+'(2017-18d)'!F16</f>
        <v>0</v>
      </c>
      <c r="H16" s="8"/>
      <c r="I16" s="8"/>
      <c r="J16" s="8"/>
      <c r="K16" s="8"/>
    </row>
    <row r="17" spans="1:11" ht="12.75" customHeight="1" x14ac:dyDescent="0.3">
      <c r="A17" s="12"/>
      <c r="B17" s="130" t="s">
        <v>122</v>
      </c>
      <c r="C17" s="14">
        <f>'(2017-18b)'!C18+'(2017-18b)'!D18+'(2017-18c)'!C17+'(2017-18d)'!C17</f>
        <v>76</v>
      </c>
      <c r="D17" s="14">
        <f>'(2017-18b)'!E18+'(2017-18b)'!F18+'(2017-18c)'!D17+'(2017-18d)'!D17</f>
        <v>14</v>
      </c>
      <c r="E17" s="14">
        <f>'(2017-18b)'!G18+'(2017-18b)'!H18+'(2017-18c)'!E17+'(2017-18d)'!E17</f>
        <v>4</v>
      </c>
      <c r="F17" s="14">
        <f>'(2017-18b)'!I18+'(2017-18b)'!J18+'(2017-18c)'!F17+'(2017-18d)'!F17</f>
        <v>0</v>
      </c>
      <c r="H17" s="8"/>
      <c r="I17" s="8"/>
      <c r="J17" s="8"/>
      <c r="K17" s="8"/>
    </row>
    <row r="18" spans="1:11" ht="12.75" customHeight="1" x14ac:dyDescent="0.3">
      <c r="A18" s="12">
        <v>58</v>
      </c>
      <c r="B18" s="13" t="s">
        <v>20</v>
      </c>
      <c r="C18" s="14">
        <f>'(2017-18b)'!C19+'(2017-18b)'!D19+'(2017-18c)'!C18+'(2017-18d)'!C18</f>
        <v>10</v>
      </c>
      <c r="D18" s="14">
        <f>'(2017-18b)'!E19+'(2017-18b)'!F19+'(2017-18c)'!D18+'(2017-18d)'!D18</f>
        <v>2</v>
      </c>
      <c r="E18" s="14">
        <f>'(2017-18b)'!G19+'(2017-18b)'!H19+'(2017-18c)'!E18+'(2017-18d)'!E18</f>
        <v>0</v>
      </c>
      <c r="F18" s="14">
        <f>'(2017-18b)'!I19+'(2017-18b)'!J19+'(2017-18c)'!F18+'(2017-18d)'!F18</f>
        <v>0</v>
      </c>
      <c r="H18" s="8"/>
      <c r="I18" s="8"/>
      <c r="J18" s="8"/>
      <c r="K18" s="8"/>
    </row>
    <row r="19" spans="1:11" ht="12.75" customHeight="1" x14ac:dyDescent="0.3">
      <c r="A19" s="12">
        <v>63</v>
      </c>
      <c r="B19" s="13" t="s">
        <v>21</v>
      </c>
      <c r="C19" s="14">
        <f>'(2017-18b)'!C20+'(2017-18b)'!D20+'(2017-18c)'!C19+'(2017-18d)'!C19</f>
        <v>71</v>
      </c>
      <c r="D19" s="14">
        <f>'(2017-18b)'!E20+'(2017-18b)'!F20+'(2017-18c)'!D19+'(2017-18d)'!D19</f>
        <v>6</v>
      </c>
      <c r="E19" s="14">
        <f>'(2017-18b)'!G20+'(2017-18b)'!H20+'(2017-18c)'!E19+'(2017-18d)'!E19</f>
        <v>3</v>
      </c>
      <c r="F19" s="14">
        <f>'(2017-18b)'!I20+'(2017-18b)'!J20+'(2017-18c)'!F19+'(2017-18d)'!F19</f>
        <v>0</v>
      </c>
      <c r="H19" s="8"/>
      <c r="I19" s="8"/>
      <c r="J19" s="8"/>
      <c r="K19" s="8"/>
    </row>
    <row r="20" spans="1:11" ht="12.75" customHeight="1" x14ac:dyDescent="0.3">
      <c r="A20" s="12">
        <v>64</v>
      </c>
      <c r="B20" s="13" t="s">
        <v>22</v>
      </c>
      <c r="C20" s="14">
        <f>'(2017-18b)'!C21+'(2017-18b)'!D21+'(2017-18c)'!C20+'(2017-18d)'!C20</f>
        <v>86</v>
      </c>
      <c r="D20" s="14">
        <f>'(2017-18b)'!E21+'(2017-18b)'!F21+'(2017-18c)'!D20+'(2017-18d)'!D20</f>
        <v>21</v>
      </c>
      <c r="E20" s="14">
        <f>'(2017-18b)'!G21+'(2017-18b)'!H21+'(2017-18c)'!E20+'(2017-18d)'!E20</f>
        <v>1</v>
      </c>
      <c r="F20" s="14">
        <f>'(2017-18b)'!I21+'(2017-18b)'!J21+'(2017-18c)'!F20+'(2017-18d)'!F20</f>
        <v>0</v>
      </c>
      <c r="H20" s="8"/>
      <c r="I20" s="8"/>
      <c r="J20" s="8"/>
      <c r="K20" s="8"/>
    </row>
    <row r="21" spans="1:11" x14ac:dyDescent="0.3">
      <c r="A21" s="12">
        <v>65</v>
      </c>
      <c r="B21" s="13" t="s">
        <v>23</v>
      </c>
      <c r="C21" s="14">
        <f>'(2017-18b)'!C22+'(2017-18b)'!D22+'(2017-18c)'!C21+'(2017-18d)'!C21</f>
        <v>35</v>
      </c>
      <c r="D21" s="14">
        <f>'(2017-18b)'!E22+'(2017-18b)'!F22+'(2017-18c)'!D21+'(2017-18d)'!D21</f>
        <v>3</v>
      </c>
      <c r="E21" s="14">
        <f>'(2017-18b)'!G22+'(2017-18b)'!H22+'(2017-18c)'!E21+'(2017-18d)'!E21</f>
        <v>2</v>
      </c>
      <c r="F21" s="14">
        <f>'(2017-18b)'!I22+'(2017-18b)'!J22+'(2017-18c)'!F21+'(2017-18d)'!F21</f>
        <v>0</v>
      </c>
      <c r="H21" s="8"/>
      <c r="I21" s="8"/>
      <c r="J21" s="8"/>
      <c r="K21" s="8"/>
    </row>
    <row r="22" spans="1:11" ht="12.75" customHeight="1" x14ac:dyDescent="0.3">
      <c r="A22" s="12">
        <v>67</v>
      </c>
      <c r="B22" s="13" t="s">
        <v>24</v>
      </c>
      <c r="C22" s="14">
        <f>'(2017-18b)'!C23+'(2017-18b)'!D23+'(2017-18c)'!C22+'(2017-18d)'!C22</f>
        <v>78</v>
      </c>
      <c r="D22" s="14">
        <f>'(2017-18b)'!E23+'(2017-18b)'!F23+'(2017-18c)'!D22+'(2017-18d)'!D22</f>
        <v>8</v>
      </c>
      <c r="E22" s="14">
        <f>'(2017-18b)'!G23+'(2017-18b)'!H23+'(2017-18c)'!E22+'(2017-18d)'!E22</f>
        <v>3</v>
      </c>
      <c r="F22" s="14">
        <f>'(2017-18b)'!I23+'(2017-18b)'!J23+'(2017-18c)'!F22+'(2017-18d)'!F22</f>
        <v>0</v>
      </c>
      <c r="H22" s="8"/>
      <c r="I22" s="8"/>
      <c r="J22" s="8"/>
      <c r="K22" s="8"/>
    </row>
    <row r="23" spans="1:11" x14ac:dyDescent="0.3">
      <c r="A23" s="12">
        <v>68</v>
      </c>
      <c r="B23" s="13" t="s">
        <v>25</v>
      </c>
      <c r="C23" s="14">
        <f>'(2017-18b)'!C24+'(2017-18b)'!D24+'(2017-18c)'!C23+'(2017-18d)'!C23</f>
        <v>71</v>
      </c>
      <c r="D23" s="14">
        <f>'(2017-18b)'!E24+'(2017-18b)'!F24+'(2017-18c)'!D23+'(2017-18d)'!D23</f>
        <v>8</v>
      </c>
      <c r="E23" s="14">
        <f>'(2017-18b)'!G24+'(2017-18b)'!H24+'(2017-18c)'!E23+'(2017-18d)'!E23</f>
        <v>0</v>
      </c>
      <c r="F23" s="14">
        <f>'(2017-18b)'!I24+'(2017-18b)'!J24+'(2017-18c)'!F23+'(2017-18d)'!F23</f>
        <v>0</v>
      </c>
      <c r="H23" s="8"/>
      <c r="I23" s="8"/>
      <c r="J23" s="8"/>
      <c r="K23" s="8"/>
    </row>
    <row r="24" spans="1:11" x14ac:dyDescent="0.3">
      <c r="A24" s="12">
        <v>69</v>
      </c>
      <c r="B24" s="13" t="s">
        <v>26</v>
      </c>
      <c r="C24" s="14">
        <f>'(2017-18b)'!C25+'(2017-18b)'!D25+'(2017-18c)'!C24+'(2017-18d)'!C24</f>
        <v>56</v>
      </c>
      <c r="D24" s="14">
        <f>'(2017-18b)'!E25+'(2017-18b)'!F25+'(2017-18c)'!D24+'(2017-18d)'!D24</f>
        <v>12</v>
      </c>
      <c r="E24" s="14">
        <f>'(2017-18b)'!G25+'(2017-18b)'!H25+'(2017-18c)'!E24+'(2017-18d)'!E24</f>
        <v>3</v>
      </c>
      <c r="F24" s="14">
        <f>'(2017-18b)'!I25+'(2017-18b)'!J25+'(2017-18c)'!F24+'(2017-18d)'!F24</f>
        <v>0</v>
      </c>
      <c r="H24" s="8"/>
      <c r="I24" s="8"/>
      <c r="J24" s="8"/>
      <c r="K24" s="8"/>
    </row>
    <row r="25" spans="1:11" x14ac:dyDescent="0.3">
      <c r="A25" s="12">
        <v>70</v>
      </c>
      <c r="B25" s="13" t="s">
        <v>27</v>
      </c>
      <c r="C25" s="14">
        <f>'(2017-18b)'!C26+'(2017-18b)'!D26+'(2017-18c)'!C25+'(2017-18d)'!C25</f>
        <v>81</v>
      </c>
      <c r="D25" s="14">
        <f>'(2017-18b)'!E26+'(2017-18b)'!F26+'(2017-18c)'!D25+'(2017-18d)'!D25</f>
        <v>11</v>
      </c>
      <c r="E25" s="14">
        <f>'(2017-18b)'!G26+'(2017-18b)'!H26+'(2017-18c)'!E25+'(2017-18d)'!E25</f>
        <v>0</v>
      </c>
      <c r="F25" s="14">
        <f>'(2017-18b)'!I26+'(2017-18b)'!J26+'(2017-18c)'!F25+'(2017-18d)'!F25</f>
        <v>0</v>
      </c>
      <c r="H25" s="8"/>
      <c r="I25" s="8"/>
      <c r="J25" s="8"/>
      <c r="K25" s="8"/>
    </row>
    <row r="26" spans="1:11" x14ac:dyDescent="0.3">
      <c r="A26" s="12">
        <v>71</v>
      </c>
      <c r="B26" s="16" t="s">
        <v>28</v>
      </c>
      <c r="C26" s="14">
        <f>'(2017-18b)'!C27+'(2017-18b)'!D27+'(2017-18c)'!C26+'(2017-18d)'!C26</f>
        <v>8</v>
      </c>
      <c r="D26" s="14">
        <f>'(2017-18b)'!E27+'(2017-18b)'!F27+'(2017-18c)'!D26+'(2017-18d)'!D26</f>
        <v>2</v>
      </c>
      <c r="E26" s="14">
        <f>'(2017-18b)'!G27+'(2017-18b)'!H27+'(2017-18c)'!E26+'(2017-18d)'!E26</f>
        <v>0</v>
      </c>
      <c r="F26" s="14">
        <f>'(2017-18b)'!I27+'(2017-18b)'!J27+'(2017-18c)'!F26+'(2017-18d)'!F26</f>
        <v>0</v>
      </c>
      <c r="H26" s="8"/>
      <c r="I26" s="8"/>
      <c r="J26" s="8"/>
      <c r="K26" s="8"/>
    </row>
    <row r="27" spans="1:11" x14ac:dyDescent="0.3">
      <c r="A27" s="12">
        <v>73</v>
      </c>
      <c r="B27" s="13" t="s">
        <v>29</v>
      </c>
      <c r="C27" s="14">
        <f>'(2017-18b)'!C28+'(2017-18b)'!D28+'(2017-18c)'!C27+'(2017-18d)'!C27</f>
        <v>56</v>
      </c>
      <c r="D27" s="14">
        <f>'(2017-18b)'!E28+'(2017-18b)'!F28+'(2017-18c)'!D27+'(2017-18d)'!D27</f>
        <v>4</v>
      </c>
      <c r="E27" s="14">
        <f>'(2017-18b)'!G28+'(2017-18b)'!H28+'(2017-18c)'!E27+'(2017-18d)'!E27</f>
        <v>0</v>
      </c>
      <c r="F27" s="14">
        <f>'(2017-18b)'!I28+'(2017-18b)'!J28+'(2017-18c)'!F27+'(2017-18d)'!F27</f>
        <v>0</v>
      </c>
      <c r="H27" s="8"/>
      <c r="I27" s="8"/>
      <c r="J27" s="8"/>
      <c r="K27" s="8"/>
    </row>
    <row r="28" spans="1:11" x14ac:dyDescent="0.3">
      <c r="A28" s="12">
        <v>74</v>
      </c>
      <c r="B28" s="13" t="s">
        <v>30</v>
      </c>
      <c r="C28" s="14">
        <f>'(2017-18b)'!C29+'(2017-18b)'!D29+'(2017-18c)'!C28+'(2017-18d)'!C28</f>
        <v>56</v>
      </c>
      <c r="D28" s="14">
        <f>'(2017-18b)'!E29+'(2017-18b)'!F29+'(2017-18c)'!D28+'(2017-18d)'!D28</f>
        <v>11</v>
      </c>
      <c r="E28" s="14">
        <f>'(2017-18b)'!G29+'(2017-18b)'!H29+'(2017-18c)'!E28+'(2017-18d)'!E28</f>
        <v>0</v>
      </c>
      <c r="F28" s="14">
        <f>'(2017-18b)'!I29+'(2017-18b)'!J29+'(2017-18c)'!F28+'(2017-18d)'!F28</f>
        <v>0</v>
      </c>
      <c r="H28" s="8"/>
      <c r="I28" s="8"/>
      <c r="J28" s="8"/>
      <c r="K28" s="8"/>
    </row>
    <row r="29" spans="1:11" x14ac:dyDescent="0.3">
      <c r="A29" s="12">
        <v>75</v>
      </c>
      <c r="B29" s="13" t="s">
        <v>31</v>
      </c>
      <c r="C29" s="14">
        <f>'(2017-18b)'!C30+'(2017-18b)'!D30+'(2017-18c)'!C29+'(2017-18d)'!C29</f>
        <v>38</v>
      </c>
      <c r="D29" s="14">
        <f>'(2017-18b)'!E30+'(2017-18b)'!F30+'(2017-18c)'!D29+'(2017-18d)'!D29</f>
        <v>7</v>
      </c>
      <c r="E29" s="14">
        <f>'(2017-18b)'!G30+'(2017-18b)'!H30+'(2017-18c)'!E29+'(2017-18d)'!E29</f>
        <v>0</v>
      </c>
      <c r="F29" s="14">
        <f>'(2017-18b)'!I30+'(2017-18b)'!J30+'(2017-18c)'!F29+'(2017-18d)'!F29</f>
        <v>0</v>
      </c>
      <c r="H29" s="8"/>
      <c r="I29" s="8"/>
      <c r="J29" s="8"/>
      <c r="K29" s="8"/>
    </row>
    <row r="30" spans="1:11" x14ac:dyDescent="0.3">
      <c r="A30" s="12">
        <v>76</v>
      </c>
      <c r="B30" s="13" t="s">
        <v>32</v>
      </c>
      <c r="C30" s="14">
        <f>'(2017-18b)'!C31+'(2017-18b)'!D31+'(2017-18c)'!C30+'(2017-18d)'!C30</f>
        <v>48</v>
      </c>
      <c r="D30" s="14">
        <f>'(2017-18b)'!E31+'(2017-18b)'!F31+'(2017-18c)'!D30+'(2017-18d)'!D30</f>
        <v>7</v>
      </c>
      <c r="E30" s="14">
        <f>'(2017-18b)'!G31+'(2017-18b)'!H31+'(2017-18c)'!E30+'(2017-18d)'!E30</f>
        <v>0</v>
      </c>
      <c r="F30" s="14">
        <f>'(2017-18b)'!I31+'(2017-18b)'!J31+'(2017-18c)'!F30+'(2017-18d)'!F30</f>
        <v>0</v>
      </c>
      <c r="H30" s="8"/>
      <c r="I30" s="8"/>
      <c r="J30" s="8"/>
      <c r="K30" s="8"/>
    </row>
    <row r="31" spans="1:11" x14ac:dyDescent="0.3">
      <c r="A31" s="12">
        <v>79</v>
      </c>
      <c r="B31" s="13" t="s">
        <v>33</v>
      </c>
      <c r="C31" s="14">
        <f>'(2017-18b)'!C32+'(2017-18b)'!D32+'(2017-18c)'!C31+'(2017-18d)'!C31</f>
        <v>58</v>
      </c>
      <c r="D31" s="14">
        <f>'(2017-18b)'!E32+'(2017-18b)'!F32+'(2017-18c)'!D31+'(2017-18d)'!D31</f>
        <v>7</v>
      </c>
      <c r="E31" s="14">
        <f>'(2017-18b)'!G32+'(2017-18b)'!H32+'(2017-18c)'!E31+'(2017-18d)'!E31</f>
        <v>0</v>
      </c>
      <c r="F31" s="14">
        <f>'(2017-18b)'!I32+'(2017-18b)'!J32+'(2017-18c)'!F31+'(2017-18d)'!F31</f>
        <v>0</v>
      </c>
      <c r="H31" s="8"/>
      <c r="I31" s="8"/>
      <c r="J31" s="8"/>
      <c r="K31" s="8"/>
    </row>
    <row r="32" spans="1:11" x14ac:dyDescent="0.3">
      <c r="A32" s="12">
        <v>80</v>
      </c>
      <c r="B32" s="13" t="s">
        <v>34</v>
      </c>
      <c r="C32" s="14">
        <f>'(2017-18b)'!C33+'(2017-18b)'!D33+'(2017-18c)'!C32+'(2017-18d)'!C32</f>
        <v>62</v>
      </c>
      <c r="D32" s="14">
        <f>'(2017-18b)'!E33+'(2017-18b)'!F33+'(2017-18c)'!D32+'(2017-18d)'!D32</f>
        <v>5</v>
      </c>
      <c r="E32" s="14">
        <f>'(2017-18b)'!G33+'(2017-18b)'!H33+'(2017-18c)'!E32+'(2017-18d)'!E32</f>
        <v>0</v>
      </c>
      <c r="F32" s="14">
        <f>'(2017-18b)'!I33+'(2017-18b)'!J33+'(2017-18c)'!F32+'(2017-18d)'!F32</f>
        <v>0</v>
      </c>
      <c r="H32" s="8"/>
      <c r="I32" s="8"/>
      <c r="J32" s="8"/>
      <c r="K32" s="8"/>
    </row>
    <row r="33" spans="1:11" x14ac:dyDescent="0.3">
      <c r="A33" s="12">
        <v>81</v>
      </c>
      <c r="B33" s="13" t="s">
        <v>35</v>
      </c>
      <c r="C33" s="14">
        <f>'(2017-18b)'!C34+'(2017-18b)'!D34+'(2017-18c)'!C33+'(2017-18d)'!C33</f>
        <v>18</v>
      </c>
      <c r="D33" s="14">
        <f>'(2017-18b)'!E34+'(2017-18b)'!F34+'(2017-18c)'!D33+'(2017-18d)'!D33</f>
        <v>6</v>
      </c>
      <c r="E33" s="14">
        <f>'(2017-18b)'!G34+'(2017-18b)'!H34+'(2017-18c)'!E33+'(2017-18d)'!E33</f>
        <v>0</v>
      </c>
      <c r="F33" s="14">
        <f>'(2017-18b)'!I34+'(2017-18b)'!J34+'(2017-18c)'!F33+'(2017-18d)'!F33</f>
        <v>0</v>
      </c>
      <c r="H33" s="8"/>
      <c r="I33" s="8"/>
      <c r="J33" s="8"/>
      <c r="K33" s="8"/>
    </row>
    <row r="34" spans="1:11" x14ac:dyDescent="0.3">
      <c r="A34" s="12">
        <v>83</v>
      </c>
      <c r="B34" s="13" t="s">
        <v>36</v>
      </c>
      <c r="C34" s="14">
        <f>'(2017-18b)'!C35+'(2017-18b)'!D35+'(2017-18c)'!C34+'(2017-18d)'!C34</f>
        <v>27</v>
      </c>
      <c r="D34" s="14">
        <f>'(2017-18b)'!E35+'(2017-18b)'!F35+'(2017-18c)'!D34+'(2017-18d)'!D34</f>
        <v>7</v>
      </c>
      <c r="E34" s="14">
        <f>'(2017-18b)'!G35+'(2017-18b)'!H35+'(2017-18c)'!E34+'(2017-18d)'!E34</f>
        <v>3</v>
      </c>
      <c r="F34" s="14">
        <f>'(2017-18b)'!I35+'(2017-18b)'!J35+'(2017-18c)'!F34+'(2017-18d)'!F34</f>
        <v>0</v>
      </c>
      <c r="H34" s="8"/>
      <c r="I34" s="8"/>
      <c r="J34" s="8"/>
      <c r="K34" s="8"/>
    </row>
    <row r="35" spans="1:11" x14ac:dyDescent="0.3">
      <c r="A35" s="12">
        <v>84</v>
      </c>
      <c r="B35" s="13" t="s">
        <v>37</v>
      </c>
      <c r="C35" s="14">
        <f>'(2017-18b)'!C36+'(2017-18b)'!D36+'(2017-18c)'!C35+'(2017-18d)'!C35</f>
        <v>39</v>
      </c>
      <c r="D35" s="14">
        <f>'(2017-18b)'!E36+'(2017-18b)'!F36+'(2017-18c)'!D35+'(2017-18d)'!D35</f>
        <v>6</v>
      </c>
      <c r="E35" s="14">
        <f>'(2017-18b)'!G36+'(2017-18b)'!H36+'(2017-18c)'!E35+'(2017-18d)'!E35</f>
        <v>2</v>
      </c>
      <c r="F35" s="14">
        <f>'(2017-18b)'!I36+'(2017-18b)'!J36+'(2017-18c)'!F35+'(2017-18d)'!F35</f>
        <v>0</v>
      </c>
      <c r="H35" s="8"/>
      <c r="I35" s="8"/>
      <c r="J35" s="8"/>
      <c r="K35" s="8"/>
    </row>
    <row r="36" spans="1:11" x14ac:dyDescent="0.3">
      <c r="A36" s="12">
        <v>85</v>
      </c>
      <c r="B36" s="13" t="s">
        <v>38</v>
      </c>
      <c r="C36" s="14">
        <f>'(2017-18b)'!C37+'(2017-18b)'!D37+'(2017-18c)'!C36+'(2017-18d)'!C36</f>
        <v>52</v>
      </c>
      <c r="D36" s="14">
        <f>'(2017-18b)'!E37+'(2017-18b)'!F37+'(2017-18c)'!D36+'(2017-18d)'!D36</f>
        <v>7</v>
      </c>
      <c r="E36" s="14">
        <f>'(2017-18b)'!G37+'(2017-18b)'!H37+'(2017-18c)'!E36+'(2017-18d)'!E36</f>
        <v>4</v>
      </c>
      <c r="F36" s="14">
        <f>'(2017-18b)'!I37+'(2017-18b)'!J37+'(2017-18c)'!F36+'(2017-18d)'!F36</f>
        <v>0</v>
      </c>
      <c r="H36" s="8"/>
      <c r="I36" s="8"/>
      <c r="J36" s="8"/>
      <c r="K36" s="8"/>
    </row>
    <row r="37" spans="1:11" x14ac:dyDescent="0.3">
      <c r="A37" s="12">
        <v>87</v>
      </c>
      <c r="B37" s="13" t="s">
        <v>39</v>
      </c>
      <c r="C37" s="14">
        <f>'(2017-18b)'!C38+'(2017-18b)'!D38+'(2017-18c)'!C37+'(2017-18d)'!C37</f>
        <v>24</v>
      </c>
      <c r="D37" s="14">
        <f>'(2017-18b)'!E38+'(2017-18b)'!F38+'(2017-18c)'!D37+'(2017-18d)'!D37</f>
        <v>3</v>
      </c>
      <c r="E37" s="14">
        <f>'(2017-18b)'!G38+'(2017-18b)'!H38+'(2017-18c)'!E37+'(2017-18d)'!E37</f>
        <v>0</v>
      </c>
      <c r="F37" s="14">
        <f>'(2017-18b)'!I38+'(2017-18b)'!J38+'(2017-18c)'!F37+'(2017-18d)'!F37</f>
        <v>0</v>
      </c>
      <c r="H37" s="8"/>
      <c r="I37" s="8"/>
      <c r="J37" s="8"/>
      <c r="K37" s="8"/>
    </row>
    <row r="38" spans="1:11" x14ac:dyDescent="0.3">
      <c r="A38" s="12">
        <v>90</v>
      </c>
      <c r="B38" s="13" t="s">
        <v>40</v>
      </c>
      <c r="C38" s="14">
        <f>'(2017-18b)'!C39+'(2017-18b)'!D39+'(2017-18c)'!C38+'(2017-18d)'!C38</f>
        <v>34</v>
      </c>
      <c r="D38" s="14">
        <f>'(2017-18b)'!E39+'(2017-18b)'!F39+'(2017-18c)'!D38+'(2017-18d)'!D38</f>
        <v>4</v>
      </c>
      <c r="E38" s="14">
        <f>'(2017-18b)'!G39+'(2017-18b)'!H39+'(2017-18c)'!E38+'(2017-18d)'!E38</f>
        <v>0</v>
      </c>
      <c r="F38" s="14">
        <f>'(2017-18b)'!I39+'(2017-18b)'!J39+'(2017-18c)'!F38+'(2017-18d)'!F38</f>
        <v>0</v>
      </c>
      <c r="H38" s="8"/>
      <c r="I38" s="8"/>
      <c r="J38" s="8"/>
      <c r="K38" s="8"/>
    </row>
    <row r="39" spans="1:11" x14ac:dyDescent="0.3">
      <c r="A39" s="12">
        <v>91</v>
      </c>
      <c r="B39" s="13" t="s">
        <v>41</v>
      </c>
      <c r="C39" s="14">
        <f>'(2017-18b)'!C40+'(2017-18b)'!D40+'(2017-18c)'!C39+'(2017-18d)'!C39</f>
        <v>54</v>
      </c>
      <c r="D39" s="14">
        <f>'(2017-18b)'!E40+'(2017-18b)'!F40+'(2017-18c)'!D39+'(2017-18d)'!D39</f>
        <v>2</v>
      </c>
      <c r="E39" s="14">
        <f>'(2017-18b)'!G40+'(2017-18b)'!H40+'(2017-18c)'!E39+'(2017-18d)'!E39</f>
        <v>0</v>
      </c>
      <c r="F39" s="14">
        <f>'(2017-18b)'!I40+'(2017-18b)'!J40+'(2017-18c)'!F39+'(2017-18d)'!F39</f>
        <v>0</v>
      </c>
      <c r="H39" s="8"/>
      <c r="I39" s="8"/>
      <c r="J39" s="8"/>
      <c r="K39" s="8"/>
    </row>
    <row r="40" spans="1:11" x14ac:dyDescent="0.3">
      <c r="A40" s="12">
        <v>92</v>
      </c>
      <c r="B40" s="13" t="s">
        <v>42</v>
      </c>
      <c r="C40" s="14">
        <f>'(2017-18b)'!C41+'(2017-18b)'!D41+'(2017-18c)'!C40+'(2017-18d)'!C40</f>
        <v>31</v>
      </c>
      <c r="D40" s="14">
        <f>'(2017-18b)'!E41+'(2017-18b)'!F41+'(2017-18c)'!D40+'(2017-18d)'!D40</f>
        <v>5</v>
      </c>
      <c r="E40" s="14">
        <f>'(2017-18b)'!G41+'(2017-18b)'!H41+'(2017-18c)'!E40+'(2017-18d)'!E40</f>
        <v>1</v>
      </c>
      <c r="F40" s="14">
        <f>'(2017-18b)'!I41+'(2017-18b)'!J41+'(2017-18c)'!F40+'(2017-18d)'!F40</f>
        <v>0</v>
      </c>
      <c r="H40" s="8"/>
      <c r="I40" s="8"/>
      <c r="J40" s="8"/>
      <c r="K40" s="8"/>
    </row>
    <row r="41" spans="1:11" x14ac:dyDescent="0.3">
      <c r="A41" s="12">
        <v>94</v>
      </c>
      <c r="B41" s="13" t="s">
        <v>43</v>
      </c>
      <c r="C41" s="14">
        <f>'(2017-18b)'!C42+'(2017-18b)'!D42+'(2017-18c)'!C41+'(2017-18d)'!C41</f>
        <v>28</v>
      </c>
      <c r="D41" s="14">
        <f>'(2017-18b)'!E42+'(2017-18b)'!F42+'(2017-18c)'!D41+'(2017-18d)'!D41</f>
        <v>4</v>
      </c>
      <c r="E41" s="14">
        <f>'(2017-18b)'!G42+'(2017-18b)'!H42+'(2017-18c)'!E41+'(2017-18d)'!E41</f>
        <v>0</v>
      </c>
      <c r="F41" s="14">
        <f>'(2017-18b)'!I42+'(2017-18b)'!J42+'(2017-18c)'!F41+'(2017-18d)'!F41</f>
        <v>0</v>
      </c>
      <c r="H41" s="8"/>
      <c r="I41" s="8"/>
      <c r="J41" s="8"/>
      <c r="K41" s="8"/>
    </row>
    <row r="42" spans="1:11" x14ac:dyDescent="0.3">
      <c r="A42" s="12">
        <v>96</v>
      </c>
      <c r="B42" s="13" t="s">
        <v>44</v>
      </c>
      <c r="C42" s="14">
        <f>'(2017-18b)'!C43+'(2017-18b)'!D43+'(2017-18c)'!C42+'(2017-18d)'!C42</f>
        <v>39</v>
      </c>
      <c r="D42" s="14">
        <f>'(2017-18b)'!E43+'(2017-18b)'!F43+'(2017-18c)'!D42+'(2017-18d)'!D42</f>
        <v>2</v>
      </c>
      <c r="E42" s="14">
        <f>'(2017-18b)'!G43+'(2017-18b)'!H43+'(2017-18c)'!E42+'(2017-18d)'!E42</f>
        <v>0</v>
      </c>
      <c r="F42" s="14">
        <f>'(2017-18b)'!I43+'(2017-18b)'!J43+'(2017-18c)'!F42+'(2017-18d)'!F42</f>
        <v>0</v>
      </c>
      <c r="H42" s="8"/>
      <c r="I42" s="8"/>
      <c r="J42" s="8"/>
      <c r="K42" s="8"/>
    </row>
    <row r="43" spans="1:11" x14ac:dyDescent="0.3">
      <c r="A43" s="12">
        <v>72</v>
      </c>
      <c r="B43" s="16" t="s">
        <v>46</v>
      </c>
      <c r="C43" s="14">
        <f>'(2017-18b)'!C44+'(2017-18b)'!D44+'(2017-18c)'!C43+'(2017-18d)'!C43</f>
        <v>0</v>
      </c>
      <c r="D43" s="14">
        <f>'(2017-18b)'!E44+'(2017-18b)'!F44+'(2017-18c)'!D43+'(2017-18d)'!D43</f>
        <v>0</v>
      </c>
      <c r="E43" s="14">
        <f>'(2017-18b)'!G44+'(2017-18b)'!H44+'(2017-18c)'!E43+'(2017-18d)'!E43</f>
        <v>0</v>
      </c>
      <c r="F43" s="14">
        <f>'(2017-18b)'!I44+'(2017-18b)'!J44+'(2017-18c)'!F43+'(2017-18d)'!F43</f>
        <v>0</v>
      </c>
      <c r="H43" s="8"/>
      <c r="I43" s="8"/>
      <c r="J43" s="8"/>
      <c r="K43" s="8"/>
    </row>
    <row r="44" spans="1:11" s="11" customFormat="1" ht="25.5" customHeight="1" x14ac:dyDescent="0.3">
      <c r="B44" s="6" t="s">
        <v>47</v>
      </c>
      <c r="C44" s="18">
        <f>SUM(C45:C51)</f>
        <v>928</v>
      </c>
      <c r="D44" s="18">
        <f>SUM(D45:D51)</f>
        <v>122</v>
      </c>
      <c r="E44" s="18">
        <f>SUM(E45:E51)</f>
        <v>13</v>
      </c>
      <c r="F44" s="18">
        <f>SUM(F45:F51)</f>
        <v>0</v>
      </c>
      <c r="H44" s="8"/>
      <c r="I44" s="8"/>
      <c r="J44" s="8"/>
      <c r="K44" s="8"/>
    </row>
    <row r="45" spans="1:11" ht="12.75" customHeight="1" x14ac:dyDescent="0.3">
      <c r="A45" s="12">
        <v>66</v>
      </c>
      <c r="B45" s="19" t="s">
        <v>48</v>
      </c>
      <c r="C45" s="14">
        <f>'(2017-18b)'!C46+'(2017-18b)'!D46+'(2017-18c)'!C45+'(2017-18d)'!C45</f>
        <v>105</v>
      </c>
      <c r="D45" s="14">
        <f>'(2017-18b)'!E46+'(2017-18b)'!F46+'(2017-18c)'!D45+'(2017-18d)'!D45</f>
        <v>8</v>
      </c>
      <c r="E45" s="14">
        <f>'(2017-18b)'!G46+'(2017-18b)'!H46+'(2017-18c)'!E45+'(2017-18d)'!E45</f>
        <v>0</v>
      </c>
      <c r="F45" s="14">
        <f>'(2017-18b)'!I46+'(2017-18b)'!J46+'(2017-18c)'!F45+'(2017-18d)'!F45</f>
        <v>0</v>
      </c>
      <c r="H45" s="8"/>
      <c r="I45" s="8"/>
      <c r="J45" s="8"/>
      <c r="K45" s="8"/>
    </row>
    <row r="46" spans="1:11" ht="12.75" customHeight="1" x14ac:dyDescent="0.3">
      <c r="A46" s="12">
        <v>78</v>
      </c>
      <c r="B46" s="13" t="s">
        <v>49</v>
      </c>
      <c r="C46" s="14">
        <f>'(2017-18b)'!C47+'(2017-18b)'!D47+'(2017-18c)'!C46+'(2017-18d)'!C46</f>
        <v>42</v>
      </c>
      <c r="D46" s="14">
        <f>'(2017-18b)'!E47+'(2017-18b)'!F47+'(2017-18c)'!D46+'(2017-18d)'!D46</f>
        <v>8</v>
      </c>
      <c r="E46" s="14">
        <f>'(2017-18b)'!G47+'(2017-18b)'!H47+'(2017-18c)'!E46+'(2017-18d)'!E46</f>
        <v>8</v>
      </c>
      <c r="F46" s="14">
        <f>'(2017-18b)'!I47+'(2017-18b)'!J47+'(2017-18c)'!F46+'(2017-18d)'!F46</f>
        <v>0</v>
      </c>
      <c r="H46" s="8"/>
      <c r="I46" s="8"/>
      <c r="J46" s="8"/>
      <c r="K46" s="8"/>
    </row>
    <row r="47" spans="1:11" ht="12.75" customHeight="1" x14ac:dyDescent="0.3">
      <c r="A47" s="12">
        <v>89</v>
      </c>
      <c r="B47" s="13" t="s">
        <v>50</v>
      </c>
      <c r="C47" s="14">
        <f>'(2017-18b)'!C48+'(2017-18b)'!D48+'(2017-18c)'!C47+'(2017-18d)'!C47</f>
        <v>106</v>
      </c>
      <c r="D47" s="14">
        <f>'(2017-18b)'!E48+'(2017-18b)'!F48+'(2017-18c)'!D47+'(2017-18d)'!D47</f>
        <v>6</v>
      </c>
      <c r="E47" s="14">
        <f>'(2017-18b)'!G48+'(2017-18b)'!H48+'(2017-18c)'!E47+'(2017-18d)'!E47</f>
        <v>0</v>
      </c>
      <c r="F47" s="14">
        <f>'(2017-18b)'!I48+'(2017-18b)'!J48+'(2017-18c)'!F47+'(2017-18d)'!F47</f>
        <v>0</v>
      </c>
      <c r="H47" s="8"/>
      <c r="I47" s="8"/>
      <c r="J47" s="8"/>
      <c r="K47" s="8"/>
    </row>
    <row r="48" spans="1:11" ht="12.75" customHeight="1" x14ac:dyDescent="0.3">
      <c r="A48" s="12">
        <v>93</v>
      </c>
      <c r="B48" s="13" t="s">
        <v>51</v>
      </c>
      <c r="C48" s="14">
        <f>'(2017-18b)'!C49+'(2017-18b)'!D49+'(2017-18c)'!C48+'(2017-18d)'!C48</f>
        <v>26</v>
      </c>
      <c r="D48" s="14">
        <f>'(2017-18b)'!E49+'(2017-18b)'!F49+'(2017-18c)'!D48+'(2017-18d)'!D48</f>
        <v>6</v>
      </c>
      <c r="E48" s="14">
        <f>'(2017-18b)'!G49+'(2017-18b)'!H49+'(2017-18c)'!E48+'(2017-18d)'!E48</f>
        <v>2</v>
      </c>
      <c r="F48" s="14">
        <f>'(2017-18b)'!I49+'(2017-18b)'!J49+'(2017-18c)'!F48+'(2017-18d)'!F48</f>
        <v>0</v>
      </c>
      <c r="H48" s="8"/>
      <c r="I48" s="8"/>
      <c r="J48" s="8"/>
      <c r="K48" s="8"/>
    </row>
    <row r="49" spans="1:11" ht="12.75" customHeight="1" x14ac:dyDescent="0.3">
      <c r="A49" s="12">
        <v>95</v>
      </c>
      <c r="B49" s="13" t="s">
        <v>52</v>
      </c>
      <c r="C49" s="14">
        <f>'(2017-18b)'!C50+'(2017-18b)'!D50+'(2017-18c)'!C49+'(2017-18d)'!C49</f>
        <v>92</v>
      </c>
      <c r="D49" s="14">
        <f>'(2017-18b)'!E50+'(2017-18b)'!F50+'(2017-18c)'!D49+'(2017-18d)'!D49</f>
        <v>6</v>
      </c>
      <c r="E49" s="14">
        <f>'(2017-18b)'!G50+'(2017-18b)'!H50+'(2017-18c)'!E49+'(2017-18d)'!E49</f>
        <v>1</v>
      </c>
      <c r="F49" s="14">
        <f>'(2017-18b)'!I50+'(2017-18b)'!J50+'(2017-18c)'!F49+'(2017-18d)'!F49</f>
        <v>0</v>
      </c>
      <c r="H49" s="8"/>
      <c r="I49" s="8"/>
      <c r="J49" s="8"/>
      <c r="K49" s="8"/>
    </row>
    <row r="50" spans="1:11" ht="12.75" customHeight="1" x14ac:dyDescent="0.3">
      <c r="A50" s="12">
        <v>97</v>
      </c>
      <c r="B50" s="13" t="s">
        <v>53</v>
      </c>
      <c r="C50" s="14">
        <f>'(2017-18b)'!C51+'(2017-18b)'!D51+'(2017-18c)'!C50+'(2017-18d)'!C50</f>
        <v>116</v>
      </c>
      <c r="D50" s="14">
        <f>'(2017-18b)'!E51+'(2017-18b)'!F51+'(2017-18c)'!D50+'(2017-18d)'!D50</f>
        <v>6</v>
      </c>
      <c r="E50" s="14">
        <f>'(2017-18b)'!G51+'(2017-18b)'!H51+'(2017-18c)'!E50+'(2017-18d)'!E50</f>
        <v>2</v>
      </c>
      <c r="F50" s="14">
        <f>'(2017-18b)'!I51+'(2017-18b)'!J51+'(2017-18c)'!F50+'(2017-18d)'!F50</f>
        <v>0</v>
      </c>
      <c r="H50" s="8"/>
      <c r="I50" s="8"/>
      <c r="J50" s="8"/>
      <c r="K50" s="8"/>
    </row>
    <row r="51" spans="1:11" ht="12.75" customHeight="1" x14ac:dyDescent="0.3">
      <c r="A51" s="12">
        <v>77</v>
      </c>
      <c r="B51" s="20" t="s">
        <v>54</v>
      </c>
      <c r="C51" s="14">
        <f>'(2017-18b)'!C52+'(2017-18b)'!D52+'(2017-18c)'!C51+'(2017-18d)'!C51</f>
        <v>441</v>
      </c>
      <c r="D51" s="14">
        <f>'(2017-18b)'!E52+'(2017-18b)'!F52+'(2017-18c)'!D51+'(2017-18d)'!D51</f>
        <v>82</v>
      </c>
      <c r="E51" s="14">
        <f>'(2017-18b)'!G52+'(2017-18b)'!H52+'(2017-18c)'!E51+'(2017-18d)'!E51</f>
        <v>0</v>
      </c>
      <c r="F51" s="14">
        <f>'(2017-18b)'!I52+'(2017-18b)'!J52+'(2017-18c)'!F51+'(2017-18d)'!F51</f>
        <v>0</v>
      </c>
      <c r="H51" s="8"/>
      <c r="I51" s="8"/>
      <c r="J51" s="8"/>
      <c r="K51" s="8"/>
    </row>
    <row r="53" spans="1:11" ht="12.75" customHeight="1" x14ac:dyDescent="0.3">
      <c r="B53" s="12" t="s">
        <v>55</v>
      </c>
      <c r="C53" s="22"/>
    </row>
    <row r="54" spans="1:11" ht="12.75" customHeight="1" x14ac:dyDescent="0.3">
      <c r="B54" s="291" t="s">
        <v>56</v>
      </c>
      <c r="C54" s="292"/>
      <c r="D54" s="292"/>
      <c r="E54" s="292"/>
      <c r="F54" s="292"/>
    </row>
    <row r="55" spans="1:11" ht="12.75" customHeight="1" x14ac:dyDescent="0.3">
      <c r="B55" s="292"/>
      <c r="C55" s="292"/>
      <c r="D55" s="292"/>
      <c r="E55" s="292"/>
      <c r="F55" s="292"/>
    </row>
    <row r="56" spans="1:11" ht="12.75" customHeight="1" x14ac:dyDescent="0.3">
      <c r="B56" s="292"/>
      <c r="C56" s="292"/>
      <c r="D56" s="292"/>
      <c r="E56" s="292"/>
      <c r="F56" s="292"/>
    </row>
    <row r="57" spans="1:11" ht="12.75" customHeight="1" x14ac:dyDescent="0.3">
      <c r="B57" s="292"/>
      <c r="C57" s="292"/>
      <c r="D57" s="292"/>
      <c r="E57" s="292"/>
      <c r="F57" s="292"/>
    </row>
    <row r="58" spans="1:11" ht="12.75" customHeight="1" x14ac:dyDescent="0.3">
      <c r="B58" s="292"/>
      <c r="C58" s="292"/>
      <c r="D58" s="292"/>
      <c r="E58" s="292"/>
      <c r="F58" s="292"/>
    </row>
    <row r="59" spans="1:11" ht="12.75" customHeight="1" x14ac:dyDescent="0.3">
      <c r="B59" s="292"/>
      <c r="C59" s="292"/>
      <c r="D59" s="292"/>
      <c r="E59" s="292"/>
      <c r="F59" s="292"/>
    </row>
    <row r="60" spans="1:11" ht="39" customHeight="1" x14ac:dyDescent="0.3">
      <c r="B60" s="292"/>
      <c r="C60" s="292"/>
      <c r="D60" s="292"/>
      <c r="E60" s="292"/>
      <c r="F60" s="292"/>
    </row>
    <row r="61" spans="1:11" ht="12.75" customHeight="1" x14ac:dyDescent="0.3">
      <c r="B61" s="23"/>
      <c r="C61" s="23"/>
      <c r="D61" s="23"/>
      <c r="E61" s="23"/>
      <c r="F61" s="23"/>
    </row>
    <row r="62" spans="1:11" ht="12.75" customHeight="1" x14ac:dyDescent="0.3">
      <c r="B62" s="24" t="s">
        <v>57</v>
      </c>
      <c r="C62" s="25"/>
      <c r="D62" s="25"/>
      <c r="E62" s="25"/>
    </row>
    <row r="63" spans="1:11" x14ac:dyDescent="0.3">
      <c r="B63" s="26"/>
      <c r="C63" s="25"/>
      <c r="D63" s="25"/>
      <c r="E63" s="25"/>
    </row>
    <row r="64" spans="1:11" x14ac:dyDescent="0.3">
      <c r="C64" s="25"/>
      <c r="D64" s="25"/>
      <c r="E64" s="25"/>
    </row>
    <row r="65" spans="2:5" x14ac:dyDescent="0.3">
      <c r="B65" s="27"/>
      <c r="C65" s="25"/>
      <c r="D65" s="25"/>
      <c r="E65" s="25"/>
    </row>
    <row r="66" spans="2:5" x14ac:dyDescent="0.3">
      <c r="C66" s="25"/>
      <c r="D66" s="25"/>
      <c r="E66" s="25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FF0000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28" hidden="1" customWidth="1"/>
    <col min="2" max="2" width="24.7265625" style="189" customWidth="1"/>
    <col min="3" max="3" width="11" style="189" customWidth="1"/>
    <col min="4" max="4" width="11.7265625" style="189" customWidth="1"/>
    <col min="5" max="10" width="11" style="189" customWidth="1"/>
    <col min="11" max="256" width="8.7265625" style="189"/>
    <col min="257" max="257" width="0" style="189" hidden="1" customWidth="1"/>
    <col min="258" max="258" width="24.7265625" style="189" customWidth="1"/>
    <col min="259" max="259" width="11" style="189" customWidth="1"/>
    <col min="260" max="260" width="11.7265625" style="189" customWidth="1"/>
    <col min="261" max="266" width="11" style="189" customWidth="1"/>
    <col min="267" max="512" width="8.7265625" style="189"/>
    <col min="513" max="513" width="0" style="189" hidden="1" customWidth="1"/>
    <col min="514" max="514" width="24.7265625" style="189" customWidth="1"/>
    <col min="515" max="515" width="11" style="189" customWidth="1"/>
    <col min="516" max="516" width="11.7265625" style="189" customWidth="1"/>
    <col min="517" max="522" width="11" style="189" customWidth="1"/>
    <col min="523" max="768" width="8.7265625" style="189"/>
    <col min="769" max="769" width="0" style="189" hidden="1" customWidth="1"/>
    <col min="770" max="770" width="24.7265625" style="189" customWidth="1"/>
    <col min="771" max="771" width="11" style="189" customWidth="1"/>
    <col min="772" max="772" width="11.7265625" style="189" customWidth="1"/>
    <col min="773" max="778" width="11" style="189" customWidth="1"/>
    <col min="779" max="1024" width="8.7265625" style="189"/>
    <col min="1025" max="1025" width="0" style="189" hidden="1" customWidth="1"/>
    <col min="1026" max="1026" width="24.7265625" style="189" customWidth="1"/>
    <col min="1027" max="1027" width="11" style="189" customWidth="1"/>
    <col min="1028" max="1028" width="11.7265625" style="189" customWidth="1"/>
    <col min="1029" max="1034" width="11" style="189" customWidth="1"/>
    <col min="1035" max="1280" width="8.7265625" style="189"/>
    <col min="1281" max="1281" width="0" style="189" hidden="1" customWidth="1"/>
    <col min="1282" max="1282" width="24.7265625" style="189" customWidth="1"/>
    <col min="1283" max="1283" width="11" style="189" customWidth="1"/>
    <col min="1284" max="1284" width="11.7265625" style="189" customWidth="1"/>
    <col min="1285" max="1290" width="11" style="189" customWidth="1"/>
    <col min="1291" max="1536" width="8.7265625" style="189"/>
    <col min="1537" max="1537" width="0" style="189" hidden="1" customWidth="1"/>
    <col min="1538" max="1538" width="24.7265625" style="189" customWidth="1"/>
    <col min="1539" max="1539" width="11" style="189" customWidth="1"/>
    <col min="1540" max="1540" width="11.7265625" style="189" customWidth="1"/>
    <col min="1541" max="1546" width="11" style="189" customWidth="1"/>
    <col min="1547" max="1792" width="8.7265625" style="189"/>
    <col min="1793" max="1793" width="0" style="189" hidden="1" customWidth="1"/>
    <col min="1794" max="1794" width="24.7265625" style="189" customWidth="1"/>
    <col min="1795" max="1795" width="11" style="189" customWidth="1"/>
    <col min="1796" max="1796" width="11.7265625" style="189" customWidth="1"/>
    <col min="1797" max="1802" width="11" style="189" customWidth="1"/>
    <col min="1803" max="2048" width="8.7265625" style="189"/>
    <col min="2049" max="2049" width="0" style="189" hidden="1" customWidth="1"/>
    <col min="2050" max="2050" width="24.7265625" style="189" customWidth="1"/>
    <col min="2051" max="2051" width="11" style="189" customWidth="1"/>
    <col min="2052" max="2052" width="11.7265625" style="189" customWidth="1"/>
    <col min="2053" max="2058" width="11" style="189" customWidth="1"/>
    <col min="2059" max="2304" width="8.7265625" style="189"/>
    <col min="2305" max="2305" width="0" style="189" hidden="1" customWidth="1"/>
    <col min="2306" max="2306" width="24.7265625" style="189" customWidth="1"/>
    <col min="2307" max="2307" width="11" style="189" customWidth="1"/>
    <col min="2308" max="2308" width="11.7265625" style="189" customWidth="1"/>
    <col min="2309" max="2314" width="11" style="189" customWidth="1"/>
    <col min="2315" max="2560" width="8.7265625" style="189"/>
    <col min="2561" max="2561" width="0" style="189" hidden="1" customWidth="1"/>
    <col min="2562" max="2562" width="24.7265625" style="189" customWidth="1"/>
    <col min="2563" max="2563" width="11" style="189" customWidth="1"/>
    <col min="2564" max="2564" width="11.7265625" style="189" customWidth="1"/>
    <col min="2565" max="2570" width="11" style="189" customWidth="1"/>
    <col min="2571" max="2816" width="8.7265625" style="189"/>
    <col min="2817" max="2817" width="0" style="189" hidden="1" customWidth="1"/>
    <col min="2818" max="2818" width="24.7265625" style="189" customWidth="1"/>
    <col min="2819" max="2819" width="11" style="189" customWidth="1"/>
    <col min="2820" max="2820" width="11.7265625" style="189" customWidth="1"/>
    <col min="2821" max="2826" width="11" style="189" customWidth="1"/>
    <col min="2827" max="3072" width="8.7265625" style="189"/>
    <col min="3073" max="3073" width="0" style="189" hidden="1" customWidth="1"/>
    <col min="3074" max="3074" width="24.7265625" style="189" customWidth="1"/>
    <col min="3075" max="3075" width="11" style="189" customWidth="1"/>
    <col min="3076" max="3076" width="11.7265625" style="189" customWidth="1"/>
    <col min="3077" max="3082" width="11" style="189" customWidth="1"/>
    <col min="3083" max="3328" width="8.7265625" style="189"/>
    <col min="3329" max="3329" width="0" style="189" hidden="1" customWidth="1"/>
    <col min="3330" max="3330" width="24.7265625" style="189" customWidth="1"/>
    <col min="3331" max="3331" width="11" style="189" customWidth="1"/>
    <col min="3332" max="3332" width="11.7265625" style="189" customWidth="1"/>
    <col min="3333" max="3338" width="11" style="189" customWidth="1"/>
    <col min="3339" max="3584" width="8.7265625" style="189"/>
    <col min="3585" max="3585" width="0" style="189" hidden="1" customWidth="1"/>
    <col min="3586" max="3586" width="24.7265625" style="189" customWidth="1"/>
    <col min="3587" max="3587" width="11" style="189" customWidth="1"/>
    <col min="3588" max="3588" width="11.7265625" style="189" customWidth="1"/>
    <col min="3589" max="3594" width="11" style="189" customWidth="1"/>
    <col min="3595" max="3840" width="8.7265625" style="189"/>
    <col min="3841" max="3841" width="0" style="189" hidden="1" customWidth="1"/>
    <col min="3842" max="3842" width="24.7265625" style="189" customWidth="1"/>
    <col min="3843" max="3843" width="11" style="189" customWidth="1"/>
    <col min="3844" max="3844" width="11.7265625" style="189" customWidth="1"/>
    <col min="3845" max="3850" width="11" style="189" customWidth="1"/>
    <col min="3851" max="4096" width="8.7265625" style="189"/>
    <col min="4097" max="4097" width="0" style="189" hidden="1" customWidth="1"/>
    <col min="4098" max="4098" width="24.7265625" style="189" customWidth="1"/>
    <col min="4099" max="4099" width="11" style="189" customWidth="1"/>
    <col min="4100" max="4100" width="11.7265625" style="189" customWidth="1"/>
    <col min="4101" max="4106" width="11" style="189" customWidth="1"/>
    <col min="4107" max="4352" width="8.7265625" style="189"/>
    <col min="4353" max="4353" width="0" style="189" hidden="1" customWidth="1"/>
    <col min="4354" max="4354" width="24.7265625" style="189" customWidth="1"/>
    <col min="4355" max="4355" width="11" style="189" customWidth="1"/>
    <col min="4356" max="4356" width="11.7265625" style="189" customWidth="1"/>
    <col min="4357" max="4362" width="11" style="189" customWidth="1"/>
    <col min="4363" max="4608" width="8.7265625" style="189"/>
    <col min="4609" max="4609" width="0" style="189" hidden="1" customWidth="1"/>
    <col min="4610" max="4610" width="24.7265625" style="189" customWidth="1"/>
    <col min="4611" max="4611" width="11" style="189" customWidth="1"/>
    <col min="4612" max="4612" width="11.7265625" style="189" customWidth="1"/>
    <col min="4613" max="4618" width="11" style="189" customWidth="1"/>
    <col min="4619" max="4864" width="8.7265625" style="189"/>
    <col min="4865" max="4865" width="0" style="189" hidden="1" customWidth="1"/>
    <col min="4866" max="4866" width="24.7265625" style="189" customWidth="1"/>
    <col min="4867" max="4867" width="11" style="189" customWidth="1"/>
    <col min="4868" max="4868" width="11.7265625" style="189" customWidth="1"/>
    <col min="4869" max="4874" width="11" style="189" customWidth="1"/>
    <col min="4875" max="5120" width="8.7265625" style="189"/>
    <col min="5121" max="5121" width="0" style="189" hidden="1" customWidth="1"/>
    <col min="5122" max="5122" width="24.7265625" style="189" customWidth="1"/>
    <col min="5123" max="5123" width="11" style="189" customWidth="1"/>
    <col min="5124" max="5124" width="11.7265625" style="189" customWidth="1"/>
    <col min="5125" max="5130" width="11" style="189" customWidth="1"/>
    <col min="5131" max="5376" width="8.7265625" style="189"/>
    <col min="5377" max="5377" width="0" style="189" hidden="1" customWidth="1"/>
    <col min="5378" max="5378" width="24.7265625" style="189" customWidth="1"/>
    <col min="5379" max="5379" width="11" style="189" customWidth="1"/>
    <col min="5380" max="5380" width="11.7265625" style="189" customWidth="1"/>
    <col min="5381" max="5386" width="11" style="189" customWidth="1"/>
    <col min="5387" max="5632" width="8.7265625" style="189"/>
    <col min="5633" max="5633" width="0" style="189" hidden="1" customWidth="1"/>
    <col min="5634" max="5634" width="24.7265625" style="189" customWidth="1"/>
    <col min="5635" max="5635" width="11" style="189" customWidth="1"/>
    <col min="5636" max="5636" width="11.7265625" style="189" customWidth="1"/>
    <col min="5637" max="5642" width="11" style="189" customWidth="1"/>
    <col min="5643" max="5888" width="8.7265625" style="189"/>
    <col min="5889" max="5889" width="0" style="189" hidden="1" customWidth="1"/>
    <col min="5890" max="5890" width="24.7265625" style="189" customWidth="1"/>
    <col min="5891" max="5891" width="11" style="189" customWidth="1"/>
    <col min="5892" max="5892" width="11.7265625" style="189" customWidth="1"/>
    <col min="5893" max="5898" width="11" style="189" customWidth="1"/>
    <col min="5899" max="6144" width="8.7265625" style="189"/>
    <col min="6145" max="6145" width="0" style="189" hidden="1" customWidth="1"/>
    <col min="6146" max="6146" width="24.7265625" style="189" customWidth="1"/>
    <col min="6147" max="6147" width="11" style="189" customWidth="1"/>
    <col min="6148" max="6148" width="11.7265625" style="189" customWidth="1"/>
    <col min="6149" max="6154" width="11" style="189" customWidth="1"/>
    <col min="6155" max="6400" width="8.7265625" style="189"/>
    <col min="6401" max="6401" width="0" style="189" hidden="1" customWidth="1"/>
    <col min="6402" max="6402" width="24.7265625" style="189" customWidth="1"/>
    <col min="6403" max="6403" width="11" style="189" customWidth="1"/>
    <col min="6404" max="6404" width="11.7265625" style="189" customWidth="1"/>
    <col min="6405" max="6410" width="11" style="189" customWidth="1"/>
    <col min="6411" max="6656" width="8.7265625" style="189"/>
    <col min="6657" max="6657" width="0" style="189" hidden="1" customWidth="1"/>
    <col min="6658" max="6658" width="24.7265625" style="189" customWidth="1"/>
    <col min="6659" max="6659" width="11" style="189" customWidth="1"/>
    <col min="6660" max="6660" width="11.7265625" style="189" customWidth="1"/>
    <col min="6661" max="6666" width="11" style="189" customWidth="1"/>
    <col min="6667" max="6912" width="8.7265625" style="189"/>
    <col min="6913" max="6913" width="0" style="189" hidden="1" customWidth="1"/>
    <col min="6914" max="6914" width="24.7265625" style="189" customWidth="1"/>
    <col min="6915" max="6915" width="11" style="189" customWidth="1"/>
    <col min="6916" max="6916" width="11.7265625" style="189" customWidth="1"/>
    <col min="6917" max="6922" width="11" style="189" customWidth="1"/>
    <col min="6923" max="7168" width="8.7265625" style="189"/>
    <col min="7169" max="7169" width="0" style="189" hidden="1" customWidth="1"/>
    <col min="7170" max="7170" width="24.7265625" style="189" customWidth="1"/>
    <col min="7171" max="7171" width="11" style="189" customWidth="1"/>
    <col min="7172" max="7172" width="11.7265625" style="189" customWidth="1"/>
    <col min="7173" max="7178" width="11" style="189" customWidth="1"/>
    <col min="7179" max="7424" width="8.7265625" style="189"/>
    <col min="7425" max="7425" width="0" style="189" hidden="1" customWidth="1"/>
    <col min="7426" max="7426" width="24.7265625" style="189" customWidth="1"/>
    <col min="7427" max="7427" width="11" style="189" customWidth="1"/>
    <col min="7428" max="7428" width="11.7265625" style="189" customWidth="1"/>
    <col min="7429" max="7434" width="11" style="189" customWidth="1"/>
    <col min="7435" max="7680" width="8.7265625" style="189"/>
    <col min="7681" max="7681" width="0" style="189" hidden="1" customWidth="1"/>
    <col min="7682" max="7682" width="24.7265625" style="189" customWidth="1"/>
    <col min="7683" max="7683" width="11" style="189" customWidth="1"/>
    <col min="7684" max="7684" width="11.7265625" style="189" customWidth="1"/>
    <col min="7685" max="7690" width="11" style="189" customWidth="1"/>
    <col min="7691" max="7936" width="8.7265625" style="189"/>
    <col min="7937" max="7937" width="0" style="189" hidden="1" customWidth="1"/>
    <col min="7938" max="7938" width="24.7265625" style="189" customWidth="1"/>
    <col min="7939" max="7939" width="11" style="189" customWidth="1"/>
    <col min="7940" max="7940" width="11.7265625" style="189" customWidth="1"/>
    <col min="7941" max="7946" width="11" style="189" customWidth="1"/>
    <col min="7947" max="8192" width="8.7265625" style="189"/>
    <col min="8193" max="8193" width="0" style="189" hidden="1" customWidth="1"/>
    <col min="8194" max="8194" width="24.7265625" style="189" customWidth="1"/>
    <col min="8195" max="8195" width="11" style="189" customWidth="1"/>
    <col min="8196" max="8196" width="11.7265625" style="189" customWidth="1"/>
    <col min="8197" max="8202" width="11" style="189" customWidth="1"/>
    <col min="8203" max="8448" width="8.7265625" style="189"/>
    <col min="8449" max="8449" width="0" style="189" hidden="1" customWidth="1"/>
    <col min="8450" max="8450" width="24.7265625" style="189" customWidth="1"/>
    <col min="8451" max="8451" width="11" style="189" customWidth="1"/>
    <col min="8452" max="8452" width="11.7265625" style="189" customWidth="1"/>
    <col min="8453" max="8458" width="11" style="189" customWidth="1"/>
    <col min="8459" max="8704" width="8.7265625" style="189"/>
    <col min="8705" max="8705" width="0" style="189" hidden="1" customWidth="1"/>
    <col min="8706" max="8706" width="24.7265625" style="189" customWidth="1"/>
    <col min="8707" max="8707" width="11" style="189" customWidth="1"/>
    <col min="8708" max="8708" width="11.7265625" style="189" customWidth="1"/>
    <col min="8709" max="8714" width="11" style="189" customWidth="1"/>
    <col min="8715" max="8960" width="8.7265625" style="189"/>
    <col min="8961" max="8961" width="0" style="189" hidden="1" customWidth="1"/>
    <col min="8962" max="8962" width="24.7265625" style="189" customWidth="1"/>
    <col min="8963" max="8963" width="11" style="189" customWidth="1"/>
    <col min="8964" max="8964" width="11.7265625" style="189" customWidth="1"/>
    <col min="8965" max="8970" width="11" style="189" customWidth="1"/>
    <col min="8971" max="9216" width="8.7265625" style="189"/>
    <col min="9217" max="9217" width="0" style="189" hidden="1" customWidth="1"/>
    <col min="9218" max="9218" width="24.7265625" style="189" customWidth="1"/>
    <col min="9219" max="9219" width="11" style="189" customWidth="1"/>
    <col min="9220" max="9220" width="11.7265625" style="189" customWidth="1"/>
    <col min="9221" max="9226" width="11" style="189" customWidth="1"/>
    <col min="9227" max="9472" width="8.7265625" style="189"/>
    <col min="9473" max="9473" width="0" style="189" hidden="1" customWidth="1"/>
    <col min="9474" max="9474" width="24.7265625" style="189" customWidth="1"/>
    <col min="9475" max="9475" width="11" style="189" customWidth="1"/>
    <col min="9476" max="9476" width="11.7265625" style="189" customWidth="1"/>
    <col min="9477" max="9482" width="11" style="189" customWidth="1"/>
    <col min="9483" max="9728" width="8.7265625" style="189"/>
    <col min="9729" max="9729" width="0" style="189" hidden="1" customWidth="1"/>
    <col min="9730" max="9730" width="24.7265625" style="189" customWidth="1"/>
    <col min="9731" max="9731" width="11" style="189" customWidth="1"/>
    <col min="9732" max="9732" width="11.7265625" style="189" customWidth="1"/>
    <col min="9733" max="9738" width="11" style="189" customWidth="1"/>
    <col min="9739" max="9984" width="8.7265625" style="189"/>
    <col min="9985" max="9985" width="0" style="189" hidden="1" customWidth="1"/>
    <col min="9986" max="9986" width="24.7265625" style="189" customWidth="1"/>
    <col min="9987" max="9987" width="11" style="189" customWidth="1"/>
    <col min="9988" max="9988" width="11.7265625" style="189" customWidth="1"/>
    <col min="9989" max="9994" width="11" style="189" customWidth="1"/>
    <col min="9995" max="10240" width="8.7265625" style="189"/>
    <col min="10241" max="10241" width="0" style="189" hidden="1" customWidth="1"/>
    <col min="10242" max="10242" width="24.7265625" style="189" customWidth="1"/>
    <col min="10243" max="10243" width="11" style="189" customWidth="1"/>
    <col min="10244" max="10244" width="11.7265625" style="189" customWidth="1"/>
    <col min="10245" max="10250" width="11" style="189" customWidth="1"/>
    <col min="10251" max="10496" width="8.7265625" style="189"/>
    <col min="10497" max="10497" width="0" style="189" hidden="1" customWidth="1"/>
    <col min="10498" max="10498" width="24.7265625" style="189" customWidth="1"/>
    <col min="10499" max="10499" width="11" style="189" customWidth="1"/>
    <col min="10500" max="10500" width="11.7265625" style="189" customWidth="1"/>
    <col min="10501" max="10506" width="11" style="189" customWidth="1"/>
    <col min="10507" max="10752" width="8.7265625" style="189"/>
    <col min="10753" max="10753" width="0" style="189" hidden="1" customWidth="1"/>
    <col min="10754" max="10754" width="24.7265625" style="189" customWidth="1"/>
    <col min="10755" max="10755" width="11" style="189" customWidth="1"/>
    <col min="10756" max="10756" width="11.7265625" style="189" customWidth="1"/>
    <col min="10757" max="10762" width="11" style="189" customWidth="1"/>
    <col min="10763" max="11008" width="8.7265625" style="189"/>
    <col min="11009" max="11009" width="0" style="189" hidden="1" customWidth="1"/>
    <col min="11010" max="11010" width="24.7265625" style="189" customWidth="1"/>
    <col min="11011" max="11011" width="11" style="189" customWidth="1"/>
    <col min="11012" max="11012" width="11.7265625" style="189" customWidth="1"/>
    <col min="11013" max="11018" width="11" style="189" customWidth="1"/>
    <col min="11019" max="11264" width="8.7265625" style="189"/>
    <col min="11265" max="11265" width="0" style="189" hidden="1" customWidth="1"/>
    <col min="11266" max="11266" width="24.7265625" style="189" customWidth="1"/>
    <col min="11267" max="11267" width="11" style="189" customWidth="1"/>
    <col min="11268" max="11268" width="11.7265625" style="189" customWidth="1"/>
    <col min="11269" max="11274" width="11" style="189" customWidth="1"/>
    <col min="11275" max="11520" width="8.7265625" style="189"/>
    <col min="11521" max="11521" width="0" style="189" hidden="1" customWidth="1"/>
    <col min="11522" max="11522" width="24.7265625" style="189" customWidth="1"/>
    <col min="11523" max="11523" width="11" style="189" customWidth="1"/>
    <col min="11524" max="11524" width="11.7265625" style="189" customWidth="1"/>
    <col min="11525" max="11530" width="11" style="189" customWidth="1"/>
    <col min="11531" max="11776" width="8.7265625" style="189"/>
    <col min="11777" max="11777" width="0" style="189" hidden="1" customWidth="1"/>
    <col min="11778" max="11778" width="24.7265625" style="189" customWidth="1"/>
    <col min="11779" max="11779" width="11" style="189" customWidth="1"/>
    <col min="11780" max="11780" width="11.7265625" style="189" customWidth="1"/>
    <col min="11781" max="11786" width="11" style="189" customWidth="1"/>
    <col min="11787" max="12032" width="8.7265625" style="189"/>
    <col min="12033" max="12033" width="0" style="189" hidden="1" customWidth="1"/>
    <col min="12034" max="12034" width="24.7265625" style="189" customWidth="1"/>
    <col min="12035" max="12035" width="11" style="189" customWidth="1"/>
    <col min="12036" max="12036" width="11.7265625" style="189" customWidth="1"/>
    <col min="12037" max="12042" width="11" style="189" customWidth="1"/>
    <col min="12043" max="12288" width="8.7265625" style="189"/>
    <col min="12289" max="12289" width="0" style="189" hidden="1" customWidth="1"/>
    <col min="12290" max="12290" width="24.7265625" style="189" customWidth="1"/>
    <col min="12291" max="12291" width="11" style="189" customWidth="1"/>
    <col min="12292" max="12292" width="11.7265625" style="189" customWidth="1"/>
    <col min="12293" max="12298" width="11" style="189" customWidth="1"/>
    <col min="12299" max="12544" width="8.7265625" style="189"/>
    <col min="12545" max="12545" width="0" style="189" hidden="1" customWidth="1"/>
    <col min="12546" max="12546" width="24.7265625" style="189" customWidth="1"/>
    <col min="12547" max="12547" width="11" style="189" customWidth="1"/>
    <col min="12548" max="12548" width="11.7265625" style="189" customWidth="1"/>
    <col min="12549" max="12554" width="11" style="189" customWidth="1"/>
    <col min="12555" max="12800" width="8.7265625" style="189"/>
    <col min="12801" max="12801" width="0" style="189" hidden="1" customWidth="1"/>
    <col min="12802" max="12802" width="24.7265625" style="189" customWidth="1"/>
    <col min="12803" max="12803" width="11" style="189" customWidth="1"/>
    <col min="12804" max="12804" width="11.7265625" style="189" customWidth="1"/>
    <col min="12805" max="12810" width="11" style="189" customWidth="1"/>
    <col min="12811" max="13056" width="8.7265625" style="189"/>
    <col min="13057" max="13057" width="0" style="189" hidden="1" customWidth="1"/>
    <col min="13058" max="13058" width="24.7265625" style="189" customWidth="1"/>
    <col min="13059" max="13059" width="11" style="189" customWidth="1"/>
    <col min="13060" max="13060" width="11.7265625" style="189" customWidth="1"/>
    <col min="13061" max="13066" width="11" style="189" customWidth="1"/>
    <col min="13067" max="13312" width="8.7265625" style="189"/>
    <col min="13313" max="13313" width="0" style="189" hidden="1" customWidth="1"/>
    <col min="13314" max="13314" width="24.7265625" style="189" customWidth="1"/>
    <col min="13315" max="13315" width="11" style="189" customWidth="1"/>
    <col min="13316" max="13316" width="11.7265625" style="189" customWidth="1"/>
    <col min="13317" max="13322" width="11" style="189" customWidth="1"/>
    <col min="13323" max="13568" width="8.7265625" style="189"/>
    <col min="13569" max="13569" width="0" style="189" hidden="1" customWidth="1"/>
    <col min="13570" max="13570" width="24.7265625" style="189" customWidth="1"/>
    <col min="13571" max="13571" width="11" style="189" customWidth="1"/>
    <col min="13572" max="13572" width="11.7265625" style="189" customWidth="1"/>
    <col min="13573" max="13578" width="11" style="189" customWidth="1"/>
    <col min="13579" max="13824" width="8.7265625" style="189"/>
    <col min="13825" max="13825" width="0" style="189" hidden="1" customWidth="1"/>
    <col min="13826" max="13826" width="24.7265625" style="189" customWidth="1"/>
    <col min="13827" max="13827" width="11" style="189" customWidth="1"/>
    <col min="13828" max="13828" width="11.7265625" style="189" customWidth="1"/>
    <col min="13829" max="13834" width="11" style="189" customWidth="1"/>
    <col min="13835" max="14080" width="8.7265625" style="189"/>
    <col min="14081" max="14081" width="0" style="189" hidden="1" customWidth="1"/>
    <col min="14082" max="14082" width="24.7265625" style="189" customWidth="1"/>
    <col min="14083" max="14083" width="11" style="189" customWidth="1"/>
    <col min="14084" max="14084" width="11.7265625" style="189" customWidth="1"/>
    <col min="14085" max="14090" width="11" style="189" customWidth="1"/>
    <col min="14091" max="14336" width="8.7265625" style="189"/>
    <col min="14337" max="14337" width="0" style="189" hidden="1" customWidth="1"/>
    <col min="14338" max="14338" width="24.7265625" style="189" customWidth="1"/>
    <col min="14339" max="14339" width="11" style="189" customWidth="1"/>
    <col min="14340" max="14340" width="11.7265625" style="189" customWidth="1"/>
    <col min="14341" max="14346" width="11" style="189" customWidth="1"/>
    <col min="14347" max="14592" width="8.7265625" style="189"/>
    <col min="14593" max="14593" width="0" style="189" hidden="1" customWidth="1"/>
    <col min="14594" max="14594" width="24.7265625" style="189" customWidth="1"/>
    <col min="14595" max="14595" width="11" style="189" customWidth="1"/>
    <col min="14596" max="14596" width="11.7265625" style="189" customWidth="1"/>
    <col min="14597" max="14602" width="11" style="189" customWidth="1"/>
    <col min="14603" max="14848" width="8.7265625" style="189"/>
    <col min="14849" max="14849" width="0" style="189" hidden="1" customWidth="1"/>
    <col min="14850" max="14850" width="24.7265625" style="189" customWidth="1"/>
    <col min="14851" max="14851" width="11" style="189" customWidth="1"/>
    <col min="14852" max="14852" width="11.7265625" style="189" customWidth="1"/>
    <col min="14853" max="14858" width="11" style="189" customWidth="1"/>
    <col min="14859" max="15104" width="8.7265625" style="189"/>
    <col min="15105" max="15105" width="0" style="189" hidden="1" customWidth="1"/>
    <col min="15106" max="15106" width="24.7265625" style="189" customWidth="1"/>
    <col min="15107" max="15107" width="11" style="189" customWidth="1"/>
    <col min="15108" max="15108" width="11.7265625" style="189" customWidth="1"/>
    <col min="15109" max="15114" width="11" style="189" customWidth="1"/>
    <col min="15115" max="15360" width="8.7265625" style="189"/>
    <col min="15361" max="15361" width="0" style="189" hidden="1" customWidth="1"/>
    <col min="15362" max="15362" width="24.7265625" style="189" customWidth="1"/>
    <col min="15363" max="15363" width="11" style="189" customWidth="1"/>
    <col min="15364" max="15364" width="11.7265625" style="189" customWidth="1"/>
    <col min="15365" max="15370" width="11" style="189" customWidth="1"/>
    <col min="15371" max="15616" width="8.7265625" style="189"/>
    <col min="15617" max="15617" width="0" style="189" hidden="1" customWidth="1"/>
    <col min="15618" max="15618" width="24.7265625" style="189" customWidth="1"/>
    <col min="15619" max="15619" width="11" style="189" customWidth="1"/>
    <col min="15620" max="15620" width="11.7265625" style="189" customWidth="1"/>
    <col min="15621" max="15626" width="11" style="189" customWidth="1"/>
    <col min="15627" max="15872" width="8.7265625" style="189"/>
    <col min="15873" max="15873" width="0" style="189" hidden="1" customWidth="1"/>
    <col min="15874" max="15874" width="24.7265625" style="189" customWidth="1"/>
    <col min="15875" max="15875" width="11" style="189" customWidth="1"/>
    <col min="15876" max="15876" width="11.7265625" style="189" customWidth="1"/>
    <col min="15877" max="15882" width="11" style="189" customWidth="1"/>
    <col min="15883" max="16128" width="8.7265625" style="189"/>
    <col min="16129" max="16129" width="0" style="189" hidden="1" customWidth="1"/>
    <col min="16130" max="16130" width="24.7265625" style="189" customWidth="1"/>
    <col min="16131" max="16131" width="11" style="189" customWidth="1"/>
    <col min="16132" max="16132" width="11.7265625" style="189" customWidth="1"/>
    <col min="16133" max="16138" width="11" style="189" customWidth="1"/>
    <col min="16139" max="16384" width="8.7265625" style="189"/>
  </cols>
  <sheetData>
    <row r="1" spans="1:12" ht="48" customHeight="1" x14ac:dyDescent="0.3">
      <c r="B1" s="298" t="s">
        <v>58</v>
      </c>
      <c r="C1" s="298"/>
      <c r="D1" s="298"/>
      <c r="E1" s="298"/>
      <c r="F1" s="298"/>
      <c r="G1" s="298"/>
      <c r="H1" s="298"/>
      <c r="I1" s="298"/>
      <c r="J1" s="298"/>
    </row>
    <row r="2" spans="1:12" ht="12.75" customHeight="1" x14ac:dyDescent="0.3">
      <c r="B2" s="299"/>
      <c r="C2" s="304" t="s">
        <v>1</v>
      </c>
      <c r="D2" s="304"/>
      <c r="E2" s="306" t="s">
        <v>2</v>
      </c>
      <c r="F2" s="306"/>
      <c r="G2" s="306"/>
      <c r="H2" s="306"/>
      <c r="I2" s="307" t="s">
        <v>5</v>
      </c>
      <c r="J2" s="307"/>
    </row>
    <row r="3" spans="1:12" ht="30" customHeight="1" x14ac:dyDescent="0.3">
      <c r="A3" s="29"/>
      <c r="B3" s="299"/>
      <c r="C3" s="305"/>
      <c r="D3" s="305"/>
      <c r="E3" s="30" t="s">
        <v>3</v>
      </c>
      <c r="F3" s="30"/>
      <c r="G3" s="30" t="s">
        <v>4</v>
      </c>
      <c r="H3" s="30"/>
      <c r="I3" s="305"/>
      <c r="J3" s="305"/>
    </row>
    <row r="4" spans="1:12" ht="45.75" customHeight="1" x14ac:dyDescent="0.3">
      <c r="B4" s="303"/>
      <c r="C4" s="31" t="s">
        <v>59</v>
      </c>
      <c r="D4" s="32" t="s">
        <v>60</v>
      </c>
      <c r="E4" s="31" t="s">
        <v>59</v>
      </c>
      <c r="F4" s="32" t="s">
        <v>60</v>
      </c>
      <c r="G4" s="31" t="s">
        <v>59</v>
      </c>
      <c r="H4" s="32" t="s">
        <v>60</v>
      </c>
      <c r="I4" s="31" t="s">
        <v>59</v>
      </c>
      <c r="J4" s="32" t="s">
        <v>60</v>
      </c>
    </row>
    <row r="5" spans="1:12" ht="30" customHeight="1" x14ac:dyDescent="0.3">
      <c r="B5" s="11" t="s">
        <v>6</v>
      </c>
      <c r="C5" s="18">
        <f t="shared" ref="C5:J5" si="0">C6+C45</f>
        <v>741</v>
      </c>
      <c r="D5" s="18">
        <f t="shared" si="0"/>
        <v>311</v>
      </c>
      <c r="E5" s="18">
        <f t="shared" si="0"/>
        <v>130.30000000000001</v>
      </c>
      <c r="F5" s="18">
        <f t="shared" si="0"/>
        <v>33.700000000000003</v>
      </c>
      <c r="G5" s="18">
        <f t="shared" si="0"/>
        <v>22</v>
      </c>
      <c r="H5" s="18">
        <f t="shared" si="0"/>
        <v>6</v>
      </c>
      <c r="I5" s="18">
        <f t="shared" si="0"/>
        <v>0</v>
      </c>
      <c r="J5" s="18">
        <f t="shared" si="0"/>
        <v>0</v>
      </c>
      <c r="L5" s="8"/>
    </row>
    <row r="6" spans="1:12" s="11" customFormat="1" ht="25.5" customHeight="1" x14ac:dyDescent="0.3">
      <c r="A6" s="33"/>
      <c r="B6" s="11" t="s">
        <v>7</v>
      </c>
      <c r="C6" s="34">
        <f t="shared" ref="C6:J6" si="1">SUM(C7:C44)</f>
        <v>398</v>
      </c>
      <c r="D6" s="34">
        <f t="shared" si="1"/>
        <v>223</v>
      </c>
      <c r="E6" s="34">
        <f t="shared" si="1"/>
        <v>60</v>
      </c>
      <c r="F6" s="34">
        <f t="shared" si="1"/>
        <v>30</v>
      </c>
      <c r="G6" s="34">
        <f t="shared" si="1"/>
        <v>15</v>
      </c>
      <c r="H6" s="34">
        <f t="shared" si="1"/>
        <v>5</v>
      </c>
      <c r="I6" s="34">
        <f t="shared" si="1"/>
        <v>0</v>
      </c>
      <c r="J6" s="34">
        <f t="shared" si="1"/>
        <v>0</v>
      </c>
    </row>
    <row r="7" spans="1:12" ht="12.75" customHeight="1" x14ac:dyDescent="0.3">
      <c r="A7" s="35">
        <v>51</v>
      </c>
      <c r="B7" s="189" t="s">
        <v>8</v>
      </c>
      <c r="C7" s="36">
        <v>8</v>
      </c>
      <c r="D7" s="36">
        <v>6</v>
      </c>
      <c r="E7" s="36">
        <v>0</v>
      </c>
      <c r="F7" s="36">
        <v>1</v>
      </c>
      <c r="G7" s="36">
        <v>0</v>
      </c>
      <c r="H7" s="36">
        <v>0</v>
      </c>
      <c r="I7" s="36">
        <v>0</v>
      </c>
      <c r="J7" s="36">
        <v>0</v>
      </c>
      <c r="L7" s="25"/>
    </row>
    <row r="8" spans="1:12" ht="12.75" customHeight="1" x14ac:dyDescent="0.3">
      <c r="A8" s="35">
        <v>52</v>
      </c>
      <c r="B8" s="189" t="s">
        <v>9</v>
      </c>
      <c r="C8" s="36">
        <v>11</v>
      </c>
      <c r="D8" s="36">
        <v>9</v>
      </c>
      <c r="E8" s="36">
        <v>1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</row>
    <row r="9" spans="1:12" ht="12.75" customHeight="1" x14ac:dyDescent="0.3">
      <c r="A9" s="35">
        <v>86</v>
      </c>
      <c r="B9" s="189" t="s">
        <v>10</v>
      </c>
      <c r="C9" s="36">
        <v>7</v>
      </c>
      <c r="D9" s="36">
        <v>9</v>
      </c>
      <c r="E9" s="36">
        <v>0</v>
      </c>
      <c r="F9" s="36">
        <v>2</v>
      </c>
      <c r="G9" s="36">
        <v>0</v>
      </c>
      <c r="H9" s="36">
        <v>0</v>
      </c>
      <c r="I9" s="36">
        <v>0</v>
      </c>
      <c r="J9" s="36">
        <v>0</v>
      </c>
    </row>
    <row r="10" spans="1:12" ht="12.75" customHeight="1" x14ac:dyDescent="0.3">
      <c r="A10" s="35">
        <v>53</v>
      </c>
      <c r="B10" s="189" t="s">
        <v>11</v>
      </c>
      <c r="C10" s="36">
        <v>3</v>
      </c>
      <c r="D10" s="36">
        <v>5</v>
      </c>
      <c r="E10" s="36">
        <v>0</v>
      </c>
      <c r="F10" s="36">
        <v>2</v>
      </c>
      <c r="G10" s="36">
        <v>0</v>
      </c>
      <c r="H10" s="36">
        <v>1</v>
      </c>
      <c r="I10" s="36">
        <v>0</v>
      </c>
      <c r="J10" s="36">
        <v>0</v>
      </c>
    </row>
    <row r="11" spans="1:12" ht="12.75" customHeight="1" x14ac:dyDescent="0.3">
      <c r="A11" s="35">
        <v>54</v>
      </c>
      <c r="B11" s="189" t="s">
        <v>12</v>
      </c>
      <c r="C11" s="36">
        <v>20</v>
      </c>
      <c r="D11" s="36">
        <v>11</v>
      </c>
      <c r="E11" s="36">
        <v>2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</row>
    <row r="12" spans="1:12" ht="12.75" customHeight="1" x14ac:dyDescent="0.3">
      <c r="A12" s="35">
        <v>55</v>
      </c>
      <c r="B12" s="189" t="s">
        <v>13</v>
      </c>
      <c r="C12" s="36">
        <v>7</v>
      </c>
      <c r="D12" s="36">
        <v>0</v>
      </c>
      <c r="E12" s="36">
        <v>1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</row>
    <row r="13" spans="1:12" ht="12.75" customHeight="1" x14ac:dyDescent="0.3">
      <c r="A13" s="35">
        <v>56</v>
      </c>
      <c r="B13" s="189" t="s">
        <v>14</v>
      </c>
      <c r="C13" s="36">
        <v>3</v>
      </c>
      <c r="D13" s="36">
        <v>0</v>
      </c>
      <c r="E13" s="36">
        <v>3</v>
      </c>
      <c r="F13" s="36">
        <v>0</v>
      </c>
      <c r="G13" s="36">
        <v>1</v>
      </c>
      <c r="H13" s="36">
        <v>0</v>
      </c>
      <c r="I13" s="36">
        <v>0</v>
      </c>
      <c r="J13" s="36">
        <v>0</v>
      </c>
    </row>
    <row r="14" spans="1:12" ht="12.75" customHeight="1" x14ac:dyDescent="0.3">
      <c r="A14" s="35">
        <v>57</v>
      </c>
      <c r="B14" s="189" t="s">
        <v>15</v>
      </c>
      <c r="C14" s="36">
        <v>17</v>
      </c>
      <c r="D14" s="36">
        <v>2</v>
      </c>
      <c r="E14" s="36">
        <v>4</v>
      </c>
      <c r="F14" s="36">
        <v>0</v>
      </c>
      <c r="G14" s="36">
        <v>4</v>
      </c>
      <c r="H14" s="36">
        <v>0</v>
      </c>
      <c r="I14" s="36">
        <v>0</v>
      </c>
      <c r="J14" s="36">
        <v>0</v>
      </c>
    </row>
    <row r="15" spans="1:12" ht="12.75" customHeight="1" x14ac:dyDescent="0.3">
      <c r="A15" s="35">
        <v>59</v>
      </c>
      <c r="B15" s="189" t="s">
        <v>16</v>
      </c>
      <c r="C15" s="36">
        <v>9</v>
      </c>
      <c r="D15" s="36">
        <v>0</v>
      </c>
      <c r="E15" s="36">
        <v>1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2" ht="12.75" customHeight="1" x14ac:dyDescent="0.3">
      <c r="A16" s="35">
        <v>60</v>
      </c>
      <c r="B16" s="189" t="s">
        <v>17</v>
      </c>
      <c r="C16" s="36">
        <v>5</v>
      </c>
      <c r="D16" s="36">
        <v>4</v>
      </c>
      <c r="E16" s="36">
        <v>1</v>
      </c>
      <c r="F16" s="36">
        <v>0</v>
      </c>
      <c r="G16" s="36">
        <v>1</v>
      </c>
      <c r="H16" s="36">
        <v>0</v>
      </c>
      <c r="I16" s="36">
        <v>0</v>
      </c>
      <c r="J16" s="36">
        <v>0</v>
      </c>
    </row>
    <row r="17" spans="1:10" ht="12.75" customHeight="1" x14ac:dyDescent="0.3">
      <c r="A17" s="35">
        <v>61</v>
      </c>
      <c r="B17" s="38" t="s">
        <v>163</v>
      </c>
      <c r="C17" s="36">
        <v>25</v>
      </c>
      <c r="D17" s="36">
        <v>11</v>
      </c>
      <c r="E17" s="36">
        <v>4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ht="12.75" customHeight="1" x14ac:dyDescent="0.3">
      <c r="A18" s="35"/>
      <c r="B18" s="130" t="s">
        <v>197</v>
      </c>
      <c r="C18" s="36">
        <v>20</v>
      </c>
      <c r="D18" s="36">
        <v>13</v>
      </c>
      <c r="E18" s="36">
        <v>3</v>
      </c>
      <c r="F18" s="36">
        <v>2</v>
      </c>
      <c r="G18" s="36">
        <v>1</v>
      </c>
      <c r="H18" s="36">
        <v>1</v>
      </c>
      <c r="I18" s="36">
        <v>0</v>
      </c>
      <c r="J18" s="36">
        <v>0</v>
      </c>
    </row>
    <row r="19" spans="1:10" ht="12.75" customHeight="1" x14ac:dyDescent="0.3">
      <c r="A19" s="35">
        <v>58</v>
      </c>
      <c r="B19" s="189" t="s">
        <v>20</v>
      </c>
      <c r="C19" s="36">
        <v>1</v>
      </c>
      <c r="D19" s="36">
        <v>2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</row>
    <row r="20" spans="1:10" ht="12.75" customHeight="1" x14ac:dyDescent="0.3">
      <c r="A20" s="35">
        <v>63</v>
      </c>
      <c r="B20" s="189" t="s">
        <v>21</v>
      </c>
      <c r="C20" s="36">
        <v>26</v>
      </c>
      <c r="D20" s="36">
        <v>14</v>
      </c>
      <c r="E20" s="36">
        <v>3</v>
      </c>
      <c r="F20" s="36">
        <v>2</v>
      </c>
      <c r="G20" s="36">
        <v>2</v>
      </c>
      <c r="H20" s="36">
        <v>0</v>
      </c>
      <c r="I20" s="36">
        <v>0</v>
      </c>
      <c r="J20" s="36">
        <v>0</v>
      </c>
    </row>
    <row r="21" spans="1:10" ht="12.75" customHeight="1" x14ac:dyDescent="0.3">
      <c r="A21" s="35">
        <v>64</v>
      </c>
      <c r="B21" s="189" t="s">
        <v>22</v>
      </c>
      <c r="C21" s="36">
        <v>26</v>
      </c>
      <c r="D21" s="36">
        <v>7</v>
      </c>
      <c r="E21" s="36">
        <v>6</v>
      </c>
      <c r="F21" s="36">
        <v>3</v>
      </c>
      <c r="G21" s="36">
        <v>1</v>
      </c>
      <c r="H21" s="36">
        <v>0</v>
      </c>
      <c r="I21" s="36">
        <v>0</v>
      </c>
      <c r="J21" s="36">
        <v>0</v>
      </c>
    </row>
    <row r="22" spans="1:10" ht="12.75" customHeight="1" x14ac:dyDescent="0.3">
      <c r="A22" s="35">
        <v>65</v>
      </c>
      <c r="B22" s="189" t="s">
        <v>23</v>
      </c>
      <c r="C22" s="36">
        <v>6</v>
      </c>
      <c r="D22" s="36">
        <v>4</v>
      </c>
      <c r="E22" s="36">
        <v>1</v>
      </c>
      <c r="F22" s="36">
        <v>0</v>
      </c>
      <c r="G22" s="36">
        <v>1</v>
      </c>
      <c r="H22" s="36">
        <v>0</v>
      </c>
      <c r="I22" s="36">
        <v>0</v>
      </c>
      <c r="J22" s="36">
        <v>0</v>
      </c>
    </row>
    <row r="23" spans="1:10" ht="12.75" customHeight="1" x14ac:dyDescent="0.3">
      <c r="A23" s="35">
        <v>67</v>
      </c>
      <c r="B23" s="189" t="s">
        <v>24</v>
      </c>
      <c r="C23" s="36">
        <v>29</v>
      </c>
      <c r="D23" s="36">
        <v>2</v>
      </c>
      <c r="E23" s="36">
        <v>3</v>
      </c>
      <c r="F23" s="36">
        <v>0</v>
      </c>
      <c r="G23" s="36">
        <v>1</v>
      </c>
      <c r="H23" s="36">
        <v>1</v>
      </c>
      <c r="I23" s="36">
        <v>0</v>
      </c>
      <c r="J23" s="36">
        <v>0</v>
      </c>
    </row>
    <row r="24" spans="1:10" ht="12.75" customHeight="1" x14ac:dyDescent="0.3">
      <c r="A24" s="35">
        <v>68</v>
      </c>
      <c r="B24" s="189" t="s">
        <v>214</v>
      </c>
      <c r="C24" s="36">
        <v>10</v>
      </c>
      <c r="D24" s="36">
        <v>7</v>
      </c>
      <c r="E24" s="36">
        <v>1</v>
      </c>
      <c r="F24" s="36">
        <v>1</v>
      </c>
      <c r="G24" s="36">
        <v>0</v>
      </c>
      <c r="H24" s="36">
        <v>0</v>
      </c>
      <c r="I24" s="36">
        <v>0</v>
      </c>
      <c r="J24" s="36">
        <v>0</v>
      </c>
    </row>
    <row r="25" spans="1:10" ht="12.75" customHeight="1" x14ac:dyDescent="0.3">
      <c r="A25" s="35">
        <v>69</v>
      </c>
      <c r="B25" s="189" t="s">
        <v>26</v>
      </c>
      <c r="C25" s="36">
        <v>18</v>
      </c>
      <c r="D25" s="36">
        <v>8</v>
      </c>
      <c r="E25" s="36">
        <v>5</v>
      </c>
      <c r="F25" s="36">
        <v>1</v>
      </c>
      <c r="G25" s="36">
        <v>1</v>
      </c>
      <c r="H25" s="36">
        <v>0</v>
      </c>
      <c r="I25" s="36">
        <v>0</v>
      </c>
      <c r="J25" s="36">
        <v>0</v>
      </c>
    </row>
    <row r="26" spans="1:10" ht="12.75" customHeight="1" x14ac:dyDescent="0.3">
      <c r="A26" s="35">
        <v>70</v>
      </c>
      <c r="B26" s="189" t="s">
        <v>27</v>
      </c>
      <c r="C26" s="36">
        <v>11</v>
      </c>
      <c r="D26" s="36">
        <v>8</v>
      </c>
      <c r="E26" s="36">
        <v>0</v>
      </c>
      <c r="F26" s="36">
        <v>1</v>
      </c>
      <c r="G26" s="36">
        <v>0</v>
      </c>
      <c r="H26" s="36">
        <v>0</v>
      </c>
      <c r="I26" s="36">
        <v>0</v>
      </c>
      <c r="J26" s="36">
        <v>0</v>
      </c>
    </row>
    <row r="27" spans="1:10" ht="12.75" customHeight="1" x14ac:dyDescent="0.3">
      <c r="A27" s="35">
        <v>71</v>
      </c>
      <c r="B27" s="39" t="s">
        <v>28</v>
      </c>
      <c r="C27" s="36">
        <v>2</v>
      </c>
      <c r="D27" s="36">
        <v>1</v>
      </c>
      <c r="E27" s="36">
        <v>1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ht="12.75" customHeight="1" x14ac:dyDescent="0.3">
      <c r="A28" s="35">
        <v>73</v>
      </c>
      <c r="B28" s="189" t="s">
        <v>29</v>
      </c>
      <c r="C28" s="36">
        <v>17</v>
      </c>
      <c r="D28" s="36">
        <v>11</v>
      </c>
      <c r="E28" s="36">
        <v>1</v>
      </c>
      <c r="F28" s="36">
        <v>2</v>
      </c>
      <c r="G28" s="36">
        <v>0</v>
      </c>
      <c r="H28" s="36">
        <v>0</v>
      </c>
      <c r="I28" s="36">
        <v>0</v>
      </c>
      <c r="J28" s="36">
        <v>0</v>
      </c>
    </row>
    <row r="29" spans="1:10" ht="12.75" customHeight="1" x14ac:dyDescent="0.3">
      <c r="A29" s="35">
        <v>74</v>
      </c>
      <c r="B29" s="189" t="s">
        <v>30</v>
      </c>
      <c r="C29" s="36">
        <v>12</v>
      </c>
      <c r="D29" s="36">
        <v>3</v>
      </c>
      <c r="E29" s="36">
        <v>5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</row>
    <row r="30" spans="1:10" ht="12.75" customHeight="1" x14ac:dyDescent="0.3">
      <c r="A30" s="35">
        <v>75</v>
      </c>
      <c r="B30" s="189" t="s">
        <v>31</v>
      </c>
      <c r="C30" s="36">
        <v>14</v>
      </c>
      <c r="D30" s="36">
        <v>2</v>
      </c>
      <c r="E30" s="36">
        <v>1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</row>
    <row r="31" spans="1:10" ht="12.75" customHeight="1" x14ac:dyDescent="0.3">
      <c r="A31" s="35">
        <v>76</v>
      </c>
      <c r="B31" s="189" t="s">
        <v>32</v>
      </c>
      <c r="C31" s="36">
        <v>10</v>
      </c>
      <c r="D31" s="36">
        <v>14</v>
      </c>
      <c r="E31" s="36">
        <v>1</v>
      </c>
      <c r="F31" s="36">
        <v>2</v>
      </c>
      <c r="G31" s="36">
        <v>0</v>
      </c>
      <c r="H31" s="36">
        <v>0</v>
      </c>
      <c r="I31" s="36">
        <v>0</v>
      </c>
      <c r="J31" s="36">
        <v>0</v>
      </c>
    </row>
    <row r="32" spans="1:10" ht="12.75" customHeight="1" x14ac:dyDescent="0.3">
      <c r="A32" s="35">
        <v>79</v>
      </c>
      <c r="B32" s="189" t="s">
        <v>33</v>
      </c>
      <c r="C32" s="36">
        <v>9</v>
      </c>
      <c r="D32" s="36">
        <v>10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</row>
    <row r="33" spans="1:12" ht="12.75" customHeight="1" x14ac:dyDescent="0.3">
      <c r="A33" s="35">
        <v>80</v>
      </c>
      <c r="B33" s="189" t="s">
        <v>34</v>
      </c>
      <c r="C33" s="36">
        <v>8</v>
      </c>
      <c r="D33" s="36">
        <v>6</v>
      </c>
      <c r="E33" s="36">
        <v>2</v>
      </c>
      <c r="F33" s="36">
        <v>1</v>
      </c>
      <c r="G33" s="36">
        <v>0</v>
      </c>
      <c r="H33" s="36">
        <v>0</v>
      </c>
      <c r="I33" s="36">
        <v>0</v>
      </c>
      <c r="J33" s="36">
        <v>0</v>
      </c>
    </row>
    <row r="34" spans="1:12" ht="12.75" customHeight="1" x14ac:dyDescent="0.3">
      <c r="A34" s="35">
        <v>81</v>
      </c>
      <c r="B34" s="189" t="s">
        <v>35</v>
      </c>
      <c r="C34" s="36">
        <v>3</v>
      </c>
      <c r="D34" s="36">
        <v>3</v>
      </c>
      <c r="E34" s="36">
        <v>2</v>
      </c>
      <c r="F34" s="36">
        <v>1</v>
      </c>
      <c r="G34" s="36">
        <v>0</v>
      </c>
      <c r="H34" s="36">
        <v>0</v>
      </c>
      <c r="I34" s="36">
        <v>0</v>
      </c>
      <c r="J34" s="36">
        <v>0</v>
      </c>
    </row>
    <row r="35" spans="1:12" ht="12.75" customHeight="1" x14ac:dyDescent="0.3">
      <c r="A35" s="35">
        <v>83</v>
      </c>
      <c r="B35" s="189" t="s">
        <v>36</v>
      </c>
      <c r="C35" s="36">
        <v>3</v>
      </c>
      <c r="D35" s="36">
        <v>1</v>
      </c>
      <c r="E35" s="36">
        <v>2</v>
      </c>
      <c r="F35" s="36">
        <v>0</v>
      </c>
      <c r="G35" s="36">
        <v>1</v>
      </c>
      <c r="H35" s="36">
        <v>0</v>
      </c>
      <c r="I35" s="36">
        <v>0</v>
      </c>
      <c r="J35" s="36">
        <v>0</v>
      </c>
    </row>
    <row r="36" spans="1:12" ht="12.75" customHeight="1" x14ac:dyDescent="0.3">
      <c r="A36" s="35">
        <v>84</v>
      </c>
      <c r="B36" s="189" t="s">
        <v>37</v>
      </c>
      <c r="C36" s="36">
        <v>6</v>
      </c>
      <c r="D36" s="36">
        <v>5</v>
      </c>
      <c r="E36" s="36">
        <v>1</v>
      </c>
      <c r="F36" s="36">
        <v>3</v>
      </c>
      <c r="G36" s="36">
        <v>0</v>
      </c>
      <c r="H36" s="36">
        <v>1</v>
      </c>
      <c r="I36" s="36">
        <v>0</v>
      </c>
      <c r="J36" s="36">
        <v>0</v>
      </c>
    </row>
    <row r="37" spans="1:12" ht="12.75" customHeight="1" x14ac:dyDescent="0.3">
      <c r="A37" s="35">
        <v>85</v>
      </c>
      <c r="B37" s="189" t="s">
        <v>38</v>
      </c>
      <c r="C37" s="36">
        <v>6</v>
      </c>
      <c r="D37" s="36">
        <v>11</v>
      </c>
      <c r="E37" s="36">
        <v>0</v>
      </c>
      <c r="F37" s="36">
        <v>2</v>
      </c>
      <c r="G37" s="36">
        <v>0</v>
      </c>
      <c r="H37" s="36">
        <v>1</v>
      </c>
      <c r="I37" s="36">
        <v>0</v>
      </c>
      <c r="J37" s="36">
        <v>0</v>
      </c>
    </row>
    <row r="38" spans="1:12" ht="12.75" customHeight="1" x14ac:dyDescent="0.3">
      <c r="A38" s="35">
        <v>87</v>
      </c>
      <c r="B38" s="189" t="s">
        <v>39</v>
      </c>
      <c r="C38" s="36">
        <v>7</v>
      </c>
      <c r="D38" s="36">
        <v>5</v>
      </c>
      <c r="E38" s="36">
        <v>1</v>
      </c>
      <c r="F38" s="36">
        <v>1</v>
      </c>
      <c r="G38" s="36">
        <v>0</v>
      </c>
      <c r="H38" s="36">
        <v>0</v>
      </c>
      <c r="I38" s="36">
        <v>0</v>
      </c>
      <c r="J38" s="36">
        <v>0</v>
      </c>
    </row>
    <row r="39" spans="1:12" ht="12.75" customHeight="1" x14ac:dyDescent="0.3">
      <c r="A39" s="35">
        <v>90</v>
      </c>
      <c r="B39" s="189" t="s">
        <v>40</v>
      </c>
      <c r="C39" s="36">
        <v>6</v>
      </c>
      <c r="D39" s="36">
        <v>5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</row>
    <row r="40" spans="1:12" ht="12.75" customHeight="1" x14ac:dyDescent="0.3">
      <c r="A40" s="35">
        <v>91</v>
      </c>
      <c r="B40" s="189" t="s">
        <v>41</v>
      </c>
      <c r="C40" s="36">
        <v>11</v>
      </c>
      <c r="D40" s="36">
        <v>5</v>
      </c>
      <c r="E40" s="36">
        <v>1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11"/>
    </row>
    <row r="41" spans="1:12" ht="12.75" customHeight="1" x14ac:dyDescent="0.3">
      <c r="A41" s="35">
        <v>92</v>
      </c>
      <c r="B41" s="189" t="s">
        <v>42</v>
      </c>
      <c r="C41" s="36">
        <v>3</v>
      </c>
      <c r="D41" s="36">
        <v>6</v>
      </c>
      <c r="E41" s="36">
        <v>1</v>
      </c>
      <c r="F41" s="36">
        <v>2</v>
      </c>
      <c r="G41" s="36">
        <v>1</v>
      </c>
      <c r="H41" s="36">
        <v>0</v>
      </c>
      <c r="I41" s="36">
        <v>0</v>
      </c>
      <c r="J41" s="36">
        <v>0</v>
      </c>
    </row>
    <row r="42" spans="1:12" ht="12.75" customHeight="1" x14ac:dyDescent="0.3">
      <c r="A42" s="35">
        <v>94</v>
      </c>
      <c r="B42" s="189" t="s">
        <v>43</v>
      </c>
      <c r="C42" s="36">
        <v>13</v>
      </c>
      <c r="D42" s="36">
        <v>3</v>
      </c>
      <c r="E42" s="36">
        <v>2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</row>
    <row r="43" spans="1:12" ht="12.75" customHeight="1" x14ac:dyDescent="0.3">
      <c r="A43" s="35">
        <v>96</v>
      </c>
      <c r="B43" s="189" t="s">
        <v>44</v>
      </c>
      <c r="C43" s="36">
        <v>6</v>
      </c>
      <c r="D43" s="36">
        <v>10</v>
      </c>
      <c r="E43" s="36">
        <v>0</v>
      </c>
      <c r="F43" s="36">
        <v>1</v>
      </c>
      <c r="G43" s="36">
        <v>0</v>
      </c>
      <c r="H43" s="36">
        <v>0</v>
      </c>
      <c r="I43" s="36">
        <v>0</v>
      </c>
      <c r="J43" s="36">
        <v>0</v>
      </c>
      <c r="L43" s="11"/>
    </row>
    <row r="44" spans="1:12" ht="12.75" customHeight="1" x14ac:dyDescent="0.3">
      <c r="A44" s="35">
        <v>72</v>
      </c>
      <c r="B44" s="39" t="s">
        <v>46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</row>
    <row r="45" spans="1:12" s="11" customFormat="1" ht="25.5" customHeight="1" x14ac:dyDescent="0.3">
      <c r="B45" s="11" t="s">
        <v>47</v>
      </c>
      <c r="C45" s="42">
        <f>SUM(C46:C52)</f>
        <v>343</v>
      </c>
      <c r="D45" s="42">
        <f t="shared" ref="D45:E45" si="2">SUM(D46:D52)</f>
        <v>88</v>
      </c>
      <c r="E45" s="42">
        <f t="shared" si="2"/>
        <v>70.3</v>
      </c>
      <c r="F45" s="42">
        <f t="shared" ref="F45:G45" si="3">SUM(F46:F52)</f>
        <v>3.7000000000000028</v>
      </c>
      <c r="G45" s="42">
        <f t="shared" si="3"/>
        <v>7</v>
      </c>
      <c r="H45" s="42">
        <f t="shared" ref="H45:I45" si="4">SUM(H46:H52)</f>
        <v>1</v>
      </c>
      <c r="I45" s="42">
        <f t="shared" si="4"/>
        <v>0</v>
      </c>
      <c r="J45" s="42">
        <f t="shared" ref="J45" si="5">SUM(J46:J52)</f>
        <v>0</v>
      </c>
    </row>
    <row r="46" spans="1:12" ht="12.75" customHeight="1" x14ac:dyDescent="0.3">
      <c r="A46" s="35">
        <v>66</v>
      </c>
      <c r="B46" s="189" t="s">
        <v>48</v>
      </c>
      <c r="C46" s="36">
        <v>38</v>
      </c>
      <c r="D46" s="36">
        <v>13</v>
      </c>
      <c r="E46" s="36">
        <v>3</v>
      </c>
      <c r="F46" s="36">
        <v>1</v>
      </c>
      <c r="G46" s="36">
        <v>0</v>
      </c>
      <c r="H46" s="36">
        <v>0</v>
      </c>
      <c r="I46" s="36">
        <v>0</v>
      </c>
      <c r="J46" s="36">
        <v>0</v>
      </c>
    </row>
    <row r="47" spans="1:12" ht="12.75" customHeight="1" x14ac:dyDescent="0.3">
      <c r="A47" s="35">
        <v>78</v>
      </c>
      <c r="B47" s="189" t="s">
        <v>49</v>
      </c>
      <c r="C47" s="36">
        <v>20</v>
      </c>
      <c r="D47" s="36">
        <v>0</v>
      </c>
      <c r="E47" s="36">
        <v>4</v>
      </c>
      <c r="F47" s="36">
        <v>0</v>
      </c>
      <c r="G47" s="36">
        <v>4</v>
      </c>
      <c r="H47" s="36">
        <v>0</v>
      </c>
      <c r="I47" s="36">
        <v>0</v>
      </c>
      <c r="J47" s="36">
        <v>0</v>
      </c>
    </row>
    <row r="48" spans="1:12" ht="12.75" customHeight="1" x14ac:dyDescent="0.3">
      <c r="A48" s="35">
        <v>89</v>
      </c>
      <c r="B48" s="189" t="s">
        <v>50</v>
      </c>
      <c r="C48" s="36">
        <v>25</v>
      </c>
      <c r="D48" s="36">
        <v>17</v>
      </c>
      <c r="E48" s="36">
        <v>3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</row>
    <row r="49" spans="1:12" ht="12.75" customHeight="1" x14ac:dyDescent="0.3">
      <c r="A49" s="35">
        <v>93</v>
      </c>
      <c r="B49" s="189" t="s">
        <v>215</v>
      </c>
      <c r="C49" s="36">
        <v>11</v>
      </c>
      <c r="D49" s="36">
        <v>2</v>
      </c>
      <c r="E49" s="36">
        <v>3</v>
      </c>
      <c r="F49" s="36">
        <v>0</v>
      </c>
      <c r="G49" s="36">
        <v>1</v>
      </c>
      <c r="H49" s="36">
        <v>1</v>
      </c>
      <c r="I49" s="36">
        <v>0</v>
      </c>
      <c r="J49" s="36">
        <v>0</v>
      </c>
    </row>
    <row r="50" spans="1:12" ht="12.75" customHeight="1" x14ac:dyDescent="0.3">
      <c r="A50" s="35">
        <v>95</v>
      </c>
      <c r="B50" s="189" t="s">
        <v>52</v>
      </c>
      <c r="C50" s="36">
        <v>32</v>
      </c>
      <c r="D50" s="36">
        <v>6</v>
      </c>
      <c r="E50" s="36">
        <v>4</v>
      </c>
      <c r="F50" s="36">
        <v>0</v>
      </c>
      <c r="G50" s="36">
        <v>1</v>
      </c>
      <c r="H50" s="36">
        <v>0</v>
      </c>
      <c r="I50" s="36">
        <v>0</v>
      </c>
      <c r="J50" s="36">
        <v>0</v>
      </c>
    </row>
    <row r="51" spans="1:12" ht="12.75" customHeight="1" x14ac:dyDescent="0.3">
      <c r="A51" s="35">
        <v>97</v>
      </c>
      <c r="B51" s="189" t="s">
        <v>53</v>
      </c>
      <c r="C51" s="36">
        <v>38</v>
      </c>
      <c r="D51" s="36">
        <v>4</v>
      </c>
      <c r="E51" s="36">
        <v>2</v>
      </c>
      <c r="F51" s="36">
        <v>0</v>
      </c>
      <c r="G51" s="36">
        <v>1</v>
      </c>
      <c r="H51" s="36">
        <v>0</v>
      </c>
      <c r="I51" s="36">
        <v>0</v>
      </c>
      <c r="J51" s="36">
        <v>0</v>
      </c>
    </row>
    <row r="52" spans="1:12" ht="12.75" customHeight="1" x14ac:dyDescent="0.3">
      <c r="A52" s="35">
        <v>77</v>
      </c>
      <c r="B52" s="191" t="s">
        <v>54</v>
      </c>
      <c r="C52" s="36">
        <v>179</v>
      </c>
      <c r="D52" s="36">
        <v>46</v>
      </c>
      <c r="E52" s="36">
        <v>51.3</v>
      </c>
      <c r="F52" s="36">
        <v>2.7000000000000028</v>
      </c>
      <c r="G52" s="36">
        <v>0</v>
      </c>
      <c r="H52" s="36">
        <v>0</v>
      </c>
      <c r="I52" s="36">
        <v>0</v>
      </c>
      <c r="J52" s="36">
        <v>0</v>
      </c>
    </row>
    <row r="53" spans="1:12" s="41" customFormat="1" ht="13.5" customHeight="1" x14ac:dyDescent="0.3">
      <c r="A53" s="28"/>
      <c r="C53" s="46"/>
      <c r="D53" s="47"/>
      <c r="E53" s="46"/>
      <c r="F53" s="46"/>
      <c r="G53" s="46"/>
      <c r="H53" s="46"/>
      <c r="I53" s="46"/>
      <c r="J53" s="46"/>
      <c r="K53" s="189"/>
      <c r="L53" s="189"/>
    </row>
    <row r="54" spans="1:12" ht="18.75" customHeight="1" x14ac:dyDescent="0.3">
      <c r="B54" s="35" t="s">
        <v>55</v>
      </c>
    </row>
    <row r="55" spans="1:12" x14ac:dyDescent="0.3">
      <c r="B55" s="319" t="s">
        <v>56</v>
      </c>
      <c r="C55" s="319"/>
      <c r="D55" s="319"/>
      <c r="E55" s="319"/>
      <c r="F55" s="319"/>
      <c r="G55" s="319"/>
      <c r="H55" s="319"/>
      <c r="I55" s="319"/>
      <c r="J55" s="319"/>
    </row>
    <row r="56" spans="1:12" ht="12.75" customHeight="1" x14ac:dyDescent="0.3">
      <c r="B56" s="319"/>
      <c r="C56" s="319"/>
      <c r="D56" s="319"/>
      <c r="E56" s="319"/>
      <c r="F56" s="319"/>
      <c r="G56" s="319"/>
      <c r="H56" s="319"/>
      <c r="I56" s="319"/>
      <c r="J56" s="319"/>
    </row>
    <row r="57" spans="1:12" ht="18.75" customHeight="1" x14ac:dyDescent="0.3">
      <c r="B57" s="319"/>
      <c r="C57" s="319"/>
      <c r="D57" s="319"/>
      <c r="E57" s="319"/>
      <c r="F57" s="319"/>
      <c r="G57" s="319"/>
      <c r="H57" s="319"/>
      <c r="I57" s="319"/>
      <c r="J57" s="319"/>
    </row>
    <row r="58" spans="1:12" ht="18.75" customHeight="1" x14ac:dyDescent="0.3">
      <c r="B58" s="319"/>
      <c r="C58" s="319"/>
      <c r="D58" s="319"/>
      <c r="E58" s="319"/>
      <c r="F58" s="319"/>
      <c r="G58" s="319"/>
      <c r="H58" s="319"/>
      <c r="I58" s="319"/>
      <c r="J58" s="319"/>
    </row>
    <row r="59" spans="1:12" ht="18.75" customHeight="1" x14ac:dyDescent="0.3">
      <c r="B59" s="319"/>
      <c r="C59" s="319"/>
      <c r="D59" s="319"/>
      <c r="E59" s="319"/>
      <c r="F59" s="319"/>
      <c r="G59" s="319"/>
      <c r="H59" s="319"/>
      <c r="I59" s="319"/>
      <c r="J59" s="319"/>
    </row>
    <row r="60" spans="1:12" ht="17.25" customHeight="1" x14ac:dyDescent="0.3"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12" ht="15.75" customHeight="1" x14ac:dyDescent="0.3">
      <c r="B61" s="35" t="s">
        <v>61</v>
      </c>
    </row>
    <row r="62" spans="1:12" ht="9.75" customHeight="1" x14ac:dyDescent="0.3">
      <c r="B62" s="319"/>
      <c r="C62" s="319"/>
      <c r="D62" s="319"/>
      <c r="E62" s="48"/>
      <c r="F62" s="48"/>
      <c r="G62" s="48"/>
      <c r="H62" s="48"/>
      <c r="I62" s="48"/>
      <c r="J62" s="48"/>
    </row>
    <row r="63" spans="1:12" ht="18.75" customHeight="1" x14ac:dyDescent="0.3">
      <c r="B63" s="24" t="s">
        <v>62</v>
      </c>
    </row>
    <row r="64" spans="1:12" x14ac:dyDescent="0.3">
      <c r="B64" s="26"/>
    </row>
    <row r="66" spans="2:2" x14ac:dyDescent="0.3">
      <c r="B66" s="27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rgb="FFFF0000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189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8.7265625" style="189"/>
    <col min="257" max="257" width="0" style="189" hidden="1" customWidth="1"/>
    <col min="258" max="258" width="24.7265625" style="189" customWidth="1"/>
    <col min="259" max="259" width="18" style="189" customWidth="1"/>
    <col min="260" max="260" width="18.453125" style="189" customWidth="1"/>
    <col min="261" max="261" width="13.7265625" style="189" customWidth="1"/>
    <col min="262" max="262" width="14" style="189" customWidth="1"/>
    <col min="263" max="512" width="8.7265625" style="189"/>
    <col min="513" max="513" width="0" style="189" hidden="1" customWidth="1"/>
    <col min="514" max="514" width="24.7265625" style="189" customWidth="1"/>
    <col min="515" max="515" width="18" style="189" customWidth="1"/>
    <col min="516" max="516" width="18.453125" style="189" customWidth="1"/>
    <col min="517" max="517" width="13.7265625" style="189" customWidth="1"/>
    <col min="518" max="518" width="14" style="189" customWidth="1"/>
    <col min="519" max="768" width="8.7265625" style="189"/>
    <col min="769" max="769" width="0" style="189" hidden="1" customWidth="1"/>
    <col min="770" max="770" width="24.7265625" style="189" customWidth="1"/>
    <col min="771" max="771" width="18" style="189" customWidth="1"/>
    <col min="772" max="772" width="18.453125" style="189" customWidth="1"/>
    <col min="773" max="773" width="13.7265625" style="189" customWidth="1"/>
    <col min="774" max="774" width="14" style="189" customWidth="1"/>
    <col min="775" max="1024" width="8.7265625" style="189"/>
    <col min="1025" max="1025" width="0" style="189" hidden="1" customWidth="1"/>
    <col min="1026" max="1026" width="24.7265625" style="189" customWidth="1"/>
    <col min="1027" max="1027" width="18" style="189" customWidth="1"/>
    <col min="1028" max="1028" width="18.453125" style="189" customWidth="1"/>
    <col min="1029" max="1029" width="13.7265625" style="189" customWidth="1"/>
    <col min="1030" max="1030" width="14" style="189" customWidth="1"/>
    <col min="1031" max="1280" width="8.7265625" style="189"/>
    <col min="1281" max="1281" width="0" style="189" hidden="1" customWidth="1"/>
    <col min="1282" max="1282" width="24.7265625" style="189" customWidth="1"/>
    <col min="1283" max="1283" width="18" style="189" customWidth="1"/>
    <col min="1284" max="1284" width="18.453125" style="189" customWidth="1"/>
    <col min="1285" max="1285" width="13.7265625" style="189" customWidth="1"/>
    <col min="1286" max="1286" width="14" style="189" customWidth="1"/>
    <col min="1287" max="1536" width="8.7265625" style="189"/>
    <col min="1537" max="1537" width="0" style="189" hidden="1" customWidth="1"/>
    <col min="1538" max="1538" width="24.7265625" style="189" customWidth="1"/>
    <col min="1539" max="1539" width="18" style="189" customWidth="1"/>
    <col min="1540" max="1540" width="18.453125" style="189" customWidth="1"/>
    <col min="1541" max="1541" width="13.7265625" style="189" customWidth="1"/>
    <col min="1542" max="1542" width="14" style="189" customWidth="1"/>
    <col min="1543" max="1792" width="8.7265625" style="189"/>
    <col min="1793" max="1793" width="0" style="189" hidden="1" customWidth="1"/>
    <col min="1794" max="1794" width="24.7265625" style="189" customWidth="1"/>
    <col min="1795" max="1795" width="18" style="189" customWidth="1"/>
    <col min="1796" max="1796" width="18.453125" style="189" customWidth="1"/>
    <col min="1797" max="1797" width="13.7265625" style="189" customWidth="1"/>
    <col min="1798" max="1798" width="14" style="189" customWidth="1"/>
    <col min="1799" max="2048" width="8.7265625" style="189"/>
    <col min="2049" max="2049" width="0" style="189" hidden="1" customWidth="1"/>
    <col min="2050" max="2050" width="24.7265625" style="189" customWidth="1"/>
    <col min="2051" max="2051" width="18" style="189" customWidth="1"/>
    <col min="2052" max="2052" width="18.453125" style="189" customWidth="1"/>
    <col min="2053" max="2053" width="13.7265625" style="189" customWidth="1"/>
    <col min="2054" max="2054" width="14" style="189" customWidth="1"/>
    <col min="2055" max="2304" width="8.7265625" style="189"/>
    <col min="2305" max="2305" width="0" style="189" hidden="1" customWidth="1"/>
    <col min="2306" max="2306" width="24.7265625" style="189" customWidth="1"/>
    <col min="2307" max="2307" width="18" style="189" customWidth="1"/>
    <col min="2308" max="2308" width="18.453125" style="189" customWidth="1"/>
    <col min="2309" max="2309" width="13.7265625" style="189" customWidth="1"/>
    <col min="2310" max="2310" width="14" style="189" customWidth="1"/>
    <col min="2311" max="2560" width="8.7265625" style="189"/>
    <col min="2561" max="2561" width="0" style="189" hidden="1" customWidth="1"/>
    <col min="2562" max="2562" width="24.7265625" style="189" customWidth="1"/>
    <col min="2563" max="2563" width="18" style="189" customWidth="1"/>
    <col min="2564" max="2564" width="18.453125" style="189" customWidth="1"/>
    <col min="2565" max="2565" width="13.7265625" style="189" customWidth="1"/>
    <col min="2566" max="2566" width="14" style="189" customWidth="1"/>
    <col min="2567" max="2816" width="8.7265625" style="189"/>
    <col min="2817" max="2817" width="0" style="189" hidden="1" customWidth="1"/>
    <col min="2818" max="2818" width="24.7265625" style="189" customWidth="1"/>
    <col min="2819" max="2819" width="18" style="189" customWidth="1"/>
    <col min="2820" max="2820" width="18.453125" style="189" customWidth="1"/>
    <col min="2821" max="2821" width="13.7265625" style="189" customWidth="1"/>
    <col min="2822" max="2822" width="14" style="189" customWidth="1"/>
    <col min="2823" max="3072" width="8.7265625" style="189"/>
    <col min="3073" max="3073" width="0" style="189" hidden="1" customWidth="1"/>
    <col min="3074" max="3074" width="24.7265625" style="189" customWidth="1"/>
    <col min="3075" max="3075" width="18" style="189" customWidth="1"/>
    <col min="3076" max="3076" width="18.453125" style="189" customWidth="1"/>
    <col min="3077" max="3077" width="13.7265625" style="189" customWidth="1"/>
    <col min="3078" max="3078" width="14" style="189" customWidth="1"/>
    <col min="3079" max="3328" width="8.7265625" style="189"/>
    <col min="3329" max="3329" width="0" style="189" hidden="1" customWidth="1"/>
    <col min="3330" max="3330" width="24.7265625" style="189" customWidth="1"/>
    <col min="3331" max="3331" width="18" style="189" customWidth="1"/>
    <col min="3332" max="3332" width="18.453125" style="189" customWidth="1"/>
    <col min="3333" max="3333" width="13.7265625" style="189" customWidth="1"/>
    <col min="3334" max="3334" width="14" style="189" customWidth="1"/>
    <col min="3335" max="3584" width="8.7265625" style="189"/>
    <col min="3585" max="3585" width="0" style="189" hidden="1" customWidth="1"/>
    <col min="3586" max="3586" width="24.7265625" style="189" customWidth="1"/>
    <col min="3587" max="3587" width="18" style="189" customWidth="1"/>
    <col min="3588" max="3588" width="18.453125" style="189" customWidth="1"/>
    <col min="3589" max="3589" width="13.7265625" style="189" customWidth="1"/>
    <col min="3590" max="3590" width="14" style="189" customWidth="1"/>
    <col min="3591" max="3840" width="8.7265625" style="189"/>
    <col min="3841" max="3841" width="0" style="189" hidden="1" customWidth="1"/>
    <col min="3842" max="3842" width="24.7265625" style="189" customWidth="1"/>
    <col min="3843" max="3843" width="18" style="189" customWidth="1"/>
    <col min="3844" max="3844" width="18.453125" style="189" customWidth="1"/>
    <col min="3845" max="3845" width="13.7265625" style="189" customWidth="1"/>
    <col min="3846" max="3846" width="14" style="189" customWidth="1"/>
    <col min="3847" max="4096" width="8.7265625" style="189"/>
    <col min="4097" max="4097" width="0" style="189" hidden="1" customWidth="1"/>
    <col min="4098" max="4098" width="24.7265625" style="189" customWidth="1"/>
    <col min="4099" max="4099" width="18" style="189" customWidth="1"/>
    <col min="4100" max="4100" width="18.453125" style="189" customWidth="1"/>
    <col min="4101" max="4101" width="13.7265625" style="189" customWidth="1"/>
    <col min="4102" max="4102" width="14" style="189" customWidth="1"/>
    <col min="4103" max="4352" width="8.7265625" style="189"/>
    <col min="4353" max="4353" width="0" style="189" hidden="1" customWidth="1"/>
    <col min="4354" max="4354" width="24.7265625" style="189" customWidth="1"/>
    <col min="4355" max="4355" width="18" style="189" customWidth="1"/>
    <col min="4356" max="4356" width="18.453125" style="189" customWidth="1"/>
    <col min="4357" max="4357" width="13.7265625" style="189" customWidth="1"/>
    <col min="4358" max="4358" width="14" style="189" customWidth="1"/>
    <col min="4359" max="4608" width="8.7265625" style="189"/>
    <col min="4609" max="4609" width="0" style="189" hidden="1" customWidth="1"/>
    <col min="4610" max="4610" width="24.7265625" style="189" customWidth="1"/>
    <col min="4611" max="4611" width="18" style="189" customWidth="1"/>
    <col min="4612" max="4612" width="18.453125" style="189" customWidth="1"/>
    <col min="4613" max="4613" width="13.7265625" style="189" customWidth="1"/>
    <col min="4614" max="4614" width="14" style="189" customWidth="1"/>
    <col min="4615" max="4864" width="8.7265625" style="189"/>
    <col min="4865" max="4865" width="0" style="189" hidden="1" customWidth="1"/>
    <col min="4866" max="4866" width="24.7265625" style="189" customWidth="1"/>
    <col min="4867" max="4867" width="18" style="189" customWidth="1"/>
    <col min="4868" max="4868" width="18.453125" style="189" customWidth="1"/>
    <col min="4869" max="4869" width="13.7265625" style="189" customWidth="1"/>
    <col min="4870" max="4870" width="14" style="189" customWidth="1"/>
    <col min="4871" max="5120" width="8.7265625" style="189"/>
    <col min="5121" max="5121" width="0" style="189" hidden="1" customWidth="1"/>
    <col min="5122" max="5122" width="24.7265625" style="189" customWidth="1"/>
    <col min="5123" max="5123" width="18" style="189" customWidth="1"/>
    <col min="5124" max="5124" width="18.453125" style="189" customWidth="1"/>
    <col min="5125" max="5125" width="13.7265625" style="189" customWidth="1"/>
    <col min="5126" max="5126" width="14" style="189" customWidth="1"/>
    <col min="5127" max="5376" width="8.7265625" style="189"/>
    <col min="5377" max="5377" width="0" style="189" hidden="1" customWidth="1"/>
    <col min="5378" max="5378" width="24.7265625" style="189" customWidth="1"/>
    <col min="5379" max="5379" width="18" style="189" customWidth="1"/>
    <col min="5380" max="5380" width="18.453125" style="189" customWidth="1"/>
    <col min="5381" max="5381" width="13.7265625" style="189" customWidth="1"/>
    <col min="5382" max="5382" width="14" style="189" customWidth="1"/>
    <col min="5383" max="5632" width="8.7265625" style="189"/>
    <col min="5633" max="5633" width="0" style="189" hidden="1" customWidth="1"/>
    <col min="5634" max="5634" width="24.7265625" style="189" customWidth="1"/>
    <col min="5635" max="5635" width="18" style="189" customWidth="1"/>
    <col min="5636" max="5636" width="18.453125" style="189" customWidth="1"/>
    <col min="5637" max="5637" width="13.7265625" style="189" customWidth="1"/>
    <col min="5638" max="5638" width="14" style="189" customWidth="1"/>
    <col min="5639" max="5888" width="8.7265625" style="189"/>
    <col min="5889" max="5889" width="0" style="189" hidden="1" customWidth="1"/>
    <col min="5890" max="5890" width="24.7265625" style="189" customWidth="1"/>
    <col min="5891" max="5891" width="18" style="189" customWidth="1"/>
    <col min="5892" max="5892" width="18.453125" style="189" customWidth="1"/>
    <col min="5893" max="5893" width="13.7265625" style="189" customWidth="1"/>
    <col min="5894" max="5894" width="14" style="189" customWidth="1"/>
    <col min="5895" max="6144" width="8.7265625" style="189"/>
    <col min="6145" max="6145" width="0" style="189" hidden="1" customWidth="1"/>
    <col min="6146" max="6146" width="24.7265625" style="189" customWidth="1"/>
    <col min="6147" max="6147" width="18" style="189" customWidth="1"/>
    <col min="6148" max="6148" width="18.453125" style="189" customWidth="1"/>
    <col min="6149" max="6149" width="13.7265625" style="189" customWidth="1"/>
    <col min="6150" max="6150" width="14" style="189" customWidth="1"/>
    <col min="6151" max="6400" width="8.7265625" style="189"/>
    <col min="6401" max="6401" width="0" style="189" hidden="1" customWidth="1"/>
    <col min="6402" max="6402" width="24.7265625" style="189" customWidth="1"/>
    <col min="6403" max="6403" width="18" style="189" customWidth="1"/>
    <col min="6404" max="6404" width="18.453125" style="189" customWidth="1"/>
    <col min="6405" max="6405" width="13.7265625" style="189" customWidth="1"/>
    <col min="6406" max="6406" width="14" style="189" customWidth="1"/>
    <col min="6407" max="6656" width="8.7265625" style="189"/>
    <col min="6657" max="6657" width="0" style="189" hidden="1" customWidth="1"/>
    <col min="6658" max="6658" width="24.7265625" style="189" customWidth="1"/>
    <col min="6659" max="6659" width="18" style="189" customWidth="1"/>
    <col min="6660" max="6660" width="18.453125" style="189" customWidth="1"/>
    <col min="6661" max="6661" width="13.7265625" style="189" customWidth="1"/>
    <col min="6662" max="6662" width="14" style="189" customWidth="1"/>
    <col min="6663" max="6912" width="8.7265625" style="189"/>
    <col min="6913" max="6913" width="0" style="189" hidden="1" customWidth="1"/>
    <col min="6914" max="6914" width="24.7265625" style="189" customWidth="1"/>
    <col min="6915" max="6915" width="18" style="189" customWidth="1"/>
    <col min="6916" max="6916" width="18.453125" style="189" customWidth="1"/>
    <col min="6917" max="6917" width="13.7265625" style="189" customWidth="1"/>
    <col min="6918" max="6918" width="14" style="189" customWidth="1"/>
    <col min="6919" max="7168" width="8.7265625" style="189"/>
    <col min="7169" max="7169" width="0" style="189" hidden="1" customWidth="1"/>
    <col min="7170" max="7170" width="24.7265625" style="189" customWidth="1"/>
    <col min="7171" max="7171" width="18" style="189" customWidth="1"/>
    <col min="7172" max="7172" width="18.453125" style="189" customWidth="1"/>
    <col min="7173" max="7173" width="13.7265625" style="189" customWidth="1"/>
    <col min="7174" max="7174" width="14" style="189" customWidth="1"/>
    <col min="7175" max="7424" width="8.7265625" style="189"/>
    <col min="7425" max="7425" width="0" style="189" hidden="1" customWidth="1"/>
    <col min="7426" max="7426" width="24.7265625" style="189" customWidth="1"/>
    <col min="7427" max="7427" width="18" style="189" customWidth="1"/>
    <col min="7428" max="7428" width="18.453125" style="189" customWidth="1"/>
    <col min="7429" max="7429" width="13.7265625" style="189" customWidth="1"/>
    <col min="7430" max="7430" width="14" style="189" customWidth="1"/>
    <col min="7431" max="7680" width="8.7265625" style="189"/>
    <col min="7681" max="7681" width="0" style="189" hidden="1" customWidth="1"/>
    <col min="7682" max="7682" width="24.7265625" style="189" customWidth="1"/>
    <col min="7683" max="7683" width="18" style="189" customWidth="1"/>
    <col min="7684" max="7684" width="18.453125" style="189" customWidth="1"/>
    <col min="7685" max="7685" width="13.7265625" style="189" customWidth="1"/>
    <col min="7686" max="7686" width="14" style="189" customWidth="1"/>
    <col min="7687" max="7936" width="8.7265625" style="189"/>
    <col min="7937" max="7937" width="0" style="189" hidden="1" customWidth="1"/>
    <col min="7938" max="7938" width="24.7265625" style="189" customWidth="1"/>
    <col min="7939" max="7939" width="18" style="189" customWidth="1"/>
    <col min="7940" max="7940" width="18.453125" style="189" customWidth="1"/>
    <col min="7941" max="7941" width="13.7265625" style="189" customWidth="1"/>
    <col min="7942" max="7942" width="14" style="189" customWidth="1"/>
    <col min="7943" max="8192" width="8.7265625" style="189"/>
    <col min="8193" max="8193" width="0" style="189" hidden="1" customWidth="1"/>
    <col min="8194" max="8194" width="24.7265625" style="189" customWidth="1"/>
    <col min="8195" max="8195" width="18" style="189" customWidth="1"/>
    <col min="8196" max="8196" width="18.453125" style="189" customWidth="1"/>
    <col min="8197" max="8197" width="13.7265625" style="189" customWidth="1"/>
    <col min="8198" max="8198" width="14" style="189" customWidth="1"/>
    <col min="8199" max="8448" width="8.7265625" style="189"/>
    <col min="8449" max="8449" width="0" style="189" hidden="1" customWidth="1"/>
    <col min="8450" max="8450" width="24.7265625" style="189" customWidth="1"/>
    <col min="8451" max="8451" width="18" style="189" customWidth="1"/>
    <col min="8452" max="8452" width="18.453125" style="189" customWidth="1"/>
    <col min="8453" max="8453" width="13.7265625" style="189" customWidth="1"/>
    <col min="8454" max="8454" width="14" style="189" customWidth="1"/>
    <col min="8455" max="8704" width="8.7265625" style="189"/>
    <col min="8705" max="8705" width="0" style="189" hidden="1" customWidth="1"/>
    <col min="8706" max="8706" width="24.7265625" style="189" customWidth="1"/>
    <col min="8707" max="8707" width="18" style="189" customWidth="1"/>
    <col min="8708" max="8708" width="18.453125" style="189" customWidth="1"/>
    <col min="8709" max="8709" width="13.7265625" style="189" customWidth="1"/>
    <col min="8710" max="8710" width="14" style="189" customWidth="1"/>
    <col min="8711" max="8960" width="8.7265625" style="189"/>
    <col min="8961" max="8961" width="0" style="189" hidden="1" customWidth="1"/>
    <col min="8962" max="8962" width="24.7265625" style="189" customWidth="1"/>
    <col min="8963" max="8963" width="18" style="189" customWidth="1"/>
    <col min="8964" max="8964" width="18.453125" style="189" customWidth="1"/>
    <col min="8965" max="8965" width="13.7265625" style="189" customWidth="1"/>
    <col min="8966" max="8966" width="14" style="189" customWidth="1"/>
    <col min="8967" max="9216" width="8.7265625" style="189"/>
    <col min="9217" max="9217" width="0" style="189" hidden="1" customWidth="1"/>
    <col min="9218" max="9218" width="24.7265625" style="189" customWidth="1"/>
    <col min="9219" max="9219" width="18" style="189" customWidth="1"/>
    <col min="9220" max="9220" width="18.453125" style="189" customWidth="1"/>
    <col min="9221" max="9221" width="13.7265625" style="189" customWidth="1"/>
    <col min="9222" max="9222" width="14" style="189" customWidth="1"/>
    <col min="9223" max="9472" width="8.7265625" style="189"/>
    <col min="9473" max="9473" width="0" style="189" hidden="1" customWidth="1"/>
    <col min="9474" max="9474" width="24.7265625" style="189" customWidth="1"/>
    <col min="9475" max="9475" width="18" style="189" customWidth="1"/>
    <col min="9476" max="9476" width="18.453125" style="189" customWidth="1"/>
    <col min="9477" max="9477" width="13.7265625" style="189" customWidth="1"/>
    <col min="9478" max="9478" width="14" style="189" customWidth="1"/>
    <col min="9479" max="9728" width="8.7265625" style="189"/>
    <col min="9729" max="9729" width="0" style="189" hidden="1" customWidth="1"/>
    <col min="9730" max="9730" width="24.7265625" style="189" customWidth="1"/>
    <col min="9731" max="9731" width="18" style="189" customWidth="1"/>
    <col min="9732" max="9732" width="18.453125" style="189" customWidth="1"/>
    <col min="9733" max="9733" width="13.7265625" style="189" customWidth="1"/>
    <col min="9734" max="9734" width="14" style="189" customWidth="1"/>
    <col min="9735" max="9984" width="8.7265625" style="189"/>
    <col min="9985" max="9985" width="0" style="189" hidden="1" customWidth="1"/>
    <col min="9986" max="9986" width="24.7265625" style="189" customWidth="1"/>
    <col min="9987" max="9987" width="18" style="189" customWidth="1"/>
    <col min="9988" max="9988" width="18.453125" style="189" customWidth="1"/>
    <col min="9989" max="9989" width="13.7265625" style="189" customWidth="1"/>
    <col min="9990" max="9990" width="14" style="189" customWidth="1"/>
    <col min="9991" max="10240" width="8.7265625" style="189"/>
    <col min="10241" max="10241" width="0" style="189" hidden="1" customWidth="1"/>
    <col min="10242" max="10242" width="24.7265625" style="189" customWidth="1"/>
    <col min="10243" max="10243" width="18" style="189" customWidth="1"/>
    <col min="10244" max="10244" width="18.453125" style="189" customWidth="1"/>
    <col min="10245" max="10245" width="13.7265625" style="189" customWidth="1"/>
    <col min="10246" max="10246" width="14" style="189" customWidth="1"/>
    <col min="10247" max="10496" width="8.7265625" style="189"/>
    <col min="10497" max="10497" width="0" style="189" hidden="1" customWidth="1"/>
    <col min="10498" max="10498" width="24.7265625" style="189" customWidth="1"/>
    <col min="10499" max="10499" width="18" style="189" customWidth="1"/>
    <col min="10500" max="10500" width="18.453125" style="189" customWidth="1"/>
    <col min="10501" max="10501" width="13.7265625" style="189" customWidth="1"/>
    <col min="10502" max="10502" width="14" style="189" customWidth="1"/>
    <col min="10503" max="10752" width="8.7265625" style="189"/>
    <col min="10753" max="10753" width="0" style="189" hidden="1" customWidth="1"/>
    <col min="10754" max="10754" width="24.7265625" style="189" customWidth="1"/>
    <col min="10755" max="10755" width="18" style="189" customWidth="1"/>
    <col min="10756" max="10756" width="18.453125" style="189" customWidth="1"/>
    <col min="10757" max="10757" width="13.7265625" style="189" customWidth="1"/>
    <col min="10758" max="10758" width="14" style="189" customWidth="1"/>
    <col min="10759" max="11008" width="8.7265625" style="189"/>
    <col min="11009" max="11009" width="0" style="189" hidden="1" customWidth="1"/>
    <col min="11010" max="11010" width="24.7265625" style="189" customWidth="1"/>
    <col min="11011" max="11011" width="18" style="189" customWidth="1"/>
    <col min="11012" max="11012" width="18.453125" style="189" customWidth="1"/>
    <col min="11013" max="11013" width="13.7265625" style="189" customWidth="1"/>
    <col min="11014" max="11014" width="14" style="189" customWidth="1"/>
    <col min="11015" max="11264" width="8.7265625" style="189"/>
    <col min="11265" max="11265" width="0" style="189" hidden="1" customWidth="1"/>
    <col min="11266" max="11266" width="24.7265625" style="189" customWidth="1"/>
    <col min="11267" max="11267" width="18" style="189" customWidth="1"/>
    <col min="11268" max="11268" width="18.453125" style="189" customWidth="1"/>
    <col min="11269" max="11269" width="13.7265625" style="189" customWidth="1"/>
    <col min="11270" max="11270" width="14" style="189" customWidth="1"/>
    <col min="11271" max="11520" width="8.7265625" style="189"/>
    <col min="11521" max="11521" width="0" style="189" hidden="1" customWidth="1"/>
    <col min="11522" max="11522" width="24.7265625" style="189" customWidth="1"/>
    <col min="11523" max="11523" width="18" style="189" customWidth="1"/>
    <col min="11524" max="11524" width="18.453125" style="189" customWidth="1"/>
    <col min="11525" max="11525" width="13.7265625" style="189" customWidth="1"/>
    <col min="11526" max="11526" width="14" style="189" customWidth="1"/>
    <col min="11527" max="11776" width="8.7265625" style="189"/>
    <col min="11777" max="11777" width="0" style="189" hidden="1" customWidth="1"/>
    <col min="11778" max="11778" width="24.7265625" style="189" customWidth="1"/>
    <col min="11779" max="11779" width="18" style="189" customWidth="1"/>
    <col min="11780" max="11780" width="18.453125" style="189" customWidth="1"/>
    <col min="11781" max="11781" width="13.7265625" style="189" customWidth="1"/>
    <col min="11782" max="11782" width="14" style="189" customWidth="1"/>
    <col min="11783" max="12032" width="8.7265625" style="189"/>
    <col min="12033" max="12033" width="0" style="189" hidden="1" customWidth="1"/>
    <col min="12034" max="12034" width="24.7265625" style="189" customWidth="1"/>
    <col min="12035" max="12035" width="18" style="189" customWidth="1"/>
    <col min="12036" max="12036" width="18.453125" style="189" customWidth="1"/>
    <col min="12037" max="12037" width="13.7265625" style="189" customWidth="1"/>
    <col min="12038" max="12038" width="14" style="189" customWidth="1"/>
    <col min="12039" max="12288" width="8.7265625" style="189"/>
    <col min="12289" max="12289" width="0" style="189" hidden="1" customWidth="1"/>
    <col min="12290" max="12290" width="24.7265625" style="189" customWidth="1"/>
    <col min="12291" max="12291" width="18" style="189" customWidth="1"/>
    <col min="12292" max="12292" width="18.453125" style="189" customWidth="1"/>
    <col min="12293" max="12293" width="13.7265625" style="189" customWidth="1"/>
    <col min="12294" max="12294" width="14" style="189" customWidth="1"/>
    <col min="12295" max="12544" width="8.7265625" style="189"/>
    <col min="12545" max="12545" width="0" style="189" hidden="1" customWidth="1"/>
    <col min="12546" max="12546" width="24.7265625" style="189" customWidth="1"/>
    <col min="12547" max="12547" width="18" style="189" customWidth="1"/>
    <col min="12548" max="12548" width="18.453125" style="189" customWidth="1"/>
    <col min="12549" max="12549" width="13.7265625" style="189" customWidth="1"/>
    <col min="12550" max="12550" width="14" style="189" customWidth="1"/>
    <col min="12551" max="12800" width="8.7265625" style="189"/>
    <col min="12801" max="12801" width="0" style="189" hidden="1" customWidth="1"/>
    <col min="12802" max="12802" width="24.7265625" style="189" customWidth="1"/>
    <col min="12803" max="12803" width="18" style="189" customWidth="1"/>
    <col min="12804" max="12804" width="18.453125" style="189" customWidth="1"/>
    <col min="12805" max="12805" width="13.7265625" style="189" customWidth="1"/>
    <col min="12806" max="12806" width="14" style="189" customWidth="1"/>
    <col min="12807" max="13056" width="8.7265625" style="189"/>
    <col min="13057" max="13057" width="0" style="189" hidden="1" customWidth="1"/>
    <col min="13058" max="13058" width="24.7265625" style="189" customWidth="1"/>
    <col min="13059" max="13059" width="18" style="189" customWidth="1"/>
    <col min="13060" max="13060" width="18.453125" style="189" customWidth="1"/>
    <col min="13061" max="13061" width="13.7265625" style="189" customWidth="1"/>
    <col min="13062" max="13062" width="14" style="189" customWidth="1"/>
    <col min="13063" max="13312" width="8.7265625" style="189"/>
    <col min="13313" max="13313" width="0" style="189" hidden="1" customWidth="1"/>
    <col min="13314" max="13314" width="24.7265625" style="189" customWidth="1"/>
    <col min="13315" max="13315" width="18" style="189" customWidth="1"/>
    <col min="13316" max="13316" width="18.453125" style="189" customWidth="1"/>
    <col min="13317" max="13317" width="13.7265625" style="189" customWidth="1"/>
    <col min="13318" max="13318" width="14" style="189" customWidth="1"/>
    <col min="13319" max="13568" width="8.7265625" style="189"/>
    <col min="13569" max="13569" width="0" style="189" hidden="1" customWidth="1"/>
    <col min="13570" max="13570" width="24.7265625" style="189" customWidth="1"/>
    <col min="13571" max="13571" width="18" style="189" customWidth="1"/>
    <col min="13572" max="13572" width="18.453125" style="189" customWidth="1"/>
    <col min="13573" max="13573" width="13.7265625" style="189" customWidth="1"/>
    <col min="13574" max="13574" width="14" style="189" customWidth="1"/>
    <col min="13575" max="13824" width="8.7265625" style="189"/>
    <col min="13825" max="13825" width="0" style="189" hidden="1" customWidth="1"/>
    <col min="13826" max="13826" width="24.7265625" style="189" customWidth="1"/>
    <col min="13827" max="13827" width="18" style="189" customWidth="1"/>
    <col min="13828" max="13828" width="18.453125" style="189" customWidth="1"/>
    <col min="13829" max="13829" width="13.7265625" style="189" customWidth="1"/>
    <col min="13830" max="13830" width="14" style="189" customWidth="1"/>
    <col min="13831" max="14080" width="8.7265625" style="189"/>
    <col min="14081" max="14081" width="0" style="189" hidden="1" customWidth="1"/>
    <col min="14082" max="14082" width="24.7265625" style="189" customWidth="1"/>
    <col min="14083" max="14083" width="18" style="189" customWidth="1"/>
    <col min="14084" max="14084" width="18.453125" style="189" customWidth="1"/>
    <col min="14085" max="14085" width="13.7265625" style="189" customWidth="1"/>
    <col min="14086" max="14086" width="14" style="189" customWidth="1"/>
    <col min="14087" max="14336" width="8.7265625" style="189"/>
    <col min="14337" max="14337" width="0" style="189" hidden="1" customWidth="1"/>
    <col min="14338" max="14338" width="24.7265625" style="189" customWidth="1"/>
    <col min="14339" max="14339" width="18" style="189" customWidth="1"/>
    <col min="14340" max="14340" width="18.453125" style="189" customWidth="1"/>
    <col min="14341" max="14341" width="13.7265625" style="189" customWidth="1"/>
    <col min="14342" max="14342" width="14" style="189" customWidth="1"/>
    <col min="14343" max="14592" width="8.7265625" style="189"/>
    <col min="14593" max="14593" width="0" style="189" hidden="1" customWidth="1"/>
    <col min="14594" max="14594" width="24.7265625" style="189" customWidth="1"/>
    <col min="14595" max="14595" width="18" style="189" customWidth="1"/>
    <col min="14596" max="14596" width="18.453125" style="189" customWidth="1"/>
    <col min="14597" max="14597" width="13.7265625" style="189" customWidth="1"/>
    <col min="14598" max="14598" width="14" style="189" customWidth="1"/>
    <col min="14599" max="14848" width="8.7265625" style="189"/>
    <col min="14849" max="14849" width="0" style="189" hidden="1" customWidth="1"/>
    <col min="14850" max="14850" width="24.7265625" style="189" customWidth="1"/>
    <col min="14851" max="14851" width="18" style="189" customWidth="1"/>
    <col min="14852" max="14852" width="18.453125" style="189" customWidth="1"/>
    <col min="14853" max="14853" width="13.7265625" style="189" customWidth="1"/>
    <col min="14854" max="14854" width="14" style="189" customWidth="1"/>
    <col min="14855" max="15104" width="8.7265625" style="189"/>
    <col min="15105" max="15105" width="0" style="189" hidden="1" customWidth="1"/>
    <col min="15106" max="15106" width="24.7265625" style="189" customWidth="1"/>
    <col min="15107" max="15107" width="18" style="189" customWidth="1"/>
    <col min="15108" max="15108" width="18.453125" style="189" customWidth="1"/>
    <col min="15109" max="15109" width="13.7265625" style="189" customWidth="1"/>
    <col min="15110" max="15110" width="14" style="189" customWidth="1"/>
    <col min="15111" max="15360" width="8.7265625" style="189"/>
    <col min="15361" max="15361" width="0" style="189" hidden="1" customWidth="1"/>
    <col min="15362" max="15362" width="24.7265625" style="189" customWidth="1"/>
    <col min="15363" max="15363" width="18" style="189" customWidth="1"/>
    <col min="15364" max="15364" width="18.453125" style="189" customWidth="1"/>
    <col min="15365" max="15365" width="13.7265625" style="189" customWidth="1"/>
    <col min="15366" max="15366" width="14" style="189" customWidth="1"/>
    <col min="15367" max="15616" width="8.7265625" style="189"/>
    <col min="15617" max="15617" width="0" style="189" hidden="1" customWidth="1"/>
    <col min="15618" max="15618" width="24.7265625" style="189" customWidth="1"/>
    <col min="15619" max="15619" width="18" style="189" customWidth="1"/>
    <col min="15620" max="15620" width="18.453125" style="189" customWidth="1"/>
    <col min="15621" max="15621" width="13.7265625" style="189" customWidth="1"/>
    <col min="15622" max="15622" width="14" style="189" customWidth="1"/>
    <col min="15623" max="15872" width="8.7265625" style="189"/>
    <col min="15873" max="15873" width="0" style="189" hidden="1" customWidth="1"/>
    <col min="15874" max="15874" width="24.7265625" style="189" customWidth="1"/>
    <col min="15875" max="15875" width="18" style="189" customWidth="1"/>
    <col min="15876" max="15876" width="18.453125" style="189" customWidth="1"/>
    <col min="15877" max="15877" width="13.7265625" style="189" customWidth="1"/>
    <col min="15878" max="15878" width="14" style="189" customWidth="1"/>
    <col min="15879" max="16128" width="8.7265625" style="189"/>
    <col min="16129" max="16129" width="0" style="189" hidden="1" customWidth="1"/>
    <col min="16130" max="16130" width="24.7265625" style="189" customWidth="1"/>
    <col min="16131" max="16131" width="18" style="189" customWidth="1"/>
    <col min="16132" max="16132" width="18.453125" style="189" customWidth="1"/>
    <col min="16133" max="16133" width="13.7265625" style="189" customWidth="1"/>
    <col min="16134" max="16134" width="14" style="189" customWidth="1"/>
    <col min="16135" max="16384" width="8.7265625" style="189"/>
  </cols>
  <sheetData>
    <row r="1" spans="1:9" ht="48.75" customHeight="1" x14ac:dyDescent="0.3">
      <c r="B1" s="316"/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f>C5+C44</f>
        <v>898</v>
      </c>
      <c r="D4" s="49">
        <f>D5+D44</f>
        <v>118</v>
      </c>
      <c r="E4" s="49">
        <f>E5+E44</f>
        <v>21</v>
      </c>
      <c r="F4" s="49">
        <f>F5+F44</f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f>SUM(C6:C43)</f>
        <v>658</v>
      </c>
      <c r="D5" s="42">
        <f>SUM(D6:D43)</f>
        <v>98</v>
      </c>
      <c r="E5" s="42">
        <f>SUM(E6:E43)</f>
        <v>18</v>
      </c>
      <c r="F5" s="42">
        <f>SUM(F6:F43)</f>
        <v>0</v>
      </c>
    </row>
    <row r="6" spans="1:9" x14ac:dyDescent="0.3">
      <c r="A6" s="12">
        <v>51</v>
      </c>
      <c r="B6" s="189" t="s">
        <v>8</v>
      </c>
      <c r="C6" s="37">
        <v>18</v>
      </c>
      <c r="D6" s="37">
        <v>3</v>
      </c>
      <c r="E6" s="37">
        <v>0</v>
      </c>
      <c r="F6" s="37">
        <v>0</v>
      </c>
    </row>
    <row r="7" spans="1:9" x14ac:dyDescent="0.3">
      <c r="A7" s="12">
        <v>52</v>
      </c>
      <c r="B7" s="189" t="s">
        <v>9</v>
      </c>
      <c r="C7" s="37">
        <v>11</v>
      </c>
      <c r="D7" s="37">
        <v>0</v>
      </c>
      <c r="E7" s="37">
        <v>0</v>
      </c>
      <c r="F7" s="37">
        <v>0</v>
      </c>
    </row>
    <row r="8" spans="1:9" x14ac:dyDescent="0.3">
      <c r="A8" s="12">
        <v>86</v>
      </c>
      <c r="B8" s="189" t="s">
        <v>10</v>
      </c>
      <c r="C8" s="37">
        <v>22</v>
      </c>
      <c r="D8" s="37">
        <v>4</v>
      </c>
      <c r="E8" s="37">
        <v>0</v>
      </c>
      <c r="F8" s="37">
        <v>0</v>
      </c>
    </row>
    <row r="9" spans="1:9" x14ac:dyDescent="0.3">
      <c r="A9" s="12">
        <v>53</v>
      </c>
      <c r="B9" s="189" t="s">
        <v>11</v>
      </c>
      <c r="C9" s="37">
        <v>15</v>
      </c>
      <c r="D9" s="37">
        <v>3</v>
      </c>
      <c r="E9" s="37">
        <v>0</v>
      </c>
      <c r="F9" s="37">
        <v>0</v>
      </c>
    </row>
    <row r="10" spans="1:9" x14ac:dyDescent="0.3">
      <c r="A10" s="12">
        <v>54</v>
      </c>
      <c r="B10" s="189" t="s">
        <v>12</v>
      </c>
      <c r="C10" s="37">
        <v>21</v>
      </c>
      <c r="D10" s="37">
        <v>0</v>
      </c>
      <c r="E10" s="37">
        <v>0</v>
      </c>
      <c r="F10" s="37">
        <v>0</v>
      </c>
    </row>
    <row r="11" spans="1:9" x14ac:dyDescent="0.3">
      <c r="A11" s="12">
        <v>55</v>
      </c>
      <c r="B11" s="189" t="s">
        <v>13</v>
      </c>
      <c r="C11" s="37">
        <v>12</v>
      </c>
      <c r="D11" s="37">
        <v>0</v>
      </c>
      <c r="E11" s="37">
        <v>0</v>
      </c>
      <c r="F11" s="37">
        <v>0</v>
      </c>
    </row>
    <row r="12" spans="1:9" x14ac:dyDescent="0.3">
      <c r="A12" s="12">
        <v>56</v>
      </c>
      <c r="B12" s="189" t="s">
        <v>14</v>
      </c>
      <c r="C12" s="37">
        <v>2</v>
      </c>
      <c r="D12" s="37">
        <v>2</v>
      </c>
      <c r="E12" s="37">
        <v>1</v>
      </c>
      <c r="F12" s="37">
        <v>0</v>
      </c>
    </row>
    <row r="13" spans="1:9" x14ac:dyDescent="0.3">
      <c r="A13" s="12">
        <v>57</v>
      </c>
      <c r="B13" s="189" t="s">
        <v>15</v>
      </c>
      <c r="C13" s="37">
        <v>23</v>
      </c>
      <c r="D13" s="37">
        <v>4</v>
      </c>
      <c r="E13" s="37">
        <v>5</v>
      </c>
      <c r="F13" s="37">
        <v>0</v>
      </c>
    </row>
    <row r="14" spans="1:9" x14ac:dyDescent="0.3">
      <c r="A14" s="12">
        <v>59</v>
      </c>
      <c r="B14" s="189" t="s">
        <v>16</v>
      </c>
      <c r="C14" s="37">
        <v>7</v>
      </c>
      <c r="D14" s="37">
        <v>1</v>
      </c>
      <c r="E14" s="37">
        <v>0</v>
      </c>
      <c r="F14" s="37">
        <v>0</v>
      </c>
    </row>
    <row r="15" spans="1:9" x14ac:dyDescent="0.3">
      <c r="A15" s="12">
        <v>60</v>
      </c>
      <c r="B15" s="189" t="s">
        <v>17</v>
      </c>
      <c r="C15" s="37">
        <v>8</v>
      </c>
      <c r="D15" s="37">
        <v>1</v>
      </c>
      <c r="E15" s="37">
        <v>3</v>
      </c>
      <c r="F15" s="37">
        <v>0</v>
      </c>
    </row>
    <row r="16" spans="1:9" x14ac:dyDescent="0.3">
      <c r="A16" s="12">
        <v>61</v>
      </c>
      <c r="B16" s="38" t="s">
        <v>163</v>
      </c>
      <c r="C16" s="37">
        <v>18</v>
      </c>
      <c r="D16" s="37">
        <v>7</v>
      </c>
      <c r="E16" s="37">
        <v>2</v>
      </c>
      <c r="F16" s="37">
        <v>0</v>
      </c>
    </row>
    <row r="17" spans="1:6" x14ac:dyDescent="0.3">
      <c r="A17" s="12"/>
      <c r="B17" s="130" t="s">
        <v>197</v>
      </c>
      <c r="C17" s="37">
        <v>29</v>
      </c>
      <c r="D17" s="37">
        <v>5</v>
      </c>
      <c r="E17" s="37">
        <v>2</v>
      </c>
      <c r="F17" s="37">
        <v>0</v>
      </c>
    </row>
    <row r="18" spans="1:6" x14ac:dyDescent="0.3">
      <c r="A18" s="12">
        <v>58</v>
      </c>
      <c r="B18" s="189" t="s">
        <v>20</v>
      </c>
      <c r="C18" s="37">
        <v>2</v>
      </c>
      <c r="D18" s="37">
        <v>2</v>
      </c>
      <c r="E18" s="37">
        <v>0</v>
      </c>
      <c r="F18" s="37">
        <v>0</v>
      </c>
    </row>
    <row r="19" spans="1:6" x14ac:dyDescent="0.3">
      <c r="A19" s="12">
        <v>63</v>
      </c>
      <c r="B19" s="189" t="s">
        <v>21</v>
      </c>
      <c r="C19" s="37">
        <v>19</v>
      </c>
      <c r="D19" s="37">
        <v>1</v>
      </c>
      <c r="E19" s="37">
        <v>0</v>
      </c>
      <c r="F19" s="37">
        <v>0</v>
      </c>
    </row>
    <row r="20" spans="1:6" x14ac:dyDescent="0.3">
      <c r="A20" s="12">
        <v>64</v>
      </c>
      <c r="B20" s="189" t="s">
        <v>22</v>
      </c>
      <c r="C20" s="37">
        <v>21</v>
      </c>
      <c r="D20" s="37">
        <v>5</v>
      </c>
      <c r="E20" s="37">
        <v>0</v>
      </c>
      <c r="F20" s="37">
        <v>0</v>
      </c>
    </row>
    <row r="21" spans="1:6" x14ac:dyDescent="0.3">
      <c r="A21" s="12">
        <v>65</v>
      </c>
      <c r="B21" s="189" t="s">
        <v>23</v>
      </c>
      <c r="C21" s="37">
        <v>20</v>
      </c>
      <c r="D21" s="37">
        <v>2</v>
      </c>
      <c r="E21" s="37">
        <v>1</v>
      </c>
      <c r="F21" s="37">
        <v>0</v>
      </c>
    </row>
    <row r="22" spans="1:6" x14ac:dyDescent="0.3">
      <c r="A22" s="12">
        <v>67</v>
      </c>
      <c r="B22" s="189" t="s">
        <v>24</v>
      </c>
      <c r="C22" s="37">
        <v>33</v>
      </c>
      <c r="D22" s="37">
        <v>5</v>
      </c>
      <c r="E22" s="37">
        <v>0</v>
      </c>
      <c r="F22" s="37">
        <v>0</v>
      </c>
    </row>
    <row r="23" spans="1:6" x14ac:dyDescent="0.3">
      <c r="A23" s="12">
        <v>68</v>
      </c>
      <c r="B23" s="189" t="s">
        <v>214</v>
      </c>
      <c r="C23" s="37">
        <v>41</v>
      </c>
      <c r="D23" s="37">
        <v>6</v>
      </c>
      <c r="E23" s="37">
        <v>0</v>
      </c>
      <c r="F23" s="37">
        <v>0</v>
      </c>
    </row>
    <row r="24" spans="1:6" x14ac:dyDescent="0.3">
      <c r="A24" s="12">
        <v>69</v>
      </c>
      <c r="B24" s="189" t="s">
        <v>26</v>
      </c>
      <c r="C24" s="37">
        <v>23</v>
      </c>
      <c r="D24" s="37">
        <v>5</v>
      </c>
      <c r="E24" s="37">
        <v>1</v>
      </c>
      <c r="F24" s="37">
        <v>0</v>
      </c>
    </row>
    <row r="25" spans="1:6" x14ac:dyDescent="0.3">
      <c r="A25" s="12">
        <v>70</v>
      </c>
      <c r="B25" s="189" t="s">
        <v>27</v>
      </c>
      <c r="C25" s="37">
        <v>50</v>
      </c>
      <c r="D25" s="37">
        <v>8</v>
      </c>
      <c r="E25" s="37">
        <v>0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2</v>
      </c>
      <c r="D26" s="37">
        <v>0</v>
      </c>
      <c r="E26" s="37">
        <v>0</v>
      </c>
      <c r="F26" s="37">
        <v>0</v>
      </c>
    </row>
    <row r="27" spans="1:6" x14ac:dyDescent="0.3">
      <c r="A27" s="12">
        <v>73</v>
      </c>
      <c r="B27" s="189" t="s">
        <v>29</v>
      </c>
      <c r="C27" s="37">
        <v>10</v>
      </c>
      <c r="D27" s="37">
        <v>0</v>
      </c>
      <c r="E27" s="37">
        <v>0</v>
      </c>
      <c r="F27" s="37">
        <v>0</v>
      </c>
    </row>
    <row r="28" spans="1:6" x14ac:dyDescent="0.3">
      <c r="A28" s="12">
        <v>74</v>
      </c>
      <c r="B28" s="189" t="s">
        <v>30</v>
      </c>
      <c r="C28" s="37">
        <v>18</v>
      </c>
      <c r="D28" s="37">
        <v>2</v>
      </c>
      <c r="E28" s="37">
        <v>0</v>
      </c>
      <c r="F28" s="37">
        <v>0</v>
      </c>
    </row>
    <row r="29" spans="1:6" x14ac:dyDescent="0.3">
      <c r="A29" s="12">
        <v>75</v>
      </c>
      <c r="B29" s="189" t="s">
        <v>31</v>
      </c>
      <c r="C29" s="37">
        <v>15</v>
      </c>
      <c r="D29" s="37">
        <v>4</v>
      </c>
      <c r="E29" s="37">
        <v>0</v>
      </c>
      <c r="F29" s="37">
        <v>0</v>
      </c>
    </row>
    <row r="30" spans="1:6" x14ac:dyDescent="0.3">
      <c r="A30" s="12">
        <v>76</v>
      </c>
      <c r="B30" s="189" t="s">
        <v>32</v>
      </c>
      <c r="C30" s="37">
        <v>13</v>
      </c>
      <c r="D30" s="37">
        <v>2</v>
      </c>
      <c r="E30" s="37">
        <v>0</v>
      </c>
      <c r="F30" s="37">
        <v>0</v>
      </c>
    </row>
    <row r="31" spans="1:6" x14ac:dyDescent="0.3">
      <c r="A31" s="12">
        <v>79</v>
      </c>
      <c r="B31" s="189" t="s">
        <v>33</v>
      </c>
      <c r="C31" s="37">
        <v>29</v>
      </c>
      <c r="D31" s="37">
        <v>6</v>
      </c>
      <c r="E31" s="37">
        <v>0</v>
      </c>
      <c r="F31" s="37">
        <v>0</v>
      </c>
    </row>
    <row r="32" spans="1:6" x14ac:dyDescent="0.3">
      <c r="A32" s="12">
        <v>80</v>
      </c>
      <c r="B32" s="189" t="s">
        <v>34</v>
      </c>
      <c r="C32" s="37">
        <v>36</v>
      </c>
      <c r="D32" s="37">
        <v>1</v>
      </c>
      <c r="E32" s="37">
        <v>0</v>
      </c>
      <c r="F32" s="37">
        <v>0</v>
      </c>
    </row>
    <row r="33" spans="1:10" x14ac:dyDescent="0.3">
      <c r="A33" s="12">
        <v>81</v>
      </c>
      <c r="B33" s="189" t="s">
        <v>35</v>
      </c>
      <c r="C33" s="37">
        <v>4</v>
      </c>
      <c r="D33" s="37">
        <v>0</v>
      </c>
      <c r="E33" s="37">
        <v>0</v>
      </c>
      <c r="F33" s="37">
        <v>0</v>
      </c>
    </row>
    <row r="34" spans="1:10" x14ac:dyDescent="0.3">
      <c r="A34" s="12">
        <v>83</v>
      </c>
      <c r="B34" s="189" t="s">
        <v>36</v>
      </c>
      <c r="C34" s="37">
        <v>16</v>
      </c>
      <c r="D34" s="37">
        <v>5</v>
      </c>
      <c r="E34" s="37">
        <v>2</v>
      </c>
      <c r="F34" s="37">
        <v>0</v>
      </c>
    </row>
    <row r="35" spans="1:10" x14ac:dyDescent="0.3">
      <c r="A35" s="12">
        <v>84</v>
      </c>
      <c r="B35" s="189" t="s">
        <v>37</v>
      </c>
      <c r="C35" s="37">
        <v>16</v>
      </c>
      <c r="D35" s="37">
        <v>2</v>
      </c>
      <c r="E35" s="37">
        <v>1</v>
      </c>
      <c r="F35" s="37">
        <v>0</v>
      </c>
    </row>
    <row r="36" spans="1:10" ht="14" x14ac:dyDescent="0.3">
      <c r="A36" s="12">
        <v>85</v>
      </c>
      <c r="B36" s="189" t="s">
        <v>38</v>
      </c>
      <c r="C36" s="37">
        <v>22</v>
      </c>
      <c r="D36" s="37">
        <v>2</v>
      </c>
      <c r="E36" s="37">
        <v>0</v>
      </c>
      <c r="F36" s="37">
        <v>0</v>
      </c>
      <c r="G36" s="11"/>
    </row>
    <row r="37" spans="1:10" ht="14" x14ac:dyDescent="0.3">
      <c r="A37" s="12">
        <v>87</v>
      </c>
      <c r="B37" s="189" t="s">
        <v>39</v>
      </c>
      <c r="C37" s="37">
        <v>9</v>
      </c>
      <c r="D37" s="37">
        <v>0</v>
      </c>
      <c r="E37" s="37">
        <v>0</v>
      </c>
      <c r="F37" s="37">
        <v>0</v>
      </c>
      <c r="H37" s="11"/>
      <c r="I37" s="11"/>
    </row>
    <row r="38" spans="1:10" x14ac:dyDescent="0.3">
      <c r="A38" s="12">
        <v>90</v>
      </c>
      <c r="B38" s="189" t="s">
        <v>40</v>
      </c>
      <c r="C38" s="37">
        <v>11</v>
      </c>
      <c r="D38" s="37">
        <v>4</v>
      </c>
      <c r="E38" s="37">
        <v>0</v>
      </c>
      <c r="F38" s="37">
        <v>0</v>
      </c>
    </row>
    <row r="39" spans="1:10" x14ac:dyDescent="0.3">
      <c r="A39" s="12">
        <v>91</v>
      </c>
      <c r="B39" s="189" t="s">
        <v>41</v>
      </c>
      <c r="C39" s="37">
        <v>26</v>
      </c>
      <c r="D39" s="37">
        <v>1</v>
      </c>
      <c r="E39" s="37">
        <v>0</v>
      </c>
      <c r="F39" s="37">
        <v>0</v>
      </c>
    </row>
    <row r="40" spans="1:10" x14ac:dyDescent="0.3">
      <c r="A40" s="12">
        <v>92</v>
      </c>
      <c r="B40" s="189" t="s">
        <v>42</v>
      </c>
      <c r="C40" s="37">
        <v>15</v>
      </c>
      <c r="D40" s="37">
        <v>2</v>
      </c>
      <c r="E40" s="37">
        <v>0</v>
      </c>
      <c r="F40" s="37">
        <v>0</v>
      </c>
    </row>
    <row r="41" spans="1:10" x14ac:dyDescent="0.3">
      <c r="A41" s="12">
        <v>94</v>
      </c>
      <c r="B41" s="189" t="s">
        <v>43</v>
      </c>
      <c r="C41" s="37">
        <v>7</v>
      </c>
      <c r="D41" s="37">
        <v>2</v>
      </c>
      <c r="E41" s="37">
        <v>0</v>
      </c>
      <c r="F41" s="37">
        <v>0</v>
      </c>
    </row>
    <row r="42" spans="1:10" ht="14" x14ac:dyDescent="0.3">
      <c r="A42" s="12">
        <v>96</v>
      </c>
      <c r="B42" s="189" t="s">
        <v>44</v>
      </c>
      <c r="C42" s="37">
        <v>14</v>
      </c>
      <c r="D42" s="37">
        <v>1</v>
      </c>
      <c r="E42" s="37">
        <v>0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f>SUM(C45:C51)</f>
        <v>240</v>
      </c>
      <c r="D44" s="42">
        <f t="shared" ref="D44:F44" si="0">SUM(D45:D51)</f>
        <v>20</v>
      </c>
      <c r="E44" s="42">
        <f t="shared" si="0"/>
        <v>3</v>
      </c>
      <c r="F44" s="42">
        <f t="shared" si="0"/>
        <v>0</v>
      </c>
    </row>
    <row r="45" spans="1:10" x14ac:dyDescent="0.3">
      <c r="A45" s="12">
        <v>66</v>
      </c>
      <c r="B45" s="189" t="s">
        <v>48</v>
      </c>
      <c r="C45" s="37">
        <v>33</v>
      </c>
      <c r="D45" s="37">
        <v>2</v>
      </c>
      <c r="E45" s="37">
        <v>0</v>
      </c>
      <c r="F45" s="37">
        <v>0</v>
      </c>
    </row>
    <row r="46" spans="1:10" x14ac:dyDescent="0.3">
      <c r="A46" s="12">
        <v>78</v>
      </c>
      <c r="B46" s="189" t="s">
        <v>49</v>
      </c>
      <c r="C46" s="37">
        <v>10</v>
      </c>
      <c r="D46" s="37">
        <v>2</v>
      </c>
      <c r="E46" s="37">
        <v>2</v>
      </c>
      <c r="F46" s="37">
        <v>0</v>
      </c>
    </row>
    <row r="47" spans="1:10" x14ac:dyDescent="0.3">
      <c r="A47" s="12">
        <v>89</v>
      </c>
      <c r="B47" s="189" t="s">
        <v>50</v>
      </c>
      <c r="C47" s="37">
        <v>34</v>
      </c>
      <c r="D47" s="37">
        <v>0</v>
      </c>
      <c r="E47" s="37">
        <v>0</v>
      </c>
      <c r="F47" s="37">
        <v>0</v>
      </c>
    </row>
    <row r="48" spans="1:10" x14ac:dyDescent="0.3">
      <c r="A48" s="12">
        <v>93</v>
      </c>
      <c r="B48" s="189" t="s">
        <v>215</v>
      </c>
      <c r="C48" s="37">
        <v>4</v>
      </c>
      <c r="D48" s="37">
        <v>1</v>
      </c>
      <c r="E48" s="37">
        <v>0</v>
      </c>
      <c r="F48" s="37">
        <v>0</v>
      </c>
    </row>
    <row r="49" spans="1:6" x14ac:dyDescent="0.3">
      <c r="A49" s="12">
        <v>95</v>
      </c>
      <c r="B49" s="189" t="s">
        <v>52</v>
      </c>
      <c r="C49" s="37">
        <v>32</v>
      </c>
      <c r="D49" s="37">
        <v>2</v>
      </c>
      <c r="E49" s="37">
        <v>0</v>
      </c>
      <c r="F49" s="37">
        <v>0</v>
      </c>
    </row>
    <row r="50" spans="1:6" x14ac:dyDescent="0.3">
      <c r="A50" s="12">
        <v>97</v>
      </c>
      <c r="B50" s="189" t="s">
        <v>53</v>
      </c>
      <c r="C50" s="37">
        <v>52</v>
      </c>
      <c r="D50" s="37">
        <v>2</v>
      </c>
      <c r="E50" s="37">
        <v>1</v>
      </c>
      <c r="F50" s="37">
        <v>0</v>
      </c>
    </row>
    <row r="51" spans="1:6" x14ac:dyDescent="0.3">
      <c r="A51" s="12">
        <v>77</v>
      </c>
      <c r="B51" s="191" t="s">
        <v>54</v>
      </c>
      <c r="C51" s="37">
        <v>75</v>
      </c>
      <c r="D51" s="37">
        <v>11</v>
      </c>
      <c r="E51" s="37">
        <v>0</v>
      </c>
      <c r="F51" s="37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188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rgb="FFFF0000"/>
  </sheetPr>
  <dimension ref="A1:J63"/>
  <sheetViews>
    <sheetView showGridLines="0" zoomScale="85" workbookViewId="0">
      <pane xSplit="2" ySplit="3" topLeftCell="C10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189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8.7265625" style="189"/>
    <col min="257" max="257" width="0" style="189" hidden="1" customWidth="1"/>
    <col min="258" max="258" width="24.7265625" style="189" customWidth="1"/>
    <col min="259" max="259" width="18" style="189" customWidth="1"/>
    <col min="260" max="260" width="18.453125" style="189" customWidth="1"/>
    <col min="261" max="261" width="13.7265625" style="189" customWidth="1"/>
    <col min="262" max="262" width="14" style="189" customWidth="1"/>
    <col min="263" max="512" width="8.7265625" style="189"/>
    <col min="513" max="513" width="0" style="189" hidden="1" customWidth="1"/>
    <col min="514" max="514" width="24.7265625" style="189" customWidth="1"/>
    <col min="515" max="515" width="18" style="189" customWidth="1"/>
    <col min="516" max="516" width="18.453125" style="189" customWidth="1"/>
    <col min="517" max="517" width="13.7265625" style="189" customWidth="1"/>
    <col min="518" max="518" width="14" style="189" customWidth="1"/>
    <col min="519" max="768" width="8.7265625" style="189"/>
    <col min="769" max="769" width="0" style="189" hidden="1" customWidth="1"/>
    <col min="770" max="770" width="24.7265625" style="189" customWidth="1"/>
    <col min="771" max="771" width="18" style="189" customWidth="1"/>
    <col min="772" max="772" width="18.453125" style="189" customWidth="1"/>
    <col min="773" max="773" width="13.7265625" style="189" customWidth="1"/>
    <col min="774" max="774" width="14" style="189" customWidth="1"/>
    <col min="775" max="1024" width="8.7265625" style="189"/>
    <col min="1025" max="1025" width="0" style="189" hidden="1" customWidth="1"/>
    <col min="1026" max="1026" width="24.7265625" style="189" customWidth="1"/>
    <col min="1027" max="1027" width="18" style="189" customWidth="1"/>
    <col min="1028" max="1028" width="18.453125" style="189" customWidth="1"/>
    <col min="1029" max="1029" width="13.7265625" style="189" customWidth="1"/>
    <col min="1030" max="1030" width="14" style="189" customWidth="1"/>
    <col min="1031" max="1280" width="8.7265625" style="189"/>
    <col min="1281" max="1281" width="0" style="189" hidden="1" customWidth="1"/>
    <col min="1282" max="1282" width="24.7265625" style="189" customWidth="1"/>
    <col min="1283" max="1283" width="18" style="189" customWidth="1"/>
    <col min="1284" max="1284" width="18.453125" style="189" customWidth="1"/>
    <col min="1285" max="1285" width="13.7265625" style="189" customWidth="1"/>
    <col min="1286" max="1286" width="14" style="189" customWidth="1"/>
    <col min="1287" max="1536" width="8.7265625" style="189"/>
    <col min="1537" max="1537" width="0" style="189" hidden="1" customWidth="1"/>
    <col min="1538" max="1538" width="24.7265625" style="189" customWidth="1"/>
    <col min="1539" max="1539" width="18" style="189" customWidth="1"/>
    <col min="1540" max="1540" width="18.453125" style="189" customWidth="1"/>
    <col min="1541" max="1541" width="13.7265625" style="189" customWidth="1"/>
    <col min="1542" max="1542" width="14" style="189" customWidth="1"/>
    <col min="1543" max="1792" width="8.7265625" style="189"/>
    <col min="1793" max="1793" width="0" style="189" hidden="1" customWidth="1"/>
    <col min="1794" max="1794" width="24.7265625" style="189" customWidth="1"/>
    <col min="1795" max="1795" width="18" style="189" customWidth="1"/>
    <col min="1796" max="1796" width="18.453125" style="189" customWidth="1"/>
    <col min="1797" max="1797" width="13.7265625" style="189" customWidth="1"/>
    <col min="1798" max="1798" width="14" style="189" customWidth="1"/>
    <col min="1799" max="2048" width="8.7265625" style="189"/>
    <col min="2049" max="2049" width="0" style="189" hidden="1" customWidth="1"/>
    <col min="2050" max="2050" width="24.7265625" style="189" customWidth="1"/>
    <col min="2051" max="2051" width="18" style="189" customWidth="1"/>
    <col min="2052" max="2052" width="18.453125" style="189" customWidth="1"/>
    <col min="2053" max="2053" width="13.7265625" style="189" customWidth="1"/>
    <col min="2054" max="2054" width="14" style="189" customWidth="1"/>
    <col min="2055" max="2304" width="8.7265625" style="189"/>
    <col min="2305" max="2305" width="0" style="189" hidden="1" customWidth="1"/>
    <col min="2306" max="2306" width="24.7265625" style="189" customWidth="1"/>
    <col min="2307" max="2307" width="18" style="189" customWidth="1"/>
    <col min="2308" max="2308" width="18.453125" style="189" customWidth="1"/>
    <col min="2309" max="2309" width="13.7265625" style="189" customWidth="1"/>
    <col min="2310" max="2310" width="14" style="189" customWidth="1"/>
    <col min="2311" max="2560" width="8.7265625" style="189"/>
    <col min="2561" max="2561" width="0" style="189" hidden="1" customWidth="1"/>
    <col min="2562" max="2562" width="24.7265625" style="189" customWidth="1"/>
    <col min="2563" max="2563" width="18" style="189" customWidth="1"/>
    <col min="2564" max="2564" width="18.453125" style="189" customWidth="1"/>
    <col min="2565" max="2565" width="13.7265625" style="189" customWidth="1"/>
    <col min="2566" max="2566" width="14" style="189" customWidth="1"/>
    <col min="2567" max="2816" width="8.7265625" style="189"/>
    <col min="2817" max="2817" width="0" style="189" hidden="1" customWidth="1"/>
    <col min="2818" max="2818" width="24.7265625" style="189" customWidth="1"/>
    <col min="2819" max="2819" width="18" style="189" customWidth="1"/>
    <col min="2820" max="2820" width="18.453125" style="189" customWidth="1"/>
    <col min="2821" max="2821" width="13.7265625" style="189" customWidth="1"/>
    <col min="2822" max="2822" width="14" style="189" customWidth="1"/>
    <col min="2823" max="3072" width="8.7265625" style="189"/>
    <col min="3073" max="3073" width="0" style="189" hidden="1" customWidth="1"/>
    <col min="3074" max="3074" width="24.7265625" style="189" customWidth="1"/>
    <col min="3075" max="3075" width="18" style="189" customWidth="1"/>
    <col min="3076" max="3076" width="18.453125" style="189" customWidth="1"/>
    <col min="3077" max="3077" width="13.7265625" style="189" customWidth="1"/>
    <col min="3078" max="3078" width="14" style="189" customWidth="1"/>
    <col min="3079" max="3328" width="8.7265625" style="189"/>
    <col min="3329" max="3329" width="0" style="189" hidden="1" customWidth="1"/>
    <col min="3330" max="3330" width="24.7265625" style="189" customWidth="1"/>
    <col min="3331" max="3331" width="18" style="189" customWidth="1"/>
    <col min="3332" max="3332" width="18.453125" style="189" customWidth="1"/>
    <col min="3333" max="3333" width="13.7265625" style="189" customWidth="1"/>
    <col min="3334" max="3334" width="14" style="189" customWidth="1"/>
    <col min="3335" max="3584" width="8.7265625" style="189"/>
    <col min="3585" max="3585" width="0" style="189" hidden="1" customWidth="1"/>
    <col min="3586" max="3586" width="24.7265625" style="189" customWidth="1"/>
    <col min="3587" max="3587" width="18" style="189" customWidth="1"/>
    <col min="3588" max="3588" width="18.453125" style="189" customWidth="1"/>
    <col min="3589" max="3589" width="13.7265625" style="189" customWidth="1"/>
    <col min="3590" max="3590" width="14" style="189" customWidth="1"/>
    <col min="3591" max="3840" width="8.7265625" style="189"/>
    <col min="3841" max="3841" width="0" style="189" hidden="1" customWidth="1"/>
    <col min="3842" max="3842" width="24.7265625" style="189" customWidth="1"/>
    <col min="3843" max="3843" width="18" style="189" customWidth="1"/>
    <col min="3844" max="3844" width="18.453125" style="189" customWidth="1"/>
    <col min="3845" max="3845" width="13.7265625" style="189" customWidth="1"/>
    <col min="3846" max="3846" width="14" style="189" customWidth="1"/>
    <col min="3847" max="4096" width="8.7265625" style="189"/>
    <col min="4097" max="4097" width="0" style="189" hidden="1" customWidth="1"/>
    <col min="4098" max="4098" width="24.7265625" style="189" customWidth="1"/>
    <col min="4099" max="4099" width="18" style="189" customWidth="1"/>
    <col min="4100" max="4100" width="18.453125" style="189" customWidth="1"/>
    <col min="4101" max="4101" width="13.7265625" style="189" customWidth="1"/>
    <col min="4102" max="4102" width="14" style="189" customWidth="1"/>
    <col min="4103" max="4352" width="8.7265625" style="189"/>
    <col min="4353" max="4353" width="0" style="189" hidden="1" customWidth="1"/>
    <col min="4354" max="4354" width="24.7265625" style="189" customWidth="1"/>
    <col min="4355" max="4355" width="18" style="189" customWidth="1"/>
    <col min="4356" max="4356" width="18.453125" style="189" customWidth="1"/>
    <col min="4357" max="4357" width="13.7265625" style="189" customWidth="1"/>
    <col min="4358" max="4358" width="14" style="189" customWidth="1"/>
    <col min="4359" max="4608" width="8.7265625" style="189"/>
    <col min="4609" max="4609" width="0" style="189" hidden="1" customWidth="1"/>
    <col min="4610" max="4610" width="24.7265625" style="189" customWidth="1"/>
    <col min="4611" max="4611" width="18" style="189" customWidth="1"/>
    <col min="4612" max="4612" width="18.453125" style="189" customWidth="1"/>
    <col min="4613" max="4613" width="13.7265625" style="189" customWidth="1"/>
    <col min="4614" max="4614" width="14" style="189" customWidth="1"/>
    <col min="4615" max="4864" width="8.7265625" style="189"/>
    <col min="4865" max="4865" width="0" style="189" hidden="1" customWidth="1"/>
    <col min="4866" max="4866" width="24.7265625" style="189" customWidth="1"/>
    <col min="4867" max="4867" width="18" style="189" customWidth="1"/>
    <col min="4868" max="4868" width="18.453125" style="189" customWidth="1"/>
    <col min="4869" max="4869" width="13.7265625" style="189" customWidth="1"/>
    <col min="4870" max="4870" width="14" style="189" customWidth="1"/>
    <col min="4871" max="5120" width="8.7265625" style="189"/>
    <col min="5121" max="5121" width="0" style="189" hidden="1" customWidth="1"/>
    <col min="5122" max="5122" width="24.7265625" style="189" customWidth="1"/>
    <col min="5123" max="5123" width="18" style="189" customWidth="1"/>
    <col min="5124" max="5124" width="18.453125" style="189" customWidth="1"/>
    <col min="5125" max="5125" width="13.7265625" style="189" customWidth="1"/>
    <col min="5126" max="5126" width="14" style="189" customWidth="1"/>
    <col min="5127" max="5376" width="8.7265625" style="189"/>
    <col min="5377" max="5377" width="0" style="189" hidden="1" customWidth="1"/>
    <col min="5378" max="5378" width="24.7265625" style="189" customWidth="1"/>
    <col min="5379" max="5379" width="18" style="189" customWidth="1"/>
    <col min="5380" max="5380" width="18.453125" style="189" customWidth="1"/>
    <col min="5381" max="5381" width="13.7265625" style="189" customWidth="1"/>
    <col min="5382" max="5382" width="14" style="189" customWidth="1"/>
    <col min="5383" max="5632" width="8.7265625" style="189"/>
    <col min="5633" max="5633" width="0" style="189" hidden="1" customWidth="1"/>
    <col min="5634" max="5634" width="24.7265625" style="189" customWidth="1"/>
    <col min="5635" max="5635" width="18" style="189" customWidth="1"/>
    <col min="5636" max="5636" width="18.453125" style="189" customWidth="1"/>
    <col min="5637" max="5637" width="13.7265625" style="189" customWidth="1"/>
    <col min="5638" max="5638" width="14" style="189" customWidth="1"/>
    <col min="5639" max="5888" width="8.7265625" style="189"/>
    <col min="5889" max="5889" width="0" style="189" hidden="1" customWidth="1"/>
    <col min="5890" max="5890" width="24.7265625" style="189" customWidth="1"/>
    <col min="5891" max="5891" width="18" style="189" customWidth="1"/>
    <col min="5892" max="5892" width="18.453125" style="189" customWidth="1"/>
    <col min="5893" max="5893" width="13.7265625" style="189" customWidth="1"/>
    <col min="5894" max="5894" width="14" style="189" customWidth="1"/>
    <col min="5895" max="6144" width="8.7265625" style="189"/>
    <col min="6145" max="6145" width="0" style="189" hidden="1" customWidth="1"/>
    <col min="6146" max="6146" width="24.7265625" style="189" customWidth="1"/>
    <col min="6147" max="6147" width="18" style="189" customWidth="1"/>
    <col min="6148" max="6148" width="18.453125" style="189" customWidth="1"/>
    <col min="6149" max="6149" width="13.7265625" style="189" customWidth="1"/>
    <col min="6150" max="6150" width="14" style="189" customWidth="1"/>
    <col min="6151" max="6400" width="8.7265625" style="189"/>
    <col min="6401" max="6401" width="0" style="189" hidden="1" customWidth="1"/>
    <col min="6402" max="6402" width="24.7265625" style="189" customWidth="1"/>
    <col min="6403" max="6403" width="18" style="189" customWidth="1"/>
    <col min="6404" max="6404" width="18.453125" style="189" customWidth="1"/>
    <col min="6405" max="6405" width="13.7265625" style="189" customWidth="1"/>
    <col min="6406" max="6406" width="14" style="189" customWidth="1"/>
    <col min="6407" max="6656" width="8.7265625" style="189"/>
    <col min="6657" max="6657" width="0" style="189" hidden="1" customWidth="1"/>
    <col min="6658" max="6658" width="24.7265625" style="189" customWidth="1"/>
    <col min="6659" max="6659" width="18" style="189" customWidth="1"/>
    <col min="6660" max="6660" width="18.453125" style="189" customWidth="1"/>
    <col min="6661" max="6661" width="13.7265625" style="189" customWidth="1"/>
    <col min="6662" max="6662" width="14" style="189" customWidth="1"/>
    <col min="6663" max="6912" width="8.7265625" style="189"/>
    <col min="6913" max="6913" width="0" style="189" hidden="1" customWidth="1"/>
    <col min="6914" max="6914" width="24.7265625" style="189" customWidth="1"/>
    <col min="6915" max="6915" width="18" style="189" customWidth="1"/>
    <col min="6916" max="6916" width="18.453125" style="189" customWidth="1"/>
    <col min="6917" max="6917" width="13.7265625" style="189" customWidth="1"/>
    <col min="6918" max="6918" width="14" style="189" customWidth="1"/>
    <col min="6919" max="7168" width="8.7265625" style="189"/>
    <col min="7169" max="7169" width="0" style="189" hidden="1" customWidth="1"/>
    <col min="7170" max="7170" width="24.7265625" style="189" customWidth="1"/>
    <col min="7171" max="7171" width="18" style="189" customWidth="1"/>
    <col min="7172" max="7172" width="18.453125" style="189" customWidth="1"/>
    <col min="7173" max="7173" width="13.7265625" style="189" customWidth="1"/>
    <col min="7174" max="7174" width="14" style="189" customWidth="1"/>
    <col min="7175" max="7424" width="8.7265625" style="189"/>
    <col min="7425" max="7425" width="0" style="189" hidden="1" customWidth="1"/>
    <col min="7426" max="7426" width="24.7265625" style="189" customWidth="1"/>
    <col min="7427" max="7427" width="18" style="189" customWidth="1"/>
    <col min="7428" max="7428" width="18.453125" style="189" customWidth="1"/>
    <col min="7429" max="7429" width="13.7265625" style="189" customWidth="1"/>
    <col min="7430" max="7430" width="14" style="189" customWidth="1"/>
    <col min="7431" max="7680" width="8.7265625" style="189"/>
    <col min="7681" max="7681" width="0" style="189" hidden="1" customWidth="1"/>
    <col min="7682" max="7682" width="24.7265625" style="189" customWidth="1"/>
    <col min="7683" max="7683" width="18" style="189" customWidth="1"/>
    <col min="7684" max="7684" width="18.453125" style="189" customWidth="1"/>
    <col min="7685" max="7685" width="13.7265625" style="189" customWidth="1"/>
    <col min="7686" max="7686" width="14" style="189" customWidth="1"/>
    <col min="7687" max="7936" width="8.7265625" style="189"/>
    <col min="7937" max="7937" width="0" style="189" hidden="1" customWidth="1"/>
    <col min="7938" max="7938" width="24.7265625" style="189" customWidth="1"/>
    <col min="7939" max="7939" width="18" style="189" customWidth="1"/>
    <col min="7940" max="7940" width="18.453125" style="189" customWidth="1"/>
    <col min="7941" max="7941" width="13.7265625" style="189" customWidth="1"/>
    <col min="7942" max="7942" width="14" style="189" customWidth="1"/>
    <col min="7943" max="8192" width="8.7265625" style="189"/>
    <col min="8193" max="8193" width="0" style="189" hidden="1" customWidth="1"/>
    <col min="8194" max="8194" width="24.7265625" style="189" customWidth="1"/>
    <col min="8195" max="8195" width="18" style="189" customWidth="1"/>
    <col min="8196" max="8196" width="18.453125" style="189" customWidth="1"/>
    <col min="8197" max="8197" width="13.7265625" style="189" customWidth="1"/>
    <col min="8198" max="8198" width="14" style="189" customWidth="1"/>
    <col min="8199" max="8448" width="8.7265625" style="189"/>
    <col min="8449" max="8449" width="0" style="189" hidden="1" customWidth="1"/>
    <col min="8450" max="8450" width="24.7265625" style="189" customWidth="1"/>
    <col min="8451" max="8451" width="18" style="189" customWidth="1"/>
    <col min="8452" max="8452" width="18.453125" style="189" customWidth="1"/>
    <col min="8453" max="8453" width="13.7265625" style="189" customWidth="1"/>
    <col min="8454" max="8454" width="14" style="189" customWidth="1"/>
    <col min="8455" max="8704" width="8.7265625" style="189"/>
    <col min="8705" max="8705" width="0" style="189" hidden="1" customWidth="1"/>
    <col min="8706" max="8706" width="24.7265625" style="189" customWidth="1"/>
    <col min="8707" max="8707" width="18" style="189" customWidth="1"/>
    <col min="8708" max="8708" width="18.453125" style="189" customWidth="1"/>
    <col min="8709" max="8709" width="13.7265625" style="189" customWidth="1"/>
    <col min="8710" max="8710" width="14" style="189" customWidth="1"/>
    <col min="8711" max="8960" width="8.7265625" style="189"/>
    <col min="8961" max="8961" width="0" style="189" hidden="1" customWidth="1"/>
    <col min="8962" max="8962" width="24.7265625" style="189" customWidth="1"/>
    <col min="8963" max="8963" width="18" style="189" customWidth="1"/>
    <col min="8964" max="8964" width="18.453125" style="189" customWidth="1"/>
    <col min="8965" max="8965" width="13.7265625" style="189" customWidth="1"/>
    <col min="8966" max="8966" width="14" style="189" customWidth="1"/>
    <col min="8967" max="9216" width="8.7265625" style="189"/>
    <col min="9217" max="9217" width="0" style="189" hidden="1" customWidth="1"/>
    <col min="9218" max="9218" width="24.7265625" style="189" customWidth="1"/>
    <col min="9219" max="9219" width="18" style="189" customWidth="1"/>
    <col min="9220" max="9220" width="18.453125" style="189" customWidth="1"/>
    <col min="9221" max="9221" width="13.7265625" style="189" customWidth="1"/>
    <col min="9222" max="9222" width="14" style="189" customWidth="1"/>
    <col min="9223" max="9472" width="8.7265625" style="189"/>
    <col min="9473" max="9473" width="0" style="189" hidden="1" customWidth="1"/>
    <col min="9474" max="9474" width="24.7265625" style="189" customWidth="1"/>
    <col min="9475" max="9475" width="18" style="189" customWidth="1"/>
    <col min="9476" max="9476" width="18.453125" style="189" customWidth="1"/>
    <col min="9477" max="9477" width="13.7265625" style="189" customWidth="1"/>
    <col min="9478" max="9478" width="14" style="189" customWidth="1"/>
    <col min="9479" max="9728" width="8.7265625" style="189"/>
    <col min="9729" max="9729" width="0" style="189" hidden="1" customWidth="1"/>
    <col min="9730" max="9730" width="24.7265625" style="189" customWidth="1"/>
    <col min="9731" max="9731" width="18" style="189" customWidth="1"/>
    <col min="9732" max="9732" width="18.453125" style="189" customWidth="1"/>
    <col min="9733" max="9733" width="13.7265625" style="189" customWidth="1"/>
    <col min="9734" max="9734" width="14" style="189" customWidth="1"/>
    <col min="9735" max="9984" width="8.7265625" style="189"/>
    <col min="9985" max="9985" width="0" style="189" hidden="1" customWidth="1"/>
    <col min="9986" max="9986" width="24.7265625" style="189" customWidth="1"/>
    <col min="9987" max="9987" width="18" style="189" customWidth="1"/>
    <col min="9988" max="9988" width="18.453125" style="189" customWidth="1"/>
    <col min="9989" max="9989" width="13.7265625" style="189" customWidth="1"/>
    <col min="9990" max="9990" width="14" style="189" customWidth="1"/>
    <col min="9991" max="10240" width="8.7265625" style="189"/>
    <col min="10241" max="10241" width="0" style="189" hidden="1" customWidth="1"/>
    <col min="10242" max="10242" width="24.7265625" style="189" customWidth="1"/>
    <col min="10243" max="10243" width="18" style="189" customWidth="1"/>
    <col min="10244" max="10244" width="18.453125" style="189" customWidth="1"/>
    <col min="10245" max="10245" width="13.7265625" style="189" customWidth="1"/>
    <col min="10246" max="10246" width="14" style="189" customWidth="1"/>
    <col min="10247" max="10496" width="8.7265625" style="189"/>
    <col min="10497" max="10497" width="0" style="189" hidden="1" customWidth="1"/>
    <col min="10498" max="10498" width="24.7265625" style="189" customWidth="1"/>
    <col min="10499" max="10499" width="18" style="189" customWidth="1"/>
    <col min="10500" max="10500" width="18.453125" style="189" customWidth="1"/>
    <col min="10501" max="10501" width="13.7265625" style="189" customWidth="1"/>
    <col min="10502" max="10502" width="14" style="189" customWidth="1"/>
    <col min="10503" max="10752" width="8.7265625" style="189"/>
    <col min="10753" max="10753" width="0" style="189" hidden="1" customWidth="1"/>
    <col min="10754" max="10754" width="24.7265625" style="189" customWidth="1"/>
    <col min="10755" max="10755" width="18" style="189" customWidth="1"/>
    <col min="10756" max="10756" width="18.453125" style="189" customWidth="1"/>
    <col min="10757" max="10757" width="13.7265625" style="189" customWidth="1"/>
    <col min="10758" max="10758" width="14" style="189" customWidth="1"/>
    <col min="10759" max="11008" width="8.7265625" style="189"/>
    <col min="11009" max="11009" width="0" style="189" hidden="1" customWidth="1"/>
    <col min="11010" max="11010" width="24.7265625" style="189" customWidth="1"/>
    <col min="11011" max="11011" width="18" style="189" customWidth="1"/>
    <col min="11012" max="11012" width="18.453125" style="189" customWidth="1"/>
    <col min="11013" max="11013" width="13.7265625" style="189" customWidth="1"/>
    <col min="11014" max="11014" width="14" style="189" customWidth="1"/>
    <col min="11015" max="11264" width="8.7265625" style="189"/>
    <col min="11265" max="11265" width="0" style="189" hidden="1" customWidth="1"/>
    <col min="11266" max="11266" width="24.7265625" style="189" customWidth="1"/>
    <col min="11267" max="11267" width="18" style="189" customWidth="1"/>
    <col min="11268" max="11268" width="18.453125" style="189" customWidth="1"/>
    <col min="11269" max="11269" width="13.7265625" style="189" customWidth="1"/>
    <col min="11270" max="11270" width="14" style="189" customWidth="1"/>
    <col min="11271" max="11520" width="8.7265625" style="189"/>
    <col min="11521" max="11521" width="0" style="189" hidden="1" customWidth="1"/>
    <col min="11522" max="11522" width="24.7265625" style="189" customWidth="1"/>
    <col min="11523" max="11523" width="18" style="189" customWidth="1"/>
    <col min="11524" max="11524" width="18.453125" style="189" customWidth="1"/>
    <col min="11525" max="11525" width="13.7265625" style="189" customWidth="1"/>
    <col min="11526" max="11526" width="14" style="189" customWidth="1"/>
    <col min="11527" max="11776" width="8.7265625" style="189"/>
    <col min="11777" max="11777" width="0" style="189" hidden="1" customWidth="1"/>
    <col min="11778" max="11778" width="24.7265625" style="189" customWidth="1"/>
    <col min="11779" max="11779" width="18" style="189" customWidth="1"/>
    <col min="11780" max="11780" width="18.453125" style="189" customWidth="1"/>
    <col min="11781" max="11781" width="13.7265625" style="189" customWidth="1"/>
    <col min="11782" max="11782" width="14" style="189" customWidth="1"/>
    <col min="11783" max="12032" width="8.7265625" style="189"/>
    <col min="12033" max="12033" width="0" style="189" hidden="1" customWidth="1"/>
    <col min="12034" max="12034" width="24.7265625" style="189" customWidth="1"/>
    <col min="12035" max="12035" width="18" style="189" customWidth="1"/>
    <col min="12036" max="12036" width="18.453125" style="189" customWidth="1"/>
    <col min="12037" max="12037" width="13.7265625" style="189" customWidth="1"/>
    <col min="12038" max="12038" width="14" style="189" customWidth="1"/>
    <col min="12039" max="12288" width="8.7265625" style="189"/>
    <col min="12289" max="12289" width="0" style="189" hidden="1" customWidth="1"/>
    <col min="12290" max="12290" width="24.7265625" style="189" customWidth="1"/>
    <col min="12291" max="12291" width="18" style="189" customWidth="1"/>
    <col min="12292" max="12292" width="18.453125" style="189" customWidth="1"/>
    <col min="12293" max="12293" width="13.7265625" style="189" customWidth="1"/>
    <col min="12294" max="12294" width="14" style="189" customWidth="1"/>
    <col min="12295" max="12544" width="8.7265625" style="189"/>
    <col min="12545" max="12545" width="0" style="189" hidden="1" customWidth="1"/>
    <col min="12546" max="12546" width="24.7265625" style="189" customWidth="1"/>
    <col min="12547" max="12547" width="18" style="189" customWidth="1"/>
    <col min="12548" max="12548" width="18.453125" style="189" customWidth="1"/>
    <col min="12549" max="12549" width="13.7265625" style="189" customWidth="1"/>
    <col min="12550" max="12550" width="14" style="189" customWidth="1"/>
    <col min="12551" max="12800" width="8.7265625" style="189"/>
    <col min="12801" max="12801" width="0" style="189" hidden="1" customWidth="1"/>
    <col min="12802" max="12802" width="24.7265625" style="189" customWidth="1"/>
    <col min="12803" max="12803" width="18" style="189" customWidth="1"/>
    <col min="12804" max="12804" width="18.453125" style="189" customWidth="1"/>
    <col min="12805" max="12805" width="13.7265625" style="189" customWidth="1"/>
    <col min="12806" max="12806" width="14" style="189" customWidth="1"/>
    <col min="12807" max="13056" width="8.7265625" style="189"/>
    <col min="13057" max="13057" width="0" style="189" hidden="1" customWidth="1"/>
    <col min="13058" max="13058" width="24.7265625" style="189" customWidth="1"/>
    <col min="13059" max="13059" width="18" style="189" customWidth="1"/>
    <col min="13060" max="13060" width="18.453125" style="189" customWidth="1"/>
    <col min="13061" max="13061" width="13.7265625" style="189" customWidth="1"/>
    <col min="13062" max="13062" width="14" style="189" customWidth="1"/>
    <col min="13063" max="13312" width="8.7265625" style="189"/>
    <col min="13313" max="13313" width="0" style="189" hidden="1" customWidth="1"/>
    <col min="13314" max="13314" width="24.7265625" style="189" customWidth="1"/>
    <col min="13315" max="13315" width="18" style="189" customWidth="1"/>
    <col min="13316" max="13316" width="18.453125" style="189" customWidth="1"/>
    <col min="13317" max="13317" width="13.7265625" style="189" customWidth="1"/>
    <col min="13318" max="13318" width="14" style="189" customWidth="1"/>
    <col min="13319" max="13568" width="8.7265625" style="189"/>
    <col min="13569" max="13569" width="0" style="189" hidden="1" customWidth="1"/>
    <col min="13570" max="13570" width="24.7265625" style="189" customWidth="1"/>
    <col min="13571" max="13571" width="18" style="189" customWidth="1"/>
    <col min="13572" max="13572" width="18.453125" style="189" customWidth="1"/>
    <col min="13573" max="13573" width="13.7265625" style="189" customWidth="1"/>
    <col min="13574" max="13574" width="14" style="189" customWidth="1"/>
    <col min="13575" max="13824" width="8.7265625" style="189"/>
    <col min="13825" max="13825" width="0" style="189" hidden="1" customWidth="1"/>
    <col min="13826" max="13826" width="24.7265625" style="189" customWidth="1"/>
    <col min="13827" max="13827" width="18" style="189" customWidth="1"/>
    <col min="13828" max="13828" width="18.453125" style="189" customWidth="1"/>
    <col min="13829" max="13829" width="13.7265625" style="189" customWidth="1"/>
    <col min="13830" max="13830" width="14" style="189" customWidth="1"/>
    <col min="13831" max="14080" width="8.7265625" style="189"/>
    <col min="14081" max="14081" width="0" style="189" hidden="1" customWidth="1"/>
    <col min="14082" max="14082" width="24.7265625" style="189" customWidth="1"/>
    <col min="14083" max="14083" width="18" style="189" customWidth="1"/>
    <col min="14084" max="14084" width="18.453125" style="189" customWidth="1"/>
    <col min="14085" max="14085" width="13.7265625" style="189" customWidth="1"/>
    <col min="14086" max="14086" width="14" style="189" customWidth="1"/>
    <col min="14087" max="14336" width="8.7265625" style="189"/>
    <col min="14337" max="14337" width="0" style="189" hidden="1" customWidth="1"/>
    <col min="14338" max="14338" width="24.7265625" style="189" customWidth="1"/>
    <col min="14339" max="14339" width="18" style="189" customWidth="1"/>
    <col min="14340" max="14340" width="18.453125" style="189" customWidth="1"/>
    <col min="14341" max="14341" width="13.7265625" style="189" customWidth="1"/>
    <col min="14342" max="14342" width="14" style="189" customWidth="1"/>
    <col min="14343" max="14592" width="8.7265625" style="189"/>
    <col min="14593" max="14593" width="0" style="189" hidden="1" customWidth="1"/>
    <col min="14594" max="14594" width="24.7265625" style="189" customWidth="1"/>
    <col min="14595" max="14595" width="18" style="189" customWidth="1"/>
    <col min="14596" max="14596" width="18.453125" style="189" customWidth="1"/>
    <col min="14597" max="14597" width="13.7265625" style="189" customWidth="1"/>
    <col min="14598" max="14598" width="14" style="189" customWidth="1"/>
    <col min="14599" max="14848" width="8.7265625" style="189"/>
    <col min="14849" max="14849" width="0" style="189" hidden="1" customWidth="1"/>
    <col min="14850" max="14850" width="24.7265625" style="189" customWidth="1"/>
    <col min="14851" max="14851" width="18" style="189" customWidth="1"/>
    <col min="14852" max="14852" width="18.453125" style="189" customWidth="1"/>
    <col min="14853" max="14853" width="13.7265625" style="189" customWidth="1"/>
    <col min="14854" max="14854" width="14" style="189" customWidth="1"/>
    <col min="14855" max="15104" width="8.7265625" style="189"/>
    <col min="15105" max="15105" width="0" style="189" hidden="1" customWidth="1"/>
    <col min="15106" max="15106" width="24.7265625" style="189" customWidth="1"/>
    <col min="15107" max="15107" width="18" style="189" customWidth="1"/>
    <col min="15108" max="15108" width="18.453125" style="189" customWidth="1"/>
    <col min="15109" max="15109" width="13.7265625" style="189" customWidth="1"/>
    <col min="15110" max="15110" width="14" style="189" customWidth="1"/>
    <col min="15111" max="15360" width="8.7265625" style="189"/>
    <col min="15361" max="15361" width="0" style="189" hidden="1" customWidth="1"/>
    <col min="15362" max="15362" width="24.7265625" style="189" customWidth="1"/>
    <col min="15363" max="15363" width="18" style="189" customWidth="1"/>
    <col min="15364" max="15364" width="18.453125" style="189" customWidth="1"/>
    <col min="15365" max="15365" width="13.7265625" style="189" customWidth="1"/>
    <col min="15366" max="15366" width="14" style="189" customWidth="1"/>
    <col min="15367" max="15616" width="8.7265625" style="189"/>
    <col min="15617" max="15617" width="0" style="189" hidden="1" customWidth="1"/>
    <col min="15618" max="15618" width="24.7265625" style="189" customWidth="1"/>
    <col min="15619" max="15619" width="18" style="189" customWidth="1"/>
    <col min="15620" max="15620" width="18.453125" style="189" customWidth="1"/>
    <col min="15621" max="15621" width="13.7265625" style="189" customWidth="1"/>
    <col min="15622" max="15622" width="14" style="189" customWidth="1"/>
    <col min="15623" max="15872" width="8.7265625" style="189"/>
    <col min="15873" max="15873" width="0" style="189" hidden="1" customWidth="1"/>
    <col min="15874" max="15874" width="24.7265625" style="189" customWidth="1"/>
    <col min="15875" max="15875" width="18" style="189" customWidth="1"/>
    <col min="15876" max="15876" width="18.453125" style="189" customWidth="1"/>
    <col min="15877" max="15877" width="13.7265625" style="189" customWidth="1"/>
    <col min="15878" max="15878" width="14" style="189" customWidth="1"/>
    <col min="15879" max="16128" width="8.7265625" style="189"/>
    <col min="16129" max="16129" width="0" style="189" hidden="1" customWidth="1"/>
    <col min="16130" max="16130" width="24.7265625" style="189" customWidth="1"/>
    <col min="16131" max="16131" width="18" style="189" customWidth="1"/>
    <col min="16132" max="16132" width="18.453125" style="189" customWidth="1"/>
    <col min="16133" max="16133" width="13.7265625" style="189" customWidth="1"/>
    <col min="16134" max="16134" width="14" style="189" customWidth="1"/>
    <col min="16135" max="16384" width="8.7265625" style="189"/>
  </cols>
  <sheetData>
    <row r="1" spans="1:9" ht="48.75" customHeight="1" x14ac:dyDescent="0.3">
      <c r="B1" s="316" t="s">
        <v>64</v>
      </c>
      <c r="C1" s="317"/>
      <c r="D1" s="317"/>
      <c r="E1" s="317"/>
      <c r="F1" s="318"/>
    </row>
    <row r="2" spans="1:9" ht="15.75" customHeight="1" x14ac:dyDescent="0.3">
      <c r="C2" s="300" t="s">
        <v>1</v>
      </c>
      <c r="D2" s="320" t="s">
        <v>2</v>
      </c>
      <c r="E2" s="320"/>
      <c r="F2" s="300" t="s">
        <v>5</v>
      </c>
    </row>
    <row r="3" spans="1:9" ht="34.5" customHeight="1" x14ac:dyDescent="0.3">
      <c r="A3" s="4"/>
      <c r="C3" s="301"/>
      <c r="D3" s="31" t="s">
        <v>3</v>
      </c>
      <c r="E3" s="31" t="s">
        <v>4</v>
      </c>
      <c r="F3" s="301"/>
    </row>
    <row r="4" spans="1:9" ht="23.25" customHeight="1" x14ac:dyDescent="0.3">
      <c r="A4" s="4"/>
      <c r="B4" s="11" t="s">
        <v>6</v>
      </c>
      <c r="C4" s="49">
        <f>C5+C44</f>
        <v>638</v>
      </c>
      <c r="D4" s="49">
        <f>D5+D44</f>
        <v>69</v>
      </c>
      <c r="E4" s="49">
        <f>E5+E44</f>
        <v>12</v>
      </c>
      <c r="F4" s="49">
        <f>F5+F44</f>
        <v>0</v>
      </c>
      <c r="I4" s="25"/>
    </row>
    <row r="5" spans="1:9" s="11" customFormat="1" ht="25.5" customHeight="1" x14ac:dyDescent="0.3">
      <c r="A5" s="9"/>
      <c r="B5" s="11" t="s">
        <v>7</v>
      </c>
      <c r="C5" s="42">
        <f>SUM(C6:C43)</f>
        <v>381</v>
      </c>
      <c r="D5" s="42">
        <f>SUM(D6:D43)</f>
        <v>41</v>
      </c>
      <c r="E5" s="42">
        <f>SUM(E6:E43)</f>
        <v>10</v>
      </c>
      <c r="F5" s="42">
        <f>SUM(F6:F43)</f>
        <v>0</v>
      </c>
    </row>
    <row r="6" spans="1:9" x14ac:dyDescent="0.3">
      <c r="A6" s="12">
        <v>51</v>
      </c>
      <c r="B6" s="189" t="s">
        <v>8</v>
      </c>
      <c r="C6" s="37">
        <v>16</v>
      </c>
      <c r="D6" s="37">
        <v>2</v>
      </c>
      <c r="E6" s="37">
        <v>0</v>
      </c>
      <c r="F6" s="37">
        <v>0</v>
      </c>
    </row>
    <row r="7" spans="1:9" x14ac:dyDescent="0.3">
      <c r="A7" s="12">
        <v>52</v>
      </c>
      <c r="B7" s="189" t="s">
        <v>9</v>
      </c>
      <c r="C7" s="37">
        <v>8</v>
      </c>
      <c r="D7" s="37">
        <v>0</v>
      </c>
      <c r="E7" s="37">
        <v>1</v>
      </c>
      <c r="F7" s="37">
        <v>0</v>
      </c>
    </row>
    <row r="8" spans="1:9" x14ac:dyDescent="0.3">
      <c r="A8" s="12">
        <v>86</v>
      </c>
      <c r="B8" s="189" t="s">
        <v>10</v>
      </c>
      <c r="C8" s="37">
        <v>14</v>
      </c>
      <c r="D8" s="37">
        <v>1</v>
      </c>
      <c r="E8" s="37">
        <v>0</v>
      </c>
      <c r="F8" s="37">
        <v>0</v>
      </c>
    </row>
    <row r="9" spans="1:9" x14ac:dyDescent="0.3">
      <c r="A9" s="12">
        <v>53</v>
      </c>
      <c r="B9" s="189" t="s">
        <v>11</v>
      </c>
      <c r="C9" s="37">
        <v>1</v>
      </c>
      <c r="D9" s="37">
        <v>0</v>
      </c>
      <c r="E9" s="37">
        <v>0</v>
      </c>
      <c r="F9" s="37">
        <v>0</v>
      </c>
    </row>
    <row r="10" spans="1:9" x14ac:dyDescent="0.3">
      <c r="A10" s="12">
        <v>54</v>
      </c>
      <c r="B10" s="189" t="s">
        <v>12</v>
      </c>
      <c r="C10" s="37">
        <v>22</v>
      </c>
      <c r="D10" s="37">
        <v>1</v>
      </c>
      <c r="E10" s="37">
        <v>0</v>
      </c>
      <c r="F10" s="37">
        <v>0</v>
      </c>
    </row>
    <row r="11" spans="1:9" x14ac:dyDescent="0.3">
      <c r="A11" s="12">
        <v>55</v>
      </c>
      <c r="B11" s="189" t="s">
        <v>13</v>
      </c>
      <c r="C11" s="37">
        <v>7</v>
      </c>
      <c r="D11" s="37">
        <v>0</v>
      </c>
      <c r="E11" s="37">
        <v>0</v>
      </c>
      <c r="F11" s="37">
        <v>0</v>
      </c>
    </row>
    <row r="12" spans="1:9" x14ac:dyDescent="0.3">
      <c r="A12" s="12">
        <v>56</v>
      </c>
      <c r="B12" s="189" t="s">
        <v>14</v>
      </c>
      <c r="C12" s="37">
        <v>0</v>
      </c>
      <c r="D12" s="37">
        <v>0</v>
      </c>
      <c r="E12" s="37">
        <v>0</v>
      </c>
      <c r="F12" s="37">
        <v>0</v>
      </c>
    </row>
    <row r="13" spans="1:9" x14ac:dyDescent="0.3">
      <c r="A13" s="12">
        <v>57</v>
      </c>
      <c r="B13" s="189" t="s">
        <v>15</v>
      </c>
      <c r="C13" s="37">
        <v>11</v>
      </c>
      <c r="D13" s="37">
        <v>1</v>
      </c>
      <c r="E13" s="37">
        <v>2</v>
      </c>
      <c r="F13" s="37">
        <v>0</v>
      </c>
    </row>
    <row r="14" spans="1:9" x14ac:dyDescent="0.3">
      <c r="A14" s="12">
        <v>59</v>
      </c>
      <c r="B14" s="189" t="s">
        <v>16</v>
      </c>
      <c r="C14" s="37">
        <v>5</v>
      </c>
      <c r="D14" s="37">
        <v>1</v>
      </c>
      <c r="E14" s="37">
        <v>0</v>
      </c>
      <c r="F14" s="37">
        <v>0</v>
      </c>
    </row>
    <row r="15" spans="1:9" x14ac:dyDescent="0.3">
      <c r="A15" s="12">
        <v>60</v>
      </c>
      <c r="B15" s="189" t="s">
        <v>17</v>
      </c>
      <c r="C15" s="37">
        <v>7</v>
      </c>
      <c r="D15" s="37">
        <v>2</v>
      </c>
      <c r="E15" s="37">
        <v>1</v>
      </c>
      <c r="F15" s="37">
        <v>0</v>
      </c>
    </row>
    <row r="16" spans="1:9" x14ac:dyDescent="0.3">
      <c r="A16" s="12">
        <v>61</v>
      </c>
      <c r="B16" s="38" t="s">
        <v>163</v>
      </c>
      <c r="C16" s="37">
        <v>4</v>
      </c>
      <c r="D16" s="37">
        <v>0</v>
      </c>
      <c r="E16" s="37">
        <v>0</v>
      </c>
      <c r="F16" s="37">
        <v>0</v>
      </c>
    </row>
    <row r="17" spans="1:6" x14ac:dyDescent="0.3">
      <c r="A17" s="12"/>
      <c r="B17" s="130" t="s">
        <v>197</v>
      </c>
      <c r="C17" s="37">
        <v>14</v>
      </c>
      <c r="D17" s="37">
        <v>4</v>
      </c>
      <c r="E17" s="37">
        <v>0</v>
      </c>
      <c r="F17" s="37">
        <v>0</v>
      </c>
    </row>
    <row r="18" spans="1:6" x14ac:dyDescent="0.3">
      <c r="A18" s="12">
        <v>58</v>
      </c>
      <c r="B18" s="189" t="s">
        <v>20</v>
      </c>
      <c r="C18" s="37">
        <v>5</v>
      </c>
      <c r="D18" s="37">
        <v>0</v>
      </c>
      <c r="E18" s="37">
        <v>0</v>
      </c>
      <c r="F18" s="37">
        <v>0</v>
      </c>
    </row>
    <row r="19" spans="1:6" x14ac:dyDescent="0.3">
      <c r="A19" s="12">
        <v>63</v>
      </c>
      <c r="B19" s="189" t="s">
        <v>21</v>
      </c>
      <c r="C19" s="37">
        <v>12</v>
      </c>
      <c r="D19" s="37">
        <v>0</v>
      </c>
      <c r="E19" s="37">
        <v>1</v>
      </c>
      <c r="F19" s="37">
        <v>0</v>
      </c>
    </row>
    <row r="20" spans="1:6" x14ac:dyDescent="0.3">
      <c r="A20" s="12">
        <v>64</v>
      </c>
      <c r="B20" s="189" t="s">
        <v>22</v>
      </c>
      <c r="C20" s="37">
        <v>32</v>
      </c>
      <c r="D20" s="37">
        <v>7</v>
      </c>
      <c r="E20" s="37">
        <v>0</v>
      </c>
      <c r="F20" s="37">
        <v>0</v>
      </c>
    </row>
    <row r="21" spans="1:6" x14ac:dyDescent="0.3">
      <c r="A21" s="12">
        <v>65</v>
      </c>
      <c r="B21" s="189" t="s">
        <v>23</v>
      </c>
      <c r="C21" s="37">
        <v>5</v>
      </c>
      <c r="D21" s="37">
        <v>0</v>
      </c>
      <c r="E21" s="37">
        <v>0</v>
      </c>
      <c r="F21" s="37">
        <v>0</v>
      </c>
    </row>
    <row r="22" spans="1:6" x14ac:dyDescent="0.3">
      <c r="A22" s="12">
        <v>67</v>
      </c>
      <c r="B22" s="189" t="s">
        <v>24</v>
      </c>
      <c r="C22" s="37">
        <v>14</v>
      </c>
      <c r="D22" s="37">
        <v>0</v>
      </c>
      <c r="E22" s="37">
        <v>1</v>
      </c>
      <c r="F22" s="37">
        <v>0</v>
      </c>
    </row>
    <row r="23" spans="1:6" x14ac:dyDescent="0.3">
      <c r="A23" s="12">
        <v>68</v>
      </c>
      <c r="B23" s="189" t="s">
        <v>214</v>
      </c>
      <c r="C23" s="37">
        <v>13</v>
      </c>
      <c r="D23" s="37">
        <v>0</v>
      </c>
      <c r="E23" s="37">
        <v>0</v>
      </c>
      <c r="F23" s="37">
        <v>0</v>
      </c>
    </row>
    <row r="24" spans="1:6" x14ac:dyDescent="0.3">
      <c r="A24" s="12">
        <v>69</v>
      </c>
      <c r="B24" s="189" t="s">
        <v>26</v>
      </c>
      <c r="C24" s="37">
        <v>7</v>
      </c>
      <c r="D24" s="37">
        <v>1</v>
      </c>
      <c r="E24" s="37">
        <v>1</v>
      </c>
      <c r="F24" s="37">
        <v>0</v>
      </c>
    </row>
    <row r="25" spans="1:6" x14ac:dyDescent="0.3">
      <c r="A25" s="12">
        <v>70</v>
      </c>
      <c r="B25" s="189" t="s">
        <v>27</v>
      </c>
      <c r="C25" s="37">
        <v>12</v>
      </c>
      <c r="D25" s="37">
        <v>2</v>
      </c>
      <c r="E25" s="37">
        <v>0</v>
      </c>
      <c r="F25" s="37">
        <v>0</v>
      </c>
    </row>
    <row r="26" spans="1:6" x14ac:dyDescent="0.3">
      <c r="A26" s="12">
        <v>71</v>
      </c>
      <c r="B26" s="39" t="s">
        <v>28</v>
      </c>
      <c r="C26" s="37">
        <v>3</v>
      </c>
      <c r="D26" s="37">
        <v>1</v>
      </c>
      <c r="E26" s="37">
        <v>0</v>
      </c>
      <c r="F26" s="37">
        <v>0</v>
      </c>
    </row>
    <row r="27" spans="1:6" x14ac:dyDescent="0.3">
      <c r="A27" s="12">
        <v>73</v>
      </c>
      <c r="B27" s="189" t="s">
        <v>29</v>
      </c>
      <c r="C27" s="37">
        <v>18</v>
      </c>
      <c r="D27" s="37">
        <v>1</v>
      </c>
      <c r="E27" s="37">
        <v>0</v>
      </c>
      <c r="F27" s="37">
        <v>0</v>
      </c>
    </row>
    <row r="28" spans="1:6" x14ac:dyDescent="0.3">
      <c r="A28" s="12">
        <v>74</v>
      </c>
      <c r="B28" s="189" t="s">
        <v>30</v>
      </c>
      <c r="C28" s="37">
        <v>23</v>
      </c>
      <c r="D28" s="37">
        <v>4</v>
      </c>
      <c r="E28" s="37">
        <v>0</v>
      </c>
      <c r="F28" s="37">
        <v>0</v>
      </c>
    </row>
    <row r="29" spans="1:6" x14ac:dyDescent="0.3">
      <c r="A29" s="12">
        <v>75</v>
      </c>
      <c r="B29" s="189" t="s">
        <v>31</v>
      </c>
      <c r="C29" s="37">
        <v>7</v>
      </c>
      <c r="D29" s="37">
        <v>2</v>
      </c>
      <c r="E29" s="37">
        <v>0</v>
      </c>
      <c r="F29" s="37">
        <v>0</v>
      </c>
    </row>
    <row r="30" spans="1:6" x14ac:dyDescent="0.3">
      <c r="A30" s="12">
        <v>76</v>
      </c>
      <c r="B30" s="189" t="s">
        <v>32</v>
      </c>
      <c r="C30" s="37">
        <v>11</v>
      </c>
      <c r="D30" s="37">
        <v>2</v>
      </c>
      <c r="E30" s="37">
        <v>0</v>
      </c>
      <c r="F30" s="37">
        <v>0</v>
      </c>
    </row>
    <row r="31" spans="1:6" x14ac:dyDescent="0.3">
      <c r="A31" s="12">
        <v>79</v>
      </c>
      <c r="B31" s="189" t="s">
        <v>33</v>
      </c>
      <c r="C31" s="37">
        <v>10</v>
      </c>
      <c r="D31" s="37">
        <v>1</v>
      </c>
      <c r="E31" s="37">
        <v>0</v>
      </c>
      <c r="F31" s="37">
        <v>0</v>
      </c>
    </row>
    <row r="32" spans="1:6" x14ac:dyDescent="0.3">
      <c r="A32" s="12">
        <v>80</v>
      </c>
      <c r="B32" s="189" t="s">
        <v>34</v>
      </c>
      <c r="C32" s="37">
        <v>12</v>
      </c>
      <c r="D32" s="37">
        <v>1</v>
      </c>
      <c r="E32" s="37">
        <v>0</v>
      </c>
      <c r="F32" s="37">
        <v>0</v>
      </c>
    </row>
    <row r="33" spans="1:10" x14ac:dyDescent="0.3">
      <c r="A33" s="12">
        <v>81</v>
      </c>
      <c r="B33" s="189" t="s">
        <v>35</v>
      </c>
      <c r="C33" s="37">
        <v>8</v>
      </c>
      <c r="D33" s="37">
        <v>3</v>
      </c>
      <c r="E33" s="37">
        <v>0</v>
      </c>
      <c r="F33" s="37">
        <v>0</v>
      </c>
    </row>
    <row r="34" spans="1:10" x14ac:dyDescent="0.3">
      <c r="A34" s="12">
        <v>83</v>
      </c>
      <c r="B34" s="189" t="s">
        <v>36</v>
      </c>
      <c r="C34" s="37">
        <v>7</v>
      </c>
      <c r="D34" s="37">
        <v>0</v>
      </c>
      <c r="E34" s="37">
        <v>0</v>
      </c>
      <c r="F34" s="37">
        <v>0</v>
      </c>
    </row>
    <row r="35" spans="1:10" x14ac:dyDescent="0.3">
      <c r="A35" s="12">
        <v>84</v>
      </c>
      <c r="B35" s="189" t="s">
        <v>37</v>
      </c>
      <c r="C35" s="37">
        <v>12</v>
      </c>
      <c r="D35" s="37">
        <v>0</v>
      </c>
      <c r="E35" s="37">
        <v>0</v>
      </c>
      <c r="F35" s="37">
        <v>0</v>
      </c>
    </row>
    <row r="36" spans="1:10" ht="14" x14ac:dyDescent="0.3">
      <c r="A36" s="12">
        <v>85</v>
      </c>
      <c r="B36" s="189" t="s">
        <v>38</v>
      </c>
      <c r="C36" s="37">
        <v>13</v>
      </c>
      <c r="D36" s="37">
        <v>3</v>
      </c>
      <c r="E36" s="37">
        <v>3</v>
      </c>
      <c r="F36" s="37">
        <v>0</v>
      </c>
      <c r="G36" s="11"/>
    </row>
    <row r="37" spans="1:10" ht="14" x14ac:dyDescent="0.3">
      <c r="A37" s="12">
        <v>87</v>
      </c>
      <c r="B37" s="189" t="s">
        <v>39</v>
      </c>
      <c r="C37" s="37">
        <v>3</v>
      </c>
      <c r="D37" s="37">
        <v>1</v>
      </c>
      <c r="E37" s="37">
        <v>0</v>
      </c>
      <c r="F37" s="37">
        <v>0</v>
      </c>
      <c r="H37" s="11"/>
      <c r="I37" s="11"/>
    </row>
    <row r="38" spans="1:10" x14ac:dyDescent="0.3">
      <c r="A38" s="12">
        <v>90</v>
      </c>
      <c r="B38" s="189" t="s">
        <v>40</v>
      </c>
      <c r="C38" s="37">
        <v>12</v>
      </c>
      <c r="D38" s="37">
        <v>0</v>
      </c>
      <c r="E38" s="37">
        <v>0</v>
      </c>
      <c r="F38" s="37">
        <v>0</v>
      </c>
    </row>
    <row r="39" spans="1:10" x14ac:dyDescent="0.3">
      <c r="A39" s="12">
        <v>91</v>
      </c>
      <c r="B39" s="189" t="s">
        <v>41</v>
      </c>
      <c r="C39" s="37">
        <v>12</v>
      </c>
      <c r="D39" s="37">
        <v>0</v>
      </c>
      <c r="E39" s="37">
        <v>0</v>
      </c>
      <c r="F39" s="37">
        <v>0</v>
      </c>
    </row>
    <row r="40" spans="1:10" x14ac:dyDescent="0.3">
      <c r="A40" s="12">
        <v>92</v>
      </c>
      <c r="B40" s="189" t="s">
        <v>42</v>
      </c>
      <c r="C40" s="37">
        <v>7</v>
      </c>
      <c r="D40" s="37">
        <v>0</v>
      </c>
      <c r="E40" s="37">
        <v>0</v>
      </c>
      <c r="F40" s="37">
        <v>0</v>
      </c>
    </row>
    <row r="41" spans="1:10" x14ac:dyDescent="0.3">
      <c r="A41" s="12">
        <v>94</v>
      </c>
      <c r="B41" s="189" t="s">
        <v>43</v>
      </c>
      <c r="C41" s="37">
        <v>5</v>
      </c>
      <c r="D41" s="37">
        <v>0</v>
      </c>
      <c r="E41" s="37">
        <v>0</v>
      </c>
      <c r="F41" s="37">
        <v>0</v>
      </c>
    </row>
    <row r="42" spans="1:10" ht="14" x14ac:dyDescent="0.3">
      <c r="A42" s="12">
        <v>96</v>
      </c>
      <c r="B42" s="189" t="s">
        <v>44</v>
      </c>
      <c r="C42" s="37">
        <v>9</v>
      </c>
      <c r="D42" s="37">
        <v>0</v>
      </c>
      <c r="E42" s="37">
        <v>0</v>
      </c>
      <c r="F42" s="37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37">
        <v>0</v>
      </c>
    </row>
    <row r="44" spans="1:10" s="11" customFormat="1" ht="25.5" customHeight="1" x14ac:dyDescent="0.3">
      <c r="A44" s="50"/>
      <c r="B44" s="11" t="s">
        <v>47</v>
      </c>
      <c r="C44" s="42">
        <f>SUM(C45:C51)</f>
        <v>257</v>
      </c>
      <c r="D44" s="42">
        <f t="shared" ref="D44:F44" si="0">SUM(D45:D51)</f>
        <v>28</v>
      </c>
      <c r="E44" s="42">
        <f t="shared" si="0"/>
        <v>2</v>
      </c>
      <c r="F44" s="42">
        <f t="shared" si="0"/>
        <v>0</v>
      </c>
    </row>
    <row r="45" spans="1:10" x14ac:dyDescent="0.3">
      <c r="A45" s="12">
        <v>66</v>
      </c>
      <c r="B45" s="189" t="s">
        <v>48</v>
      </c>
      <c r="C45" s="37">
        <v>21</v>
      </c>
      <c r="D45" s="37">
        <v>2</v>
      </c>
      <c r="E45" s="37">
        <v>0</v>
      </c>
      <c r="F45" s="37">
        <v>0</v>
      </c>
    </row>
    <row r="46" spans="1:10" x14ac:dyDescent="0.3">
      <c r="A46" s="12">
        <v>78</v>
      </c>
      <c r="B46" s="189" t="s">
        <v>49</v>
      </c>
      <c r="C46" s="37">
        <v>12</v>
      </c>
      <c r="D46" s="37">
        <v>2</v>
      </c>
      <c r="E46" s="37">
        <v>2</v>
      </c>
      <c r="F46" s="37">
        <v>0</v>
      </c>
    </row>
    <row r="47" spans="1:10" x14ac:dyDescent="0.3">
      <c r="A47" s="12">
        <v>89</v>
      </c>
      <c r="B47" s="189" t="s">
        <v>50</v>
      </c>
      <c r="C47" s="37">
        <v>30</v>
      </c>
      <c r="D47" s="37">
        <v>3</v>
      </c>
      <c r="E47" s="37">
        <v>0</v>
      </c>
      <c r="F47" s="37">
        <v>0</v>
      </c>
    </row>
    <row r="48" spans="1:10" x14ac:dyDescent="0.3">
      <c r="A48" s="12">
        <v>93</v>
      </c>
      <c r="B48" s="189" t="s">
        <v>215</v>
      </c>
      <c r="C48" s="37">
        <v>9</v>
      </c>
      <c r="D48" s="37">
        <v>2</v>
      </c>
      <c r="E48" s="37">
        <v>0</v>
      </c>
      <c r="F48" s="37">
        <v>0</v>
      </c>
    </row>
    <row r="49" spans="1:6" x14ac:dyDescent="0.3">
      <c r="A49" s="12">
        <v>95</v>
      </c>
      <c r="B49" s="189" t="s">
        <v>52</v>
      </c>
      <c r="C49" s="37">
        <v>22</v>
      </c>
      <c r="D49" s="37">
        <v>0</v>
      </c>
      <c r="E49" s="37">
        <v>0</v>
      </c>
      <c r="F49" s="37">
        <v>0</v>
      </c>
    </row>
    <row r="50" spans="1:6" x14ac:dyDescent="0.3">
      <c r="A50" s="12">
        <v>97</v>
      </c>
      <c r="B50" s="189" t="s">
        <v>53</v>
      </c>
      <c r="C50" s="37">
        <v>22</v>
      </c>
      <c r="D50" s="37">
        <v>2</v>
      </c>
      <c r="E50" s="37">
        <v>0</v>
      </c>
      <c r="F50" s="37">
        <v>0</v>
      </c>
    </row>
    <row r="51" spans="1:6" x14ac:dyDescent="0.3">
      <c r="A51" s="12">
        <v>77</v>
      </c>
      <c r="B51" s="191" t="s">
        <v>54</v>
      </c>
      <c r="C51" s="37">
        <v>141</v>
      </c>
      <c r="D51" s="37">
        <v>17</v>
      </c>
      <c r="E51" s="37">
        <v>0</v>
      </c>
      <c r="F51" s="37">
        <v>0</v>
      </c>
    </row>
    <row r="52" spans="1:6" x14ac:dyDescent="0.3">
      <c r="C52" s="37"/>
      <c r="D52" s="51"/>
      <c r="E52" s="37"/>
      <c r="F52" s="37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188"/>
      <c r="C60" s="54"/>
      <c r="D60" s="54"/>
      <c r="E60" s="54"/>
      <c r="F60" s="54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7B4E-39A2-491B-909C-2436F2C7AE4C}">
  <sheetPr codeName="Sheet48">
    <tabColor rgb="FFFF0000"/>
  </sheetPr>
  <dimension ref="B2:F58"/>
  <sheetViews>
    <sheetView workbookViewId="0">
      <selection activeCell="A4" sqref="A2:J4"/>
    </sheetView>
  </sheetViews>
  <sheetFormatPr defaultRowHeight="13" x14ac:dyDescent="0.3"/>
  <cols>
    <col min="2" max="2" width="25.7265625" bestFit="1" customWidth="1"/>
    <col min="4" max="4" width="24.7265625" bestFit="1" customWidth="1"/>
    <col min="5" max="5" width="21.1796875" bestFit="1" customWidth="1"/>
    <col min="6" max="6" width="18.81640625" bestFit="1" customWidth="1"/>
  </cols>
  <sheetData>
    <row r="2" spans="2:6" x14ac:dyDescent="0.3">
      <c r="C2" t="s">
        <v>1</v>
      </c>
      <c r="D2" t="s">
        <v>77</v>
      </c>
    </row>
    <row r="3" spans="2:6" x14ac:dyDescent="0.3">
      <c r="D3" t="s">
        <v>3</v>
      </c>
      <c r="E3" t="s">
        <v>78</v>
      </c>
      <c r="F3" t="s">
        <v>5</v>
      </c>
    </row>
    <row r="4" spans="2:6" x14ac:dyDescent="0.3">
      <c r="B4" t="s">
        <v>6</v>
      </c>
      <c r="C4" s="14">
        <f>'(2018-19b)'!C5+'(2018-19b)'!D5+'(2018-19c)'!C4+'(2018-19d)'!C4</f>
        <v>2646</v>
      </c>
      <c r="D4" s="14">
        <f>'(2018-19b)'!E5+'(2018-19b)'!F5+'(2018-19c)'!D4+'(2018-19d)'!D4</f>
        <v>340</v>
      </c>
      <c r="E4" s="14">
        <f>'(2018-19b)'!G5+'(2018-19b)'!H5+'(2018-19c)'!E4+'(2018-19d)'!E4</f>
        <v>54</v>
      </c>
      <c r="F4" s="14">
        <f>'(2018-19b)'!I5+'(2018-19b)'!J5+'(2018-19c)'!F4+'(2018-19d)'!F4</f>
        <v>0</v>
      </c>
    </row>
    <row r="5" spans="2:6" x14ac:dyDescent="0.3">
      <c r="B5" t="s">
        <v>210</v>
      </c>
      <c r="C5" s="14">
        <f>'(2018-19b)'!C6+'(2018-19b)'!D6+'(2018-19c)'!C5+'(2018-19d)'!C5</f>
        <v>1789</v>
      </c>
      <c r="D5" s="14">
        <f>'(2018-19b)'!E6+'(2018-19b)'!F6+'(2018-19c)'!D5+'(2018-19d)'!D5</f>
        <v>227</v>
      </c>
      <c r="E5" s="14">
        <f>'(2018-19b)'!G6+'(2018-19b)'!H6+'(2018-19c)'!E5+'(2018-19d)'!E5</f>
        <v>42</v>
      </c>
      <c r="F5" s="14">
        <f>'(2018-19b)'!I6+'(2018-19b)'!J6+'(2018-19c)'!F5+'(2018-19d)'!F5</f>
        <v>0</v>
      </c>
    </row>
    <row r="6" spans="2:6" x14ac:dyDescent="0.3">
      <c r="B6" t="s">
        <v>8</v>
      </c>
      <c r="C6" s="14">
        <f>'(2018-19b)'!C7+'(2018-19b)'!D7+'(2018-19c)'!C6+'(2018-19d)'!C6</f>
        <v>51</v>
      </c>
      <c r="D6" s="14">
        <f>'(2018-19b)'!E7+'(2018-19b)'!F7+'(2018-19c)'!D6+'(2018-19d)'!D6</f>
        <v>5</v>
      </c>
      <c r="E6" s="14">
        <f>'(2018-19b)'!G7+'(2018-19b)'!H7+'(2018-19c)'!E6+'(2018-19d)'!E6</f>
        <v>0</v>
      </c>
      <c r="F6" s="14">
        <f>'(2018-19b)'!I7+'(2018-19b)'!J7+'(2018-19c)'!F6+'(2018-19d)'!F6</f>
        <v>0</v>
      </c>
    </row>
    <row r="7" spans="2:6" x14ac:dyDescent="0.3">
      <c r="B7" t="s">
        <v>9</v>
      </c>
      <c r="C7" s="14">
        <f>'(2018-19b)'!C8+'(2018-19b)'!D8+'(2018-19c)'!C7+'(2018-19d)'!C7</f>
        <v>53</v>
      </c>
      <c r="D7" s="14">
        <f>'(2018-19b)'!E8+'(2018-19b)'!F8+'(2018-19c)'!D7+'(2018-19d)'!D7</f>
        <v>5</v>
      </c>
      <c r="E7" s="14">
        <f>'(2018-19b)'!G8+'(2018-19b)'!H8+'(2018-19c)'!E7+'(2018-19d)'!E7</f>
        <v>1</v>
      </c>
      <c r="F7" s="14">
        <f>'(2018-19b)'!I8+'(2018-19b)'!J8+'(2018-19c)'!F7+'(2018-19d)'!F7</f>
        <v>0</v>
      </c>
    </row>
    <row r="8" spans="2:6" x14ac:dyDescent="0.3">
      <c r="B8" t="s">
        <v>10</v>
      </c>
      <c r="C8" s="14">
        <f>'(2018-19b)'!C9+'(2018-19b)'!D9+'(2018-19c)'!C8+'(2018-19d)'!C8</f>
        <v>56</v>
      </c>
      <c r="D8" s="14">
        <f>'(2018-19b)'!E9+'(2018-19b)'!F9+'(2018-19c)'!D8+'(2018-19d)'!D8</f>
        <v>6</v>
      </c>
      <c r="E8" s="14">
        <f>'(2018-19b)'!G9+'(2018-19b)'!H9+'(2018-19c)'!E8+'(2018-19d)'!E8</f>
        <v>1</v>
      </c>
      <c r="F8" s="14">
        <f>'(2018-19b)'!I9+'(2018-19b)'!J9+'(2018-19c)'!F8+'(2018-19d)'!F8</f>
        <v>0</v>
      </c>
    </row>
    <row r="9" spans="2:6" x14ac:dyDescent="0.3">
      <c r="B9" t="s">
        <v>11</v>
      </c>
      <c r="C9" s="14">
        <f>'(2018-19b)'!C10+'(2018-19b)'!D10+'(2018-19c)'!C9+'(2018-19d)'!C9</f>
        <v>36</v>
      </c>
      <c r="D9" s="14">
        <f>'(2018-19b)'!E10+'(2018-19b)'!F10+'(2018-19c)'!D9+'(2018-19d)'!D9</f>
        <v>6</v>
      </c>
      <c r="E9" s="14">
        <f>'(2018-19b)'!G10+'(2018-19b)'!H10+'(2018-19c)'!E9+'(2018-19d)'!E9</f>
        <v>0</v>
      </c>
      <c r="F9" s="14">
        <f>'(2018-19b)'!I10+'(2018-19b)'!J10+'(2018-19c)'!F9+'(2018-19d)'!F9</f>
        <v>0</v>
      </c>
    </row>
    <row r="10" spans="2:6" x14ac:dyDescent="0.3">
      <c r="B10" t="s">
        <v>12</v>
      </c>
      <c r="C10" s="14">
        <f>'(2018-19b)'!C11+'(2018-19b)'!D11+'(2018-19c)'!C10+'(2018-19d)'!C10</f>
        <v>122</v>
      </c>
      <c r="D10" s="14">
        <f>'(2018-19b)'!E11+'(2018-19b)'!F11+'(2018-19c)'!D10+'(2018-19d)'!D10</f>
        <v>5</v>
      </c>
      <c r="E10" s="14">
        <f>'(2018-19b)'!G11+'(2018-19b)'!H11+'(2018-19c)'!E10+'(2018-19d)'!E10</f>
        <v>2</v>
      </c>
      <c r="F10" s="14">
        <f>'(2018-19b)'!I11+'(2018-19b)'!J11+'(2018-19c)'!F10+'(2018-19d)'!F10</f>
        <v>0</v>
      </c>
    </row>
    <row r="11" spans="2:6" x14ac:dyDescent="0.3">
      <c r="B11" t="s">
        <v>13</v>
      </c>
      <c r="C11" s="14">
        <f>'(2018-19b)'!C12+'(2018-19b)'!D12+'(2018-19c)'!C11+'(2018-19d)'!C11</f>
        <v>35</v>
      </c>
      <c r="D11" s="14">
        <f>'(2018-19b)'!E12+'(2018-19b)'!F12+'(2018-19c)'!D11+'(2018-19d)'!D11</f>
        <v>0</v>
      </c>
      <c r="E11" s="14">
        <f>'(2018-19b)'!G12+'(2018-19b)'!H12+'(2018-19c)'!E11+'(2018-19d)'!E11</f>
        <v>4</v>
      </c>
      <c r="F11" s="14">
        <f>'(2018-19b)'!I12+'(2018-19b)'!J12+'(2018-19c)'!F11+'(2018-19d)'!F11</f>
        <v>0</v>
      </c>
    </row>
    <row r="12" spans="2:6" x14ac:dyDescent="0.3">
      <c r="B12" t="s">
        <v>14</v>
      </c>
      <c r="C12" s="14">
        <f>'(2018-19b)'!C13+'(2018-19b)'!D13+'(2018-19c)'!C12+'(2018-19d)'!C12</f>
        <v>13</v>
      </c>
      <c r="D12" s="14">
        <f>'(2018-19b)'!E13+'(2018-19b)'!F13+'(2018-19c)'!D12+'(2018-19d)'!D12</f>
        <v>3</v>
      </c>
      <c r="E12" s="14">
        <f>'(2018-19b)'!G13+'(2018-19b)'!H13+'(2018-19c)'!E12+'(2018-19d)'!E12</f>
        <v>3</v>
      </c>
      <c r="F12" s="14">
        <f>'(2018-19b)'!I13+'(2018-19b)'!J13+'(2018-19c)'!F12+'(2018-19d)'!F12</f>
        <v>0</v>
      </c>
    </row>
    <row r="13" spans="2:6" x14ac:dyDescent="0.3">
      <c r="B13" t="s">
        <v>15</v>
      </c>
      <c r="C13" s="14">
        <f>'(2018-19b)'!C14+'(2018-19b)'!D14+'(2018-19c)'!C13+'(2018-19d)'!C13</f>
        <v>38</v>
      </c>
      <c r="D13" s="14">
        <f>'(2018-19b)'!E14+'(2018-19b)'!F14+'(2018-19c)'!D13+'(2018-19d)'!D13</f>
        <v>4</v>
      </c>
      <c r="E13" s="14">
        <f>'(2018-19b)'!G14+'(2018-19b)'!H14+'(2018-19c)'!E13+'(2018-19d)'!E13</f>
        <v>4</v>
      </c>
      <c r="F13" s="14">
        <f>'(2018-19b)'!I14+'(2018-19b)'!J14+'(2018-19c)'!F13+'(2018-19d)'!F13</f>
        <v>0</v>
      </c>
    </row>
    <row r="14" spans="2:6" x14ac:dyDescent="0.3">
      <c r="B14" t="s">
        <v>16</v>
      </c>
      <c r="C14" s="14">
        <f>'(2018-19b)'!C15+'(2018-19b)'!D15+'(2018-19c)'!C14+'(2018-19d)'!C14</f>
        <v>29</v>
      </c>
      <c r="D14" s="14">
        <f>'(2018-19b)'!E15+'(2018-19b)'!F15+'(2018-19c)'!D14+'(2018-19d)'!D14</f>
        <v>3</v>
      </c>
      <c r="E14" s="14">
        <f>'(2018-19b)'!G15+'(2018-19b)'!H15+'(2018-19c)'!E14+'(2018-19d)'!E14</f>
        <v>0</v>
      </c>
      <c r="F14" s="14">
        <f>'(2018-19b)'!I15+'(2018-19b)'!J15+'(2018-19c)'!F14+'(2018-19d)'!F14</f>
        <v>0</v>
      </c>
    </row>
    <row r="15" spans="2:6" x14ac:dyDescent="0.3">
      <c r="B15" t="s">
        <v>17</v>
      </c>
      <c r="C15" s="14">
        <f>'(2018-19b)'!C16+'(2018-19b)'!D16+'(2018-19c)'!C15+'(2018-19d)'!C15</f>
        <v>26</v>
      </c>
      <c r="D15" s="14">
        <f>'(2018-19b)'!E16+'(2018-19b)'!F16+'(2018-19c)'!D15+'(2018-19d)'!D15</f>
        <v>4</v>
      </c>
      <c r="E15" s="14">
        <f>'(2018-19b)'!G16+'(2018-19b)'!H16+'(2018-19c)'!E15+'(2018-19d)'!E15</f>
        <v>3</v>
      </c>
      <c r="F15" s="14">
        <f>'(2018-19b)'!I16+'(2018-19b)'!J16+'(2018-19c)'!F15+'(2018-19d)'!F15</f>
        <v>0</v>
      </c>
    </row>
    <row r="16" spans="2:6" x14ac:dyDescent="0.3">
      <c r="B16" t="s">
        <v>18</v>
      </c>
      <c r="C16" s="14">
        <f>'(2018-19b)'!C17+'(2018-19b)'!D17+'(2018-19c)'!C16+'(2018-19d)'!C16</f>
        <v>52</v>
      </c>
      <c r="D16" s="14">
        <f>'(2018-19b)'!E17+'(2018-19b)'!F17+'(2018-19c)'!D16+'(2018-19d)'!D16</f>
        <v>11</v>
      </c>
      <c r="E16" s="14">
        <f>'(2018-19b)'!G17+'(2018-19b)'!H17+'(2018-19c)'!E16+'(2018-19d)'!E16</f>
        <v>0</v>
      </c>
      <c r="F16" s="14">
        <f>'(2018-19b)'!I17+'(2018-19b)'!J17+'(2018-19c)'!F16+'(2018-19d)'!F16</f>
        <v>0</v>
      </c>
    </row>
    <row r="17" spans="2:6" x14ac:dyDescent="0.3">
      <c r="B17" t="s">
        <v>122</v>
      </c>
      <c r="C17" s="14">
        <f>'(2018-19b)'!C18+'(2018-19b)'!D18+'(2018-19c)'!C17+'(2018-19d)'!C17</f>
        <v>73</v>
      </c>
      <c r="D17" s="14">
        <f>'(2018-19b)'!E18+'(2018-19b)'!F18+'(2018-19c)'!D17+'(2018-19d)'!D17</f>
        <v>10</v>
      </c>
      <c r="E17" s="14">
        <f>'(2018-19b)'!G18+'(2018-19b)'!H18+'(2018-19c)'!E17+'(2018-19d)'!E17</f>
        <v>0</v>
      </c>
      <c r="F17" s="14">
        <f>'(2018-19b)'!I18+'(2018-19b)'!J18+'(2018-19c)'!F17+'(2018-19d)'!F17</f>
        <v>0</v>
      </c>
    </row>
    <row r="18" spans="2:6" x14ac:dyDescent="0.3">
      <c r="B18" t="s">
        <v>20</v>
      </c>
      <c r="C18" s="14">
        <f>'(2018-19b)'!C19+'(2018-19b)'!D19+'(2018-19c)'!C18+'(2018-19d)'!C18</f>
        <v>18</v>
      </c>
      <c r="D18" s="14">
        <f>'(2018-19b)'!E19+'(2018-19b)'!F19+'(2018-19c)'!D18+'(2018-19d)'!D18</f>
        <v>2</v>
      </c>
      <c r="E18" s="14">
        <f>'(2018-19b)'!G19+'(2018-19b)'!H19+'(2018-19c)'!E18+'(2018-19d)'!E18</f>
        <v>0</v>
      </c>
      <c r="F18" s="14">
        <f>'(2018-19b)'!I19+'(2018-19b)'!J19+'(2018-19c)'!F18+'(2018-19d)'!F18</f>
        <v>0</v>
      </c>
    </row>
    <row r="19" spans="2:6" x14ac:dyDescent="0.3">
      <c r="B19" t="s">
        <v>21</v>
      </c>
      <c r="C19" s="14">
        <f>'(2018-19b)'!C20+'(2018-19b)'!D20+'(2018-19c)'!C19+'(2018-19d)'!C19</f>
        <v>66</v>
      </c>
      <c r="D19" s="14">
        <f>'(2018-19b)'!E20+'(2018-19b)'!F20+'(2018-19c)'!D19+'(2018-19d)'!D19</f>
        <v>5</v>
      </c>
      <c r="E19" s="14">
        <f>'(2018-19b)'!G20+'(2018-19b)'!H20+'(2018-19c)'!E19+'(2018-19d)'!E19</f>
        <v>0</v>
      </c>
      <c r="F19" s="14">
        <f>'(2018-19b)'!I20+'(2018-19b)'!J20+'(2018-19c)'!F19+'(2018-19d)'!F19</f>
        <v>0</v>
      </c>
    </row>
    <row r="20" spans="2:6" x14ac:dyDescent="0.3">
      <c r="B20" t="s">
        <v>22</v>
      </c>
      <c r="C20" s="14">
        <f>'(2018-19b)'!C21+'(2018-19b)'!D21+'(2018-19c)'!C20+'(2018-19d)'!C20</f>
        <v>97</v>
      </c>
      <c r="D20" s="14">
        <f>'(2018-19b)'!E21+'(2018-19b)'!F21+'(2018-19c)'!D20+'(2018-19d)'!D20</f>
        <v>19</v>
      </c>
      <c r="E20" s="14">
        <f>'(2018-19b)'!G21+'(2018-19b)'!H21+'(2018-19c)'!E20+'(2018-19d)'!E20</f>
        <v>3</v>
      </c>
      <c r="F20" s="14">
        <f>'(2018-19b)'!I21+'(2018-19b)'!J21+'(2018-19c)'!F20+'(2018-19d)'!F20</f>
        <v>0</v>
      </c>
    </row>
    <row r="21" spans="2:6" x14ac:dyDescent="0.3">
      <c r="B21" t="s">
        <v>23</v>
      </c>
      <c r="C21" s="14">
        <f>'(2018-19b)'!C22+'(2018-19b)'!D22+'(2018-19c)'!C21+'(2018-19d)'!C21</f>
        <v>38</v>
      </c>
      <c r="D21" s="14">
        <f>'(2018-19b)'!E22+'(2018-19b)'!F22+'(2018-19c)'!D21+'(2018-19d)'!D21</f>
        <v>0</v>
      </c>
      <c r="E21" s="14">
        <f>'(2018-19b)'!G22+'(2018-19b)'!H22+'(2018-19c)'!E21+'(2018-19d)'!E21</f>
        <v>3</v>
      </c>
      <c r="F21" s="14">
        <f>'(2018-19b)'!I22+'(2018-19b)'!J22+'(2018-19c)'!F21+'(2018-19d)'!F21</f>
        <v>0</v>
      </c>
    </row>
    <row r="22" spans="2:6" x14ac:dyDescent="0.3">
      <c r="B22" t="s">
        <v>24</v>
      </c>
      <c r="C22" s="14">
        <f>'(2018-19b)'!C23+'(2018-19b)'!D23+'(2018-19c)'!C22+'(2018-19d)'!C22</f>
        <v>61</v>
      </c>
      <c r="D22" s="14">
        <f>'(2018-19b)'!E23+'(2018-19b)'!F23+'(2018-19c)'!D22+'(2018-19d)'!D22</f>
        <v>13</v>
      </c>
      <c r="E22" s="14">
        <f>'(2018-19b)'!G23+'(2018-19b)'!H23+'(2018-19c)'!E22+'(2018-19d)'!E22</f>
        <v>1</v>
      </c>
      <c r="F22" s="14">
        <f>'(2018-19b)'!I23+'(2018-19b)'!J23+'(2018-19c)'!F22+'(2018-19d)'!F22</f>
        <v>0</v>
      </c>
    </row>
    <row r="23" spans="2:6" x14ac:dyDescent="0.3">
      <c r="B23" t="s">
        <v>25</v>
      </c>
      <c r="C23" s="14">
        <f>'(2018-19b)'!C24+'(2018-19b)'!D24+'(2018-19c)'!C23+'(2018-19d)'!C23</f>
        <v>71</v>
      </c>
      <c r="D23" s="14">
        <f>'(2018-19b)'!E24+'(2018-19b)'!F24+'(2018-19c)'!D23+'(2018-19d)'!D23</f>
        <v>9</v>
      </c>
      <c r="E23" s="14">
        <f>'(2018-19b)'!G24+'(2018-19b)'!H24+'(2018-19c)'!E23+'(2018-19d)'!E23</f>
        <v>1</v>
      </c>
      <c r="F23" s="14">
        <f>'(2018-19b)'!I24+'(2018-19b)'!J24+'(2018-19c)'!F23+'(2018-19d)'!F23</f>
        <v>0</v>
      </c>
    </row>
    <row r="24" spans="2:6" x14ac:dyDescent="0.3">
      <c r="B24" t="s">
        <v>26</v>
      </c>
      <c r="C24" s="14">
        <f>'(2018-19b)'!C25+'(2018-19b)'!D25+'(2018-19c)'!C24+'(2018-19d)'!C24</f>
        <v>61</v>
      </c>
      <c r="D24" s="14">
        <f>'(2018-19b)'!E25+'(2018-19b)'!F25+'(2018-19c)'!D24+'(2018-19d)'!D24</f>
        <v>12</v>
      </c>
      <c r="E24" s="14">
        <f>'(2018-19b)'!G25+'(2018-19b)'!H25+'(2018-19c)'!E24+'(2018-19d)'!E24</f>
        <v>2</v>
      </c>
      <c r="F24" s="14">
        <f>'(2018-19b)'!I25+'(2018-19b)'!J25+'(2018-19c)'!F24+'(2018-19d)'!F24</f>
        <v>0</v>
      </c>
    </row>
    <row r="25" spans="2:6" x14ac:dyDescent="0.3">
      <c r="B25" t="s">
        <v>27</v>
      </c>
      <c r="C25" s="14">
        <f>'(2018-19b)'!C26+'(2018-19b)'!D26+'(2018-19c)'!C25+'(2018-19d)'!C25</f>
        <v>80</v>
      </c>
      <c r="D25" s="14">
        <f>'(2018-19b)'!E26+'(2018-19b)'!F26+'(2018-19c)'!D25+'(2018-19d)'!D25</f>
        <v>10</v>
      </c>
      <c r="E25" s="14">
        <f>'(2018-19b)'!G26+'(2018-19b)'!H26+'(2018-19c)'!E25+'(2018-19d)'!E25</f>
        <v>2</v>
      </c>
      <c r="F25" s="14">
        <f>'(2018-19b)'!I26+'(2018-19b)'!J26+'(2018-19c)'!F25+'(2018-19d)'!F25</f>
        <v>0</v>
      </c>
    </row>
    <row r="26" spans="2:6" x14ac:dyDescent="0.3">
      <c r="B26" t="s">
        <v>28</v>
      </c>
      <c r="C26" s="14">
        <f>'(2018-19b)'!C27+'(2018-19b)'!D27+'(2018-19c)'!C26+'(2018-19d)'!C26</f>
        <v>5</v>
      </c>
      <c r="D26" s="14">
        <f>'(2018-19b)'!E27+'(2018-19b)'!F27+'(2018-19c)'!D26+'(2018-19d)'!D26</f>
        <v>0</v>
      </c>
      <c r="E26" s="14">
        <f>'(2018-19b)'!G27+'(2018-19b)'!H27+'(2018-19c)'!E26+'(2018-19d)'!E26</f>
        <v>0</v>
      </c>
      <c r="F26" s="14">
        <f>'(2018-19b)'!I27+'(2018-19b)'!J27+'(2018-19c)'!F26+'(2018-19d)'!F26</f>
        <v>0</v>
      </c>
    </row>
    <row r="27" spans="2:6" x14ac:dyDescent="0.3">
      <c r="B27" t="s">
        <v>29</v>
      </c>
      <c r="C27" s="14">
        <f>'(2018-19b)'!C28+'(2018-19b)'!D28+'(2018-19c)'!C27+'(2018-19d)'!C27</f>
        <v>81</v>
      </c>
      <c r="D27" s="14">
        <f>'(2018-19b)'!E28+'(2018-19b)'!F28+'(2018-19c)'!D27+'(2018-19d)'!D27</f>
        <v>5</v>
      </c>
      <c r="E27" s="14">
        <f>'(2018-19b)'!G28+'(2018-19b)'!H28+'(2018-19c)'!E27+'(2018-19d)'!E27</f>
        <v>0</v>
      </c>
      <c r="F27" s="14">
        <f>'(2018-19b)'!I28+'(2018-19b)'!J28+'(2018-19c)'!F27+'(2018-19d)'!F27</f>
        <v>0</v>
      </c>
    </row>
    <row r="28" spans="2:6" x14ac:dyDescent="0.3">
      <c r="B28" t="s">
        <v>30</v>
      </c>
      <c r="C28" s="14">
        <f>'(2018-19b)'!C29+'(2018-19b)'!D29+'(2018-19c)'!C28+'(2018-19d)'!C28</f>
        <v>52</v>
      </c>
      <c r="D28" s="14">
        <f>'(2018-19b)'!E29+'(2018-19b)'!F29+'(2018-19c)'!D28+'(2018-19d)'!D28</f>
        <v>7</v>
      </c>
      <c r="E28" s="14">
        <f>'(2018-19b)'!G29+'(2018-19b)'!H29+'(2018-19c)'!E28+'(2018-19d)'!E28</f>
        <v>0</v>
      </c>
      <c r="F28" s="14">
        <f>'(2018-19b)'!I29+'(2018-19b)'!J29+'(2018-19c)'!F28+'(2018-19d)'!F28</f>
        <v>0</v>
      </c>
    </row>
    <row r="29" spans="2:6" x14ac:dyDescent="0.3">
      <c r="B29" t="s">
        <v>31</v>
      </c>
      <c r="C29" s="14">
        <f>'(2018-19b)'!C30+'(2018-19b)'!D30+'(2018-19c)'!C29+'(2018-19d)'!C29</f>
        <v>45</v>
      </c>
      <c r="D29" s="14">
        <f>'(2018-19b)'!E30+'(2018-19b)'!F30+'(2018-19c)'!D29+'(2018-19d)'!D29</f>
        <v>5</v>
      </c>
      <c r="E29" s="14">
        <f>'(2018-19b)'!G30+'(2018-19b)'!H30+'(2018-19c)'!E29+'(2018-19d)'!E29</f>
        <v>1</v>
      </c>
      <c r="F29" s="14">
        <f>'(2018-19b)'!I30+'(2018-19b)'!J30+'(2018-19c)'!F29+'(2018-19d)'!F29</f>
        <v>0</v>
      </c>
    </row>
    <row r="30" spans="2:6" x14ac:dyDescent="0.3">
      <c r="B30" t="s">
        <v>32</v>
      </c>
      <c r="C30" s="14">
        <f>'(2018-19b)'!C31+'(2018-19b)'!D31+'(2018-19c)'!C30+'(2018-19d)'!C30</f>
        <v>46</v>
      </c>
      <c r="D30" s="14">
        <f>'(2018-19b)'!E31+'(2018-19b)'!F31+'(2018-19c)'!D30+'(2018-19d)'!D30</f>
        <v>7</v>
      </c>
      <c r="E30" s="14">
        <f>'(2018-19b)'!G31+'(2018-19b)'!H31+'(2018-19c)'!E30+'(2018-19d)'!E30</f>
        <v>3</v>
      </c>
      <c r="F30" s="14">
        <f>'(2018-19b)'!I31+'(2018-19b)'!J31+'(2018-19c)'!F30+'(2018-19d)'!F30</f>
        <v>0</v>
      </c>
    </row>
    <row r="31" spans="2:6" x14ac:dyDescent="0.3">
      <c r="B31" t="s">
        <v>33</v>
      </c>
      <c r="C31" s="14">
        <f>'(2018-19b)'!C32+'(2018-19b)'!D32+'(2018-19c)'!C31+'(2018-19d)'!C31</f>
        <v>60</v>
      </c>
      <c r="D31" s="14">
        <f>'(2018-19b)'!E32+'(2018-19b)'!F32+'(2018-19c)'!D31+'(2018-19d)'!D31</f>
        <v>10</v>
      </c>
      <c r="E31" s="14">
        <f>'(2018-19b)'!G32+'(2018-19b)'!H32+'(2018-19c)'!E31+'(2018-19d)'!E31</f>
        <v>0</v>
      </c>
      <c r="F31" s="14">
        <f>'(2018-19b)'!I32+'(2018-19b)'!J32+'(2018-19c)'!F31+'(2018-19d)'!F31</f>
        <v>0</v>
      </c>
    </row>
    <row r="32" spans="2:6" x14ac:dyDescent="0.3">
      <c r="B32" t="s">
        <v>34</v>
      </c>
      <c r="C32" s="14">
        <f>'(2018-19b)'!C33+'(2018-19b)'!D33+'(2018-19c)'!C32+'(2018-19d)'!C32</f>
        <v>59</v>
      </c>
      <c r="D32" s="14">
        <f>'(2018-19b)'!E33+'(2018-19b)'!F33+'(2018-19c)'!D32+'(2018-19d)'!D32</f>
        <v>9</v>
      </c>
      <c r="E32" s="14">
        <f>'(2018-19b)'!G33+'(2018-19b)'!H33+'(2018-19c)'!E32+'(2018-19d)'!E32</f>
        <v>2</v>
      </c>
      <c r="F32" s="14">
        <f>'(2018-19b)'!I33+'(2018-19b)'!J33+'(2018-19c)'!F32+'(2018-19d)'!F32</f>
        <v>0</v>
      </c>
    </row>
    <row r="33" spans="2:6" x14ac:dyDescent="0.3">
      <c r="B33" t="s">
        <v>35</v>
      </c>
      <c r="C33" s="14">
        <f>'(2018-19b)'!C34+'(2018-19b)'!D34+'(2018-19c)'!C33+'(2018-19d)'!C33</f>
        <v>50</v>
      </c>
      <c r="D33" s="14">
        <f>'(2018-19b)'!E34+'(2018-19b)'!F34+'(2018-19c)'!D33+'(2018-19d)'!D33</f>
        <v>5</v>
      </c>
      <c r="E33" s="14">
        <f>'(2018-19b)'!G34+'(2018-19b)'!H34+'(2018-19c)'!E33+'(2018-19d)'!E33</f>
        <v>1</v>
      </c>
      <c r="F33" s="14">
        <f>'(2018-19b)'!I34+'(2018-19b)'!J34+'(2018-19c)'!F33+'(2018-19d)'!F33</f>
        <v>0</v>
      </c>
    </row>
    <row r="34" spans="2:6" x14ac:dyDescent="0.3">
      <c r="B34" t="s">
        <v>36</v>
      </c>
      <c r="C34" s="14">
        <f>'(2018-19b)'!C35+'(2018-19b)'!D35+'(2018-19c)'!C34+'(2018-19d)'!C34</f>
        <v>17</v>
      </c>
      <c r="D34" s="14">
        <f>'(2018-19b)'!E35+'(2018-19b)'!F35+'(2018-19c)'!D34+'(2018-19d)'!D34</f>
        <v>3</v>
      </c>
      <c r="E34" s="14">
        <f>'(2018-19b)'!G35+'(2018-19b)'!H35+'(2018-19c)'!E34+'(2018-19d)'!E34</f>
        <v>0</v>
      </c>
      <c r="F34" s="14">
        <f>'(2018-19b)'!I35+'(2018-19b)'!J35+'(2018-19c)'!F34+'(2018-19d)'!F34</f>
        <v>0</v>
      </c>
    </row>
    <row r="35" spans="2:6" x14ac:dyDescent="0.3">
      <c r="B35" t="s">
        <v>37</v>
      </c>
      <c r="C35" s="14">
        <f>'(2018-19b)'!C36+'(2018-19b)'!D36+'(2018-19c)'!C35+'(2018-19d)'!C35</f>
        <v>39</v>
      </c>
      <c r="D35" s="14">
        <f>'(2018-19b)'!E36+'(2018-19b)'!F36+'(2018-19c)'!D35+'(2018-19d)'!D35</f>
        <v>6</v>
      </c>
      <c r="E35" s="14">
        <f>'(2018-19b)'!G36+'(2018-19b)'!H36+'(2018-19c)'!E35+'(2018-19d)'!E35</f>
        <v>1</v>
      </c>
      <c r="F35" s="14">
        <f>'(2018-19b)'!I36+'(2018-19b)'!J36+'(2018-19c)'!F35+'(2018-19d)'!F35</f>
        <v>0</v>
      </c>
    </row>
    <row r="36" spans="2:6" x14ac:dyDescent="0.3">
      <c r="B36" t="s">
        <v>38</v>
      </c>
      <c r="C36" s="14">
        <f>'(2018-19b)'!C37+'(2018-19b)'!D37+'(2018-19c)'!C36+'(2018-19d)'!C36</f>
        <v>39</v>
      </c>
      <c r="D36" s="14">
        <f>'(2018-19b)'!E37+'(2018-19b)'!F37+'(2018-19c)'!D36+'(2018-19d)'!D36</f>
        <v>3</v>
      </c>
      <c r="E36" s="14">
        <f>'(2018-19b)'!G37+'(2018-19b)'!H37+'(2018-19c)'!E36+'(2018-19d)'!E36</f>
        <v>2</v>
      </c>
      <c r="F36" s="14">
        <f>'(2018-19b)'!I37+'(2018-19b)'!J37+'(2018-19c)'!F36+'(2018-19d)'!F36</f>
        <v>0</v>
      </c>
    </row>
    <row r="37" spans="2:6" x14ac:dyDescent="0.3">
      <c r="B37" t="s">
        <v>39</v>
      </c>
      <c r="C37" s="14">
        <f>'(2018-19b)'!C38+'(2018-19b)'!D38+'(2018-19c)'!C37+'(2018-19d)'!C37</f>
        <v>30</v>
      </c>
      <c r="D37" s="14">
        <f>'(2018-19b)'!E38+'(2018-19b)'!F38+'(2018-19c)'!D37+'(2018-19d)'!D37</f>
        <v>1</v>
      </c>
      <c r="E37" s="14">
        <f>'(2018-19b)'!G38+'(2018-19b)'!H38+'(2018-19c)'!E37+'(2018-19d)'!E37</f>
        <v>1</v>
      </c>
      <c r="F37" s="14">
        <f>'(2018-19b)'!I38+'(2018-19b)'!J38+'(2018-19c)'!F37+'(2018-19d)'!F37</f>
        <v>0</v>
      </c>
    </row>
    <row r="38" spans="2:6" x14ac:dyDescent="0.3">
      <c r="B38" t="s">
        <v>40</v>
      </c>
      <c r="C38" s="14">
        <f>'(2018-19b)'!C39+'(2018-19b)'!D39+'(2018-19c)'!C38+'(2018-19d)'!C38</f>
        <v>53</v>
      </c>
      <c r="D38" s="14">
        <f>'(2018-19b)'!E39+'(2018-19b)'!F39+'(2018-19c)'!D38+'(2018-19d)'!D38</f>
        <v>6</v>
      </c>
      <c r="E38" s="14">
        <f>'(2018-19b)'!G39+'(2018-19b)'!H39+'(2018-19c)'!E38+'(2018-19d)'!E38</f>
        <v>0</v>
      </c>
      <c r="F38" s="14">
        <f>'(2018-19b)'!I39+'(2018-19b)'!J39+'(2018-19c)'!F38+'(2018-19d)'!F38</f>
        <v>0</v>
      </c>
    </row>
    <row r="39" spans="2:6" x14ac:dyDescent="0.3">
      <c r="B39" t="s">
        <v>41</v>
      </c>
      <c r="C39" s="14">
        <f>'(2018-19b)'!C40+'(2018-19b)'!D40+'(2018-19c)'!C39+'(2018-19d)'!C39</f>
        <v>28</v>
      </c>
      <c r="D39" s="14">
        <f>'(2018-19b)'!E40+'(2018-19b)'!F40+'(2018-19c)'!D39+'(2018-19d)'!D39</f>
        <v>3</v>
      </c>
      <c r="E39" s="14">
        <f>'(2018-19b)'!G40+'(2018-19b)'!H40+'(2018-19c)'!E39+'(2018-19d)'!E39</f>
        <v>0</v>
      </c>
      <c r="F39" s="14">
        <f>'(2018-19b)'!I40+'(2018-19b)'!J40+'(2018-19c)'!F39+'(2018-19d)'!F39</f>
        <v>0</v>
      </c>
    </row>
    <row r="40" spans="2:6" x14ac:dyDescent="0.3">
      <c r="B40" t="s">
        <v>42</v>
      </c>
      <c r="C40" s="14">
        <f>'(2018-19b)'!C41+'(2018-19b)'!D41+'(2018-19c)'!C40+'(2018-19d)'!C40</f>
        <v>46</v>
      </c>
      <c r="D40" s="14">
        <f>'(2018-19b)'!E41+'(2018-19b)'!F41+'(2018-19c)'!D40+'(2018-19d)'!D40</f>
        <v>16</v>
      </c>
      <c r="E40" s="14">
        <f>'(2018-19b)'!G41+'(2018-19b)'!H41+'(2018-19c)'!E40+'(2018-19d)'!E40</f>
        <v>0</v>
      </c>
      <c r="F40" s="14">
        <f>'(2018-19b)'!I41+'(2018-19b)'!J41+'(2018-19c)'!F40+'(2018-19d)'!F40</f>
        <v>0</v>
      </c>
    </row>
    <row r="41" spans="2:6" x14ac:dyDescent="0.3">
      <c r="B41" t="s">
        <v>43</v>
      </c>
      <c r="C41" s="14">
        <f>'(2018-19b)'!C42+'(2018-19b)'!D42+'(2018-19c)'!C41+'(2018-19d)'!C41</f>
        <v>25</v>
      </c>
      <c r="D41" s="14">
        <f>'(2018-19b)'!E42+'(2018-19b)'!F42+'(2018-19c)'!D41+'(2018-19d)'!D41</f>
        <v>2</v>
      </c>
      <c r="E41" s="14">
        <f>'(2018-19b)'!G42+'(2018-19b)'!H42+'(2018-19c)'!E41+'(2018-19d)'!E41</f>
        <v>0</v>
      </c>
      <c r="F41" s="14">
        <f>'(2018-19b)'!I42+'(2018-19b)'!J42+'(2018-19c)'!F41+'(2018-19d)'!F41</f>
        <v>0</v>
      </c>
    </row>
    <row r="42" spans="2:6" x14ac:dyDescent="0.3">
      <c r="B42" t="s">
        <v>44</v>
      </c>
      <c r="C42" s="14">
        <f>'(2018-19b)'!C43+'(2018-19b)'!D43+'(2018-19c)'!C42+'(2018-19d)'!C42</f>
        <v>38</v>
      </c>
      <c r="D42" s="14">
        <f>'(2018-19b)'!E43+'(2018-19b)'!F43+'(2018-19c)'!D42+'(2018-19d)'!D42</f>
        <v>7</v>
      </c>
      <c r="E42" s="14">
        <f>'(2018-19b)'!G43+'(2018-19b)'!H43+'(2018-19c)'!E42+'(2018-19d)'!E42</f>
        <v>1</v>
      </c>
      <c r="F42" s="14">
        <f>'(2018-19b)'!I43+'(2018-19b)'!J43+'(2018-19c)'!F42+'(2018-19d)'!F42</f>
        <v>0</v>
      </c>
    </row>
    <row r="43" spans="2:6" x14ac:dyDescent="0.3">
      <c r="B43" t="s">
        <v>46</v>
      </c>
      <c r="C43" s="14">
        <f>'(2018-19b)'!C44+'(2018-19b)'!D44+'(2018-19c)'!C43+'(2018-19d)'!C43</f>
        <v>0</v>
      </c>
      <c r="D43" s="14">
        <f>'(2018-19b)'!E44+'(2018-19b)'!F44+'(2018-19c)'!D43+'(2018-19d)'!D43</f>
        <v>0</v>
      </c>
      <c r="E43" s="14">
        <f>'(2018-19b)'!G44+'(2018-19b)'!H44+'(2018-19c)'!E43+'(2018-19d)'!E43</f>
        <v>0</v>
      </c>
      <c r="F43" s="14">
        <f>'(2018-19b)'!I44+'(2018-19b)'!J44+'(2018-19c)'!F43+'(2018-19d)'!F43</f>
        <v>0</v>
      </c>
    </row>
    <row r="44" spans="2:6" x14ac:dyDescent="0.3">
      <c r="B44" t="s">
        <v>47</v>
      </c>
      <c r="C44" s="14">
        <f>'(2018-19b)'!C45+'(2018-19b)'!D45+'(2018-19c)'!C44+'(2018-19d)'!C44</f>
        <v>857</v>
      </c>
      <c r="D44" s="14">
        <f>'(2018-19b)'!E45+'(2018-19b)'!F45+'(2018-19c)'!D44+'(2018-19d)'!D44</f>
        <v>113</v>
      </c>
      <c r="E44" s="14">
        <f>'(2018-19b)'!G45+'(2018-19b)'!H45+'(2018-19c)'!E44+'(2018-19d)'!E44</f>
        <v>12</v>
      </c>
      <c r="F44" s="14">
        <f>'(2018-19b)'!I45+'(2018-19b)'!J45+'(2018-19c)'!F44+'(2018-19d)'!F44</f>
        <v>0</v>
      </c>
    </row>
    <row r="45" spans="2:6" x14ac:dyDescent="0.3">
      <c r="B45" t="s">
        <v>48</v>
      </c>
      <c r="C45" s="14">
        <f>'(2018-19b)'!C46+'(2018-19b)'!D46+'(2018-19c)'!C45+'(2018-19d)'!C45</f>
        <v>99</v>
      </c>
      <c r="D45" s="14">
        <f>'(2018-19b)'!E46+'(2018-19b)'!F46+'(2018-19c)'!D45+'(2018-19d)'!D45</f>
        <v>13</v>
      </c>
      <c r="E45" s="14">
        <f>'(2018-19b)'!G46+'(2018-19b)'!H46+'(2018-19c)'!E45+'(2018-19d)'!E45</f>
        <v>1</v>
      </c>
      <c r="F45" s="14">
        <f>'(2018-19b)'!I46+'(2018-19b)'!J46+'(2018-19c)'!F45+'(2018-19d)'!F45</f>
        <v>0</v>
      </c>
    </row>
    <row r="46" spans="2:6" x14ac:dyDescent="0.3">
      <c r="B46" t="s">
        <v>49</v>
      </c>
      <c r="C46" s="14">
        <f>'(2018-19b)'!C47+'(2018-19b)'!D47+'(2018-19c)'!C46+'(2018-19d)'!C46</f>
        <v>33</v>
      </c>
      <c r="D46" s="14">
        <f>'(2018-19b)'!E47+'(2018-19b)'!F47+'(2018-19c)'!D46+'(2018-19d)'!D46</f>
        <v>6</v>
      </c>
      <c r="E46" s="14">
        <f>'(2018-19b)'!G47+'(2018-19b)'!H47+'(2018-19c)'!E46+'(2018-19d)'!E46</f>
        <v>0</v>
      </c>
      <c r="F46" s="14">
        <f>'(2018-19b)'!I47+'(2018-19b)'!J47+'(2018-19c)'!F46+'(2018-19d)'!F46</f>
        <v>0</v>
      </c>
    </row>
    <row r="47" spans="2:6" x14ac:dyDescent="0.3">
      <c r="B47" t="s">
        <v>50</v>
      </c>
      <c r="C47" s="14">
        <f>'(2018-19b)'!C48+'(2018-19b)'!D48+'(2018-19c)'!C47+'(2018-19d)'!C47</f>
        <v>122</v>
      </c>
      <c r="D47" s="14">
        <f>'(2018-19b)'!E48+'(2018-19b)'!F48+'(2018-19c)'!D47+'(2018-19d)'!D47</f>
        <v>8</v>
      </c>
      <c r="E47" s="14">
        <f>'(2018-19b)'!G48+'(2018-19b)'!H48+'(2018-19c)'!E47+'(2018-19d)'!E47</f>
        <v>0</v>
      </c>
      <c r="F47" s="14">
        <f>'(2018-19b)'!I48+'(2018-19b)'!J48+'(2018-19c)'!F47+'(2018-19d)'!F47</f>
        <v>0</v>
      </c>
    </row>
    <row r="48" spans="2:6" x14ac:dyDescent="0.3">
      <c r="B48" t="s">
        <v>51</v>
      </c>
      <c r="C48" s="14">
        <f>'(2018-19b)'!C49+'(2018-19b)'!D49+'(2018-19c)'!C48+'(2018-19d)'!C48</f>
        <v>28</v>
      </c>
      <c r="D48" s="14">
        <f>'(2018-19b)'!E49+'(2018-19b)'!F49+'(2018-19c)'!D48+'(2018-19d)'!D48</f>
        <v>4</v>
      </c>
      <c r="E48" s="14">
        <f>'(2018-19b)'!G49+'(2018-19b)'!H49+'(2018-19c)'!E48+'(2018-19d)'!E48</f>
        <v>0</v>
      </c>
      <c r="F48" s="14">
        <f>'(2018-19b)'!I49+'(2018-19b)'!J49+'(2018-19c)'!F48+'(2018-19d)'!F48</f>
        <v>0</v>
      </c>
    </row>
    <row r="49" spans="2:6" x14ac:dyDescent="0.3">
      <c r="B49" t="s">
        <v>52</v>
      </c>
      <c r="C49" s="14">
        <f>'(2018-19b)'!C50+'(2018-19b)'!D50+'(2018-19c)'!C49+'(2018-19d)'!C49</f>
        <v>96</v>
      </c>
      <c r="D49" s="14">
        <f>'(2018-19b)'!E50+'(2018-19b)'!F50+'(2018-19c)'!D49+'(2018-19d)'!D49</f>
        <v>9</v>
      </c>
      <c r="E49" s="14">
        <f>'(2018-19b)'!G50+'(2018-19b)'!H50+'(2018-19c)'!E49+'(2018-19d)'!E49</f>
        <v>2</v>
      </c>
      <c r="F49" s="14">
        <f>'(2018-19b)'!I50+'(2018-19b)'!J50+'(2018-19c)'!F49+'(2018-19d)'!F49</f>
        <v>0</v>
      </c>
    </row>
    <row r="50" spans="2:6" x14ac:dyDescent="0.3">
      <c r="B50" t="s">
        <v>53</v>
      </c>
      <c r="C50" s="14">
        <f>'(2018-19b)'!C51+'(2018-19b)'!D51+'(2018-19c)'!C50+'(2018-19d)'!C50</f>
        <v>97</v>
      </c>
      <c r="D50" s="14">
        <f>'(2018-19b)'!E51+'(2018-19b)'!F51+'(2018-19c)'!D50+'(2018-19d)'!D50</f>
        <v>5</v>
      </c>
      <c r="E50" s="14">
        <f>'(2018-19b)'!G51+'(2018-19b)'!H51+'(2018-19c)'!E50+'(2018-19d)'!E50</f>
        <v>2</v>
      </c>
      <c r="F50" s="14">
        <f>'(2018-19b)'!I51+'(2018-19b)'!J51+'(2018-19c)'!F50+'(2018-19d)'!F50</f>
        <v>0</v>
      </c>
    </row>
    <row r="51" spans="2:6" x14ac:dyDescent="0.3">
      <c r="B51" t="s">
        <v>54</v>
      </c>
      <c r="C51" s="14">
        <f>'(2018-19b)'!C52+'(2018-19b)'!D52+'(2018-19c)'!C51+'(2018-19d)'!C51</f>
        <v>382</v>
      </c>
      <c r="D51" s="14">
        <f>'(2018-19b)'!E52+'(2018-19b)'!F52+'(2018-19c)'!D51+'(2018-19d)'!D51</f>
        <v>68</v>
      </c>
      <c r="E51" s="14">
        <f>'(2018-19b)'!G52+'(2018-19b)'!H52+'(2018-19c)'!E51+'(2018-19d)'!E51</f>
        <v>7</v>
      </c>
      <c r="F51" s="14">
        <f>'(2018-19b)'!I52+'(2018-19b)'!J52+'(2018-19c)'!F51+'(2018-19d)'!F51</f>
        <v>0</v>
      </c>
    </row>
    <row r="58" spans="2:6" x14ac:dyDescent="0.3">
      <c r="B58" t="s">
        <v>57</v>
      </c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612E-FC3A-4DA9-A806-DC80A47D5CB6}">
  <sheetPr codeName="Sheet51">
    <tabColor rgb="FFFF0000"/>
  </sheetPr>
  <dimension ref="A1:M61"/>
  <sheetViews>
    <sheetView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238" customWidth="1"/>
    <col min="2" max="2" width="24.7265625" style="240" customWidth="1"/>
    <col min="3" max="3" width="11" style="240" customWidth="1"/>
    <col min="4" max="4" width="11.7265625" style="240" customWidth="1"/>
    <col min="5" max="10" width="11" style="240" customWidth="1"/>
    <col min="11" max="13" width="8.7265625" style="216"/>
    <col min="14" max="256" width="8.7265625" style="240"/>
    <col min="257" max="257" width="0" style="240" hidden="1" customWidth="1"/>
    <col min="258" max="258" width="24.7265625" style="240" customWidth="1"/>
    <col min="259" max="259" width="11" style="240" customWidth="1"/>
    <col min="260" max="260" width="11.7265625" style="240" customWidth="1"/>
    <col min="261" max="266" width="11" style="240" customWidth="1"/>
    <col min="267" max="512" width="8.7265625" style="240"/>
    <col min="513" max="513" width="0" style="240" hidden="1" customWidth="1"/>
    <col min="514" max="514" width="24.7265625" style="240" customWidth="1"/>
    <col min="515" max="515" width="11" style="240" customWidth="1"/>
    <col min="516" max="516" width="11.7265625" style="240" customWidth="1"/>
    <col min="517" max="522" width="11" style="240" customWidth="1"/>
    <col min="523" max="768" width="8.7265625" style="240"/>
    <col min="769" max="769" width="0" style="240" hidden="1" customWidth="1"/>
    <col min="770" max="770" width="24.7265625" style="240" customWidth="1"/>
    <col min="771" max="771" width="11" style="240" customWidth="1"/>
    <col min="772" max="772" width="11.7265625" style="240" customWidth="1"/>
    <col min="773" max="778" width="11" style="240" customWidth="1"/>
    <col min="779" max="1024" width="8.7265625" style="240"/>
    <col min="1025" max="1025" width="0" style="240" hidden="1" customWidth="1"/>
    <col min="1026" max="1026" width="24.7265625" style="240" customWidth="1"/>
    <col min="1027" max="1027" width="11" style="240" customWidth="1"/>
    <col min="1028" max="1028" width="11.7265625" style="240" customWidth="1"/>
    <col min="1029" max="1034" width="11" style="240" customWidth="1"/>
    <col min="1035" max="1280" width="8.7265625" style="240"/>
    <col min="1281" max="1281" width="0" style="240" hidden="1" customWidth="1"/>
    <col min="1282" max="1282" width="24.7265625" style="240" customWidth="1"/>
    <col min="1283" max="1283" width="11" style="240" customWidth="1"/>
    <col min="1284" max="1284" width="11.7265625" style="240" customWidth="1"/>
    <col min="1285" max="1290" width="11" style="240" customWidth="1"/>
    <col min="1291" max="1536" width="8.7265625" style="240"/>
    <col min="1537" max="1537" width="0" style="240" hidden="1" customWidth="1"/>
    <col min="1538" max="1538" width="24.7265625" style="240" customWidth="1"/>
    <col min="1539" max="1539" width="11" style="240" customWidth="1"/>
    <col min="1540" max="1540" width="11.7265625" style="240" customWidth="1"/>
    <col min="1541" max="1546" width="11" style="240" customWidth="1"/>
    <col min="1547" max="1792" width="8.7265625" style="240"/>
    <col min="1793" max="1793" width="0" style="240" hidden="1" customWidth="1"/>
    <col min="1794" max="1794" width="24.7265625" style="240" customWidth="1"/>
    <col min="1795" max="1795" width="11" style="240" customWidth="1"/>
    <col min="1796" max="1796" width="11.7265625" style="240" customWidth="1"/>
    <col min="1797" max="1802" width="11" style="240" customWidth="1"/>
    <col min="1803" max="2048" width="8.7265625" style="240"/>
    <col min="2049" max="2049" width="0" style="240" hidden="1" customWidth="1"/>
    <col min="2050" max="2050" width="24.7265625" style="240" customWidth="1"/>
    <col min="2051" max="2051" width="11" style="240" customWidth="1"/>
    <col min="2052" max="2052" width="11.7265625" style="240" customWidth="1"/>
    <col min="2053" max="2058" width="11" style="240" customWidth="1"/>
    <col min="2059" max="2304" width="8.7265625" style="240"/>
    <col min="2305" max="2305" width="0" style="240" hidden="1" customWidth="1"/>
    <col min="2306" max="2306" width="24.7265625" style="240" customWidth="1"/>
    <col min="2307" max="2307" width="11" style="240" customWidth="1"/>
    <col min="2308" max="2308" width="11.7265625" style="240" customWidth="1"/>
    <col min="2309" max="2314" width="11" style="240" customWidth="1"/>
    <col min="2315" max="2560" width="8.7265625" style="240"/>
    <col min="2561" max="2561" width="0" style="240" hidden="1" customWidth="1"/>
    <col min="2562" max="2562" width="24.7265625" style="240" customWidth="1"/>
    <col min="2563" max="2563" width="11" style="240" customWidth="1"/>
    <col min="2564" max="2564" width="11.7265625" style="240" customWidth="1"/>
    <col min="2565" max="2570" width="11" style="240" customWidth="1"/>
    <col min="2571" max="2816" width="8.7265625" style="240"/>
    <col min="2817" max="2817" width="0" style="240" hidden="1" customWidth="1"/>
    <col min="2818" max="2818" width="24.7265625" style="240" customWidth="1"/>
    <col min="2819" max="2819" width="11" style="240" customWidth="1"/>
    <col min="2820" max="2820" width="11.7265625" style="240" customWidth="1"/>
    <col min="2821" max="2826" width="11" style="240" customWidth="1"/>
    <col min="2827" max="3072" width="8.7265625" style="240"/>
    <col min="3073" max="3073" width="0" style="240" hidden="1" customWidth="1"/>
    <col min="3074" max="3074" width="24.7265625" style="240" customWidth="1"/>
    <col min="3075" max="3075" width="11" style="240" customWidth="1"/>
    <col min="3076" max="3076" width="11.7265625" style="240" customWidth="1"/>
    <col min="3077" max="3082" width="11" style="240" customWidth="1"/>
    <col min="3083" max="3328" width="8.7265625" style="240"/>
    <col min="3329" max="3329" width="0" style="240" hidden="1" customWidth="1"/>
    <col min="3330" max="3330" width="24.7265625" style="240" customWidth="1"/>
    <col min="3331" max="3331" width="11" style="240" customWidth="1"/>
    <col min="3332" max="3332" width="11.7265625" style="240" customWidth="1"/>
    <col min="3333" max="3338" width="11" style="240" customWidth="1"/>
    <col min="3339" max="3584" width="8.7265625" style="240"/>
    <col min="3585" max="3585" width="0" style="240" hidden="1" customWidth="1"/>
    <col min="3586" max="3586" width="24.7265625" style="240" customWidth="1"/>
    <col min="3587" max="3587" width="11" style="240" customWidth="1"/>
    <col min="3588" max="3588" width="11.7265625" style="240" customWidth="1"/>
    <col min="3589" max="3594" width="11" style="240" customWidth="1"/>
    <col min="3595" max="3840" width="8.7265625" style="240"/>
    <col min="3841" max="3841" width="0" style="240" hidden="1" customWidth="1"/>
    <col min="3842" max="3842" width="24.7265625" style="240" customWidth="1"/>
    <col min="3843" max="3843" width="11" style="240" customWidth="1"/>
    <col min="3844" max="3844" width="11.7265625" style="240" customWidth="1"/>
    <col min="3845" max="3850" width="11" style="240" customWidth="1"/>
    <col min="3851" max="4096" width="8.7265625" style="240"/>
    <col min="4097" max="4097" width="0" style="240" hidden="1" customWidth="1"/>
    <col min="4098" max="4098" width="24.7265625" style="240" customWidth="1"/>
    <col min="4099" max="4099" width="11" style="240" customWidth="1"/>
    <col min="4100" max="4100" width="11.7265625" style="240" customWidth="1"/>
    <col min="4101" max="4106" width="11" style="240" customWidth="1"/>
    <col min="4107" max="4352" width="8.7265625" style="240"/>
    <col min="4353" max="4353" width="0" style="240" hidden="1" customWidth="1"/>
    <col min="4354" max="4354" width="24.7265625" style="240" customWidth="1"/>
    <col min="4355" max="4355" width="11" style="240" customWidth="1"/>
    <col min="4356" max="4356" width="11.7265625" style="240" customWidth="1"/>
    <col min="4357" max="4362" width="11" style="240" customWidth="1"/>
    <col min="4363" max="4608" width="8.7265625" style="240"/>
    <col min="4609" max="4609" width="0" style="240" hidden="1" customWidth="1"/>
    <col min="4610" max="4610" width="24.7265625" style="240" customWidth="1"/>
    <col min="4611" max="4611" width="11" style="240" customWidth="1"/>
    <col min="4612" max="4612" width="11.7265625" style="240" customWidth="1"/>
    <col min="4613" max="4618" width="11" style="240" customWidth="1"/>
    <col min="4619" max="4864" width="8.7265625" style="240"/>
    <col min="4865" max="4865" width="0" style="240" hidden="1" customWidth="1"/>
    <col min="4866" max="4866" width="24.7265625" style="240" customWidth="1"/>
    <col min="4867" max="4867" width="11" style="240" customWidth="1"/>
    <col min="4868" max="4868" width="11.7265625" style="240" customWidth="1"/>
    <col min="4869" max="4874" width="11" style="240" customWidth="1"/>
    <col min="4875" max="5120" width="8.7265625" style="240"/>
    <col min="5121" max="5121" width="0" style="240" hidden="1" customWidth="1"/>
    <col min="5122" max="5122" width="24.7265625" style="240" customWidth="1"/>
    <col min="5123" max="5123" width="11" style="240" customWidth="1"/>
    <col min="5124" max="5124" width="11.7265625" style="240" customWidth="1"/>
    <col min="5125" max="5130" width="11" style="240" customWidth="1"/>
    <col min="5131" max="5376" width="8.7265625" style="240"/>
    <col min="5377" max="5377" width="0" style="240" hidden="1" customWidth="1"/>
    <col min="5378" max="5378" width="24.7265625" style="240" customWidth="1"/>
    <col min="5379" max="5379" width="11" style="240" customWidth="1"/>
    <col min="5380" max="5380" width="11.7265625" style="240" customWidth="1"/>
    <col min="5381" max="5386" width="11" style="240" customWidth="1"/>
    <col min="5387" max="5632" width="8.7265625" style="240"/>
    <col min="5633" max="5633" width="0" style="240" hidden="1" customWidth="1"/>
    <col min="5634" max="5634" width="24.7265625" style="240" customWidth="1"/>
    <col min="5635" max="5635" width="11" style="240" customWidth="1"/>
    <col min="5636" max="5636" width="11.7265625" style="240" customWidth="1"/>
    <col min="5637" max="5642" width="11" style="240" customWidth="1"/>
    <col min="5643" max="5888" width="8.7265625" style="240"/>
    <col min="5889" max="5889" width="0" style="240" hidden="1" customWidth="1"/>
    <col min="5890" max="5890" width="24.7265625" style="240" customWidth="1"/>
    <col min="5891" max="5891" width="11" style="240" customWidth="1"/>
    <col min="5892" max="5892" width="11.7265625" style="240" customWidth="1"/>
    <col min="5893" max="5898" width="11" style="240" customWidth="1"/>
    <col min="5899" max="6144" width="8.7265625" style="240"/>
    <col min="6145" max="6145" width="0" style="240" hidden="1" customWidth="1"/>
    <col min="6146" max="6146" width="24.7265625" style="240" customWidth="1"/>
    <col min="6147" max="6147" width="11" style="240" customWidth="1"/>
    <col min="6148" max="6148" width="11.7265625" style="240" customWidth="1"/>
    <col min="6149" max="6154" width="11" style="240" customWidth="1"/>
    <col min="6155" max="6400" width="8.7265625" style="240"/>
    <col min="6401" max="6401" width="0" style="240" hidden="1" customWidth="1"/>
    <col min="6402" max="6402" width="24.7265625" style="240" customWidth="1"/>
    <col min="6403" max="6403" width="11" style="240" customWidth="1"/>
    <col min="6404" max="6404" width="11.7265625" style="240" customWidth="1"/>
    <col min="6405" max="6410" width="11" style="240" customWidth="1"/>
    <col min="6411" max="6656" width="8.7265625" style="240"/>
    <col min="6657" max="6657" width="0" style="240" hidden="1" customWidth="1"/>
    <col min="6658" max="6658" width="24.7265625" style="240" customWidth="1"/>
    <col min="6659" max="6659" width="11" style="240" customWidth="1"/>
    <col min="6660" max="6660" width="11.7265625" style="240" customWidth="1"/>
    <col min="6661" max="6666" width="11" style="240" customWidth="1"/>
    <col min="6667" max="6912" width="8.7265625" style="240"/>
    <col min="6913" max="6913" width="0" style="240" hidden="1" customWidth="1"/>
    <col min="6914" max="6914" width="24.7265625" style="240" customWidth="1"/>
    <col min="6915" max="6915" width="11" style="240" customWidth="1"/>
    <col min="6916" max="6916" width="11.7265625" style="240" customWidth="1"/>
    <col min="6917" max="6922" width="11" style="240" customWidth="1"/>
    <col min="6923" max="7168" width="8.7265625" style="240"/>
    <col min="7169" max="7169" width="0" style="240" hidden="1" customWidth="1"/>
    <col min="7170" max="7170" width="24.7265625" style="240" customWidth="1"/>
    <col min="7171" max="7171" width="11" style="240" customWidth="1"/>
    <col min="7172" max="7172" width="11.7265625" style="240" customWidth="1"/>
    <col min="7173" max="7178" width="11" style="240" customWidth="1"/>
    <col min="7179" max="7424" width="8.7265625" style="240"/>
    <col min="7425" max="7425" width="0" style="240" hidden="1" customWidth="1"/>
    <col min="7426" max="7426" width="24.7265625" style="240" customWidth="1"/>
    <col min="7427" max="7427" width="11" style="240" customWidth="1"/>
    <col min="7428" max="7428" width="11.7265625" style="240" customWidth="1"/>
    <col min="7429" max="7434" width="11" style="240" customWidth="1"/>
    <col min="7435" max="7680" width="8.7265625" style="240"/>
    <col min="7681" max="7681" width="0" style="240" hidden="1" customWidth="1"/>
    <col min="7682" max="7682" width="24.7265625" style="240" customWidth="1"/>
    <col min="7683" max="7683" width="11" style="240" customWidth="1"/>
    <col min="7684" max="7684" width="11.7265625" style="240" customWidth="1"/>
    <col min="7685" max="7690" width="11" style="240" customWidth="1"/>
    <col min="7691" max="7936" width="8.7265625" style="240"/>
    <col min="7937" max="7937" width="0" style="240" hidden="1" customWidth="1"/>
    <col min="7938" max="7938" width="24.7265625" style="240" customWidth="1"/>
    <col min="7939" max="7939" width="11" style="240" customWidth="1"/>
    <col min="7940" max="7940" width="11.7265625" style="240" customWidth="1"/>
    <col min="7941" max="7946" width="11" style="240" customWidth="1"/>
    <col min="7947" max="8192" width="8.7265625" style="240"/>
    <col min="8193" max="8193" width="0" style="240" hidden="1" customWidth="1"/>
    <col min="8194" max="8194" width="24.7265625" style="240" customWidth="1"/>
    <col min="8195" max="8195" width="11" style="240" customWidth="1"/>
    <col min="8196" max="8196" width="11.7265625" style="240" customWidth="1"/>
    <col min="8197" max="8202" width="11" style="240" customWidth="1"/>
    <col min="8203" max="8448" width="8.7265625" style="240"/>
    <col min="8449" max="8449" width="0" style="240" hidden="1" customWidth="1"/>
    <col min="8450" max="8450" width="24.7265625" style="240" customWidth="1"/>
    <col min="8451" max="8451" width="11" style="240" customWidth="1"/>
    <col min="8452" max="8452" width="11.7265625" style="240" customWidth="1"/>
    <col min="8453" max="8458" width="11" style="240" customWidth="1"/>
    <col min="8459" max="8704" width="8.7265625" style="240"/>
    <col min="8705" max="8705" width="0" style="240" hidden="1" customWidth="1"/>
    <col min="8706" max="8706" width="24.7265625" style="240" customWidth="1"/>
    <col min="8707" max="8707" width="11" style="240" customWidth="1"/>
    <col min="8708" max="8708" width="11.7265625" style="240" customWidth="1"/>
    <col min="8709" max="8714" width="11" style="240" customWidth="1"/>
    <col min="8715" max="8960" width="8.7265625" style="240"/>
    <col min="8961" max="8961" width="0" style="240" hidden="1" customWidth="1"/>
    <col min="8962" max="8962" width="24.7265625" style="240" customWidth="1"/>
    <col min="8963" max="8963" width="11" style="240" customWidth="1"/>
    <col min="8964" max="8964" width="11.7265625" style="240" customWidth="1"/>
    <col min="8965" max="8970" width="11" style="240" customWidth="1"/>
    <col min="8971" max="9216" width="8.7265625" style="240"/>
    <col min="9217" max="9217" width="0" style="240" hidden="1" customWidth="1"/>
    <col min="9218" max="9218" width="24.7265625" style="240" customWidth="1"/>
    <col min="9219" max="9219" width="11" style="240" customWidth="1"/>
    <col min="9220" max="9220" width="11.7265625" style="240" customWidth="1"/>
    <col min="9221" max="9226" width="11" style="240" customWidth="1"/>
    <col min="9227" max="9472" width="8.7265625" style="240"/>
    <col min="9473" max="9473" width="0" style="240" hidden="1" customWidth="1"/>
    <col min="9474" max="9474" width="24.7265625" style="240" customWidth="1"/>
    <col min="9475" max="9475" width="11" style="240" customWidth="1"/>
    <col min="9476" max="9476" width="11.7265625" style="240" customWidth="1"/>
    <col min="9477" max="9482" width="11" style="240" customWidth="1"/>
    <col min="9483" max="9728" width="8.7265625" style="240"/>
    <col min="9729" max="9729" width="0" style="240" hidden="1" customWidth="1"/>
    <col min="9730" max="9730" width="24.7265625" style="240" customWidth="1"/>
    <col min="9731" max="9731" width="11" style="240" customWidth="1"/>
    <col min="9732" max="9732" width="11.7265625" style="240" customWidth="1"/>
    <col min="9733" max="9738" width="11" style="240" customWidth="1"/>
    <col min="9739" max="9984" width="8.7265625" style="240"/>
    <col min="9985" max="9985" width="0" style="240" hidden="1" customWidth="1"/>
    <col min="9986" max="9986" width="24.7265625" style="240" customWidth="1"/>
    <col min="9987" max="9987" width="11" style="240" customWidth="1"/>
    <col min="9988" max="9988" width="11.7265625" style="240" customWidth="1"/>
    <col min="9989" max="9994" width="11" style="240" customWidth="1"/>
    <col min="9995" max="10240" width="8.7265625" style="240"/>
    <col min="10241" max="10241" width="0" style="240" hidden="1" customWidth="1"/>
    <col min="10242" max="10242" width="24.7265625" style="240" customWidth="1"/>
    <col min="10243" max="10243" width="11" style="240" customWidth="1"/>
    <col min="10244" max="10244" width="11.7265625" style="240" customWidth="1"/>
    <col min="10245" max="10250" width="11" style="240" customWidth="1"/>
    <col min="10251" max="10496" width="8.7265625" style="240"/>
    <col min="10497" max="10497" width="0" style="240" hidden="1" customWidth="1"/>
    <col min="10498" max="10498" width="24.7265625" style="240" customWidth="1"/>
    <col min="10499" max="10499" width="11" style="240" customWidth="1"/>
    <col min="10500" max="10500" width="11.7265625" style="240" customWidth="1"/>
    <col min="10501" max="10506" width="11" style="240" customWidth="1"/>
    <col min="10507" max="10752" width="8.7265625" style="240"/>
    <col min="10753" max="10753" width="0" style="240" hidden="1" customWidth="1"/>
    <col min="10754" max="10754" width="24.7265625" style="240" customWidth="1"/>
    <col min="10755" max="10755" width="11" style="240" customWidth="1"/>
    <col min="10756" max="10756" width="11.7265625" style="240" customWidth="1"/>
    <col min="10757" max="10762" width="11" style="240" customWidth="1"/>
    <col min="10763" max="11008" width="8.7265625" style="240"/>
    <col min="11009" max="11009" width="0" style="240" hidden="1" customWidth="1"/>
    <col min="11010" max="11010" width="24.7265625" style="240" customWidth="1"/>
    <col min="11011" max="11011" width="11" style="240" customWidth="1"/>
    <col min="11012" max="11012" width="11.7265625" style="240" customWidth="1"/>
    <col min="11013" max="11018" width="11" style="240" customWidth="1"/>
    <col min="11019" max="11264" width="8.7265625" style="240"/>
    <col min="11265" max="11265" width="0" style="240" hidden="1" customWidth="1"/>
    <col min="11266" max="11266" width="24.7265625" style="240" customWidth="1"/>
    <col min="11267" max="11267" width="11" style="240" customWidth="1"/>
    <col min="11268" max="11268" width="11.7265625" style="240" customWidth="1"/>
    <col min="11269" max="11274" width="11" style="240" customWidth="1"/>
    <col min="11275" max="11520" width="8.7265625" style="240"/>
    <col min="11521" max="11521" width="0" style="240" hidden="1" customWidth="1"/>
    <col min="11522" max="11522" width="24.7265625" style="240" customWidth="1"/>
    <col min="11523" max="11523" width="11" style="240" customWidth="1"/>
    <col min="11524" max="11524" width="11.7265625" style="240" customWidth="1"/>
    <col min="11525" max="11530" width="11" style="240" customWidth="1"/>
    <col min="11531" max="11776" width="8.7265625" style="240"/>
    <col min="11777" max="11777" width="0" style="240" hidden="1" customWidth="1"/>
    <col min="11778" max="11778" width="24.7265625" style="240" customWidth="1"/>
    <col min="11779" max="11779" width="11" style="240" customWidth="1"/>
    <col min="11780" max="11780" width="11.7265625" style="240" customWidth="1"/>
    <col min="11781" max="11786" width="11" style="240" customWidth="1"/>
    <col min="11787" max="12032" width="8.7265625" style="240"/>
    <col min="12033" max="12033" width="0" style="240" hidden="1" customWidth="1"/>
    <col min="12034" max="12034" width="24.7265625" style="240" customWidth="1"/>
    <col min="12035" max="12035" width="11" style="240" customWidth="1"/>
    <col min="12036" max="12036" width="11.7265625" style="240" customWidth="1"/>
    <col min="12037" max="12042" width="11" style="240" customWidth="1"/>
    <col min="12043" max="12288" width="8.7265625" style="240"/>
    <col min="12289" max="12289" width="0" style="240" hidden="1" customWidth="1"/>
    <col min="12290" max="12290" width="24.7265625" style="240" customWidth="1"/>
    <col min="12291" max="12291" width="11" style="240" customWidth="1"/>
    <col min="12292" max="12292" width="11.7265625" style="240" customWidth="1"/>
    <col min="12293" max="12298" width="11" style="240" customWidth="1"/>
    <col min="12299" max="12544" width="8.7265625" style="240"/>
    <col min="12545" max="12545" width="0" style="240" hidden="1" customWidth="1"/>
    <col min="12546" max="12546" width="24.7265625" style="240" customWidth="1"/>
    <col min="12547" max="12547" width="11" style="240" customWidth="1"/>
    <col min="12548" max="12548" width="11.7265625" style="240" customWidth="1"/>
    <col min="12549" max="12554" width="11" style="240" customWidth="1"/>
    <col min="12555" max="12800" width="8.7265625" style="240"/>
    <col min="12801" max="12801" width="0" style="240" hidden="1" customWidth="1"/>
    <col min="12802" max="12802" width="24.7265625" style="240" customWidth="1"/>
    <col min="12803" max="12803" width="11" style="240" customWidth="1"/>
    <col min="12804" max="12804" width="11.7265625" style="240" customWidth="1"/>
    <col min="12805" max="12810" width="11" style="240" customWidth="1"/>
    <col min="12811" max="13056" width="8.7265625" style="240"/>
    <col min="13057" max="13057" width="0" style="240" hidden="1" customWidth="1"/>
    <col min="13058" max="13058" width="24.7265625" style="240" customWidth="1"/>
    <col min="13059" max="13059" width="11" style="240" customWidth="1"/>
    <col min="13060" max="13060" width="11.7265625" style="240" customWidth="1"/>
    <col min="13061" max="13066" width="11" style="240" customWidth="1"/>
    <col min="13067" max="13312" width="8.7265625" style="240"/>
    <col min="13313" max="13313" width="0" style="240" hidden="1" customWidth="1"/>
    <col min="13314" max="13314" width="24.7265625" style="240" customWidth="1"/>
    <col min="13315" max="13315" width="11" style="240" customWidth="1"/>
    <col min="13316" max="13316" width="11.7265625" style="240" customWidth="1"/>
    <col min="13317" max="13322" width="11" style="240" customWidth="1"/>
    <col min="13323" max="13568" width="8.7265625" style="240"/>
    <col min="13569" max="13569" width="0" style="240" hidden="1" customWidth="1"/>
    <col min="13570" max="13570" width="24.7265625" style="240" customWidth="1"/>
    <col min="13571" max="13571" width="11" style="240" customWidth="1"/>
    <col min="13572" max="13572" width="11.7265625" style="240" customWidth="1"/>
    <col min="13573" max="13578" width="11" style="240" customWidth="1"/>
    <col min="13579" max="13824" width="8.7265625" style="240"/>
    <col min="13825" max="13825" width="0" style="240" hidden="1" customWidth="1"/>
    <col min="13826" max="13826" width="24.7265625" style="240" customWidth="1"/>
    <col min="13827" max="13827" width="11" style="240" customWidth="1"/>
    <col min="13828" max="13828" width="11.7265625" style="240" customWidth="1"/>
    <col min="13829" max="13834" width="11" style="240" customWidth="1"/>
    <col min="13835" max="14080" width="8.7265625" style="240"/>
    <col min="14081" max="14081" width="0" style="240" hidden="1" customWidth="1"/>
    <col min="14082" max="14082" width="24.7265625" style="240" customWidth="1"/>
    <col min="14083" max="14083" width="11" style="240" customWidth="1"/>
    <col min="14084" max="14084" width="11.7265625" style="240" customWidth="1"/>
    <col min="14085" max="14090" width="11" style="240" customWidth="1"/>
    <col min="14091" max="14336" width="8.7265625" style="240"/>
    <col min="14337" max="14337" width="0" style="240" hidden="1" customWidth="1"/>
    <col min="14338" max="14338" width="24.7265625" style="240" customWidth="1"/>
    <col min="14339" max="14339" width="11" style="240" customWidth="1"/>
    <col min="14340" max="14340" width="11.7265625" style="240" customWidth="1"/>
    <col min="14341" max="14346" width="11" style="240" customWidth="1"/>
    <col min="14347" max="14592" width="8.7265625" style="240"/>
    <col min="14593" max="14593" width="0" style="240" hidden="1" customWidth="1"/>
    <col min="14594" max="14594" width="24.7265625" style="240" customWidth="1"/>
    <col min="14595" max="14595" width="11" style="240" customWidth="1"/>
    <col min="14596" max="14596" width="11.7265625" style="240" customWidth="1"/>
    <col min="14597" max="14602" width="11" style="240" customWidth="1"/>
    <col min="14603" max="14848" width="8.7265625" style="240"/>
    <col min="14849" max="14849" width="0" style="240" hidden="1" customWidth="1"/>
    <col min="14850" max="14850" width="24.7265625" style="240" customWidth="1"/>
    <col min="14851" max="14851" width="11" style="240" customWidth="1"/>
    <col min="14852" max="14852" width="11.7265625" style="240" customWidth="1"/>
    <col min="14853" max="14858" width="11" style="240" customWidth="1"/>
    <col min="14859" max="15104" width="8.7265625" style="240"/>
    <col min="15105" max="15105" width="0" style="240" hidden="1" customWidth="1"/>
    <col min="15106" max="15106" width="24.7265625" style="240" customWidth="1"/>
    <col min="15107" max="15107" width="11" style="240" customWidth="1"/>
    <col min="15108" max="15108" width="11.7265625" style="240" customWidth="1"/>
    <col min="15109" max="15114" width="11" style="240" customWidth="1"/>
    <col min="15115" max="15360" width="8.7265625" style="240"/>
    <col min="15361" max="15361" width="0" style="240" hidden="1" customWidth="1"/>
    <col min="15362" max="15362" width="24.7265625" style="240" customWidth="1"/>
    <col min="15363" max="15363" width="11" style="240" customWidth="1"/>
    <col min="15364" max="15364" width="11.7265625" style="240" customWidth="1"/>
    <col min="15365" max="15370" width="11" style="240" customWidth="1"/>
    <col min="15371" max="15616" width="8.7265625" style="240"/>
    <col min="15617" max="15617" width="0" style="240" hidden="1" customWidth="1"/>
    <col min="15618" max="15618" width="24.7265625" style="240" customWidth="1"/>
    <col min="15619" max="15619" width="11" style="240" customWidth="1"/>
    <col min="15620" max="15620" width="11.7265625" style="240" customWidth="1"/>
    <col min="15621" max="15626" width="11" style="240" customWidth="1"/>
    <col min="15627" max="15872" width="8.7265625" style="240"/>
    <col min="15873" max="15873" width="0" style="240" hidden="1" customWidth="1"/>
    <col min="15874" max="15874" width="24.7265625" style="240" customWidth="1"/>
    <col min="15875" max="15875" width="11" style="240" customWidth="1"/>
    <col min="15876" max="15876" width="11.7265625" style="240" customWidth="1"/>
    <col min="15877" max="15882" width="11" style="240" customWidth="1"/>
    <col min="15883" max="16128" width="8.7265625" style="240"/>
    <col min="16129" max="16129" width="0" style="240" hidden="1" customWidth="1"/>
    <col min="16130" max="16130" width="24.7265625" style="240" customWidth="1"/>
    <col min="16131" max="16131" width="11" style="240" customWidth="1"/>
    <col min="16132" max="16132" width="11.7265625" style="240" customWidth="1"/>
    <col min="16133" max="16138" width="11" style="240" customWidth="1"/>
    <col min="16139" max="16384" width="8.7265625" style="240"/>
  </cols>
  <sheetData>
    <row r="1" spans="1:13" ht="48" customHeight="1" x14ac:dyDescent="0.3">
      <c r="B1" s="239"/>
      <c r="C1" s="239"/>
      <c r="D1" s="239"/>
      <c r="E1" s="239"/>
      <c r="F1" s="239"/>
      <c r="G1" s="239"/>
      <c r="H1" s="239"/>
      <c r="I1" s="239"/>
      <c r="J1" s="239"/>
    </row>
    <row r="2" spans="1:13" ht="12.75" customHeight="1" x14ac:dyDescent="0.3">
      <c r="C2" t="s">
        <v>1</v>
      </c>
      <c r="E2" s="241" t="s">
        <v>2</v>
      </c>
      <c r="F2" s="241"/>
      <c r="G2" s="241"/>
      <c r="H2" s="241"/>
      <c r="I2" s="242" t="s">
        <v>205</v>
      </c>
      <c r="J2" s="242"/>
    </row>
    <row r="3" spans="1:13" ht="51" customHeight="1" x14ac:dyDescent="0.3">
      <c r="A3" s="243"/>
      <c r="C3" s="244"/>
      <c r="D3" s="244"/>
      <c r="E3" s="274" t="s">
        <v>203</v>
      </c>
      <c r="F3" s="244"/>
      <c r="G3" s="274" t="s">
        <v>204</v>
      </c>
      <c r="H3" s="244"/>
      <c r="I3" s="244"/>
      <c r="J3" s="244"/>
    </row>
    <row r="4" spans="1:13" s="254" customFormat="1" ht="45.75" customHeight="1" x14ac:dyDescent="0.3">
      <c r="A4" s="252"/>
      <c r="B4" s="253"/>
      <c r="C4" s="273" t="s">
        <v>198</v>
      </c>
      <c r="D4" s="255" t="s">
        <v>276</v>
      </c>
      <c r="E4" s="273" t="s">
        <v>198</v>
      </c>
      <c r="F4" s="255" t="s">
        <v>60</v>
      </c>
      <c r="G4" s="273" t="s">
        <v>198</v>
      </c>
      <c r="H4" s="255" t="s">
        <v>60</v>
      </c>
      <c r="I4" s="273" t="s">
        <v>198</v>
      </c>
      <c r="J4" s="255" t="s">
        <v>60</v>
      </c>
      <c r="K4" s="223"/>
      <c r="L4" s="223"/>
      <c r="M4" s="223"/>
    </row>
    <row r="5" spans="1:13" ht="30" customHeight="1" x14ac:dyDescent="0.3">
      <c r="B5" s="228" t="s">
        <v>6</v>
      </c>
      <c r="C5" s="275">
        <f t="shared" ref="C5:J5" si="0">SUM(C6,C45)</f>
        <v>806</v>
      </c>
      <c r="D5" s="275">
        <f t="shared" si="0"/>
        <v>323</v>
      </c>
      <c r="E5" s="275">
        <f t="shared" si="0"/>
        <v>123</v>
      </c>
      <c r="F5" s="275">
        <f t="shared" si="0"/>
        <v>41</v>
      </c>
      <c r="G5" s="275">
        <f t="shared" si="0"/>
        <v>21</v>
      </c>
      <c r="H5" s="275">
        <f t="shared" si="0"/>
        <v>7</v>
      </c>
      <c r="I5" s="275">
        <f t="shared" si="0"/>
        <v>0</v>
      </c>
      <c r="J5" s="275">
        <f t="shared" si="0"/>
        <v>0</v>
      </c>
      <c r="K5" s="223"/>
      <c r="L5" s="223"/>
      <c r="M5" s="223"/>
    </row>
    <row r="6" spans="1:13" s="245" customFormat="1" ht="25.5" customHeight="1" x14ac:dyDescent="0.3">
      <c r="A6" s="246"/>
      <c r="B6" s="228" t="s">
        <v>210</v>
      </c>
      <c r="C6" s="275">
        <f t="shared" ref="C6:J6" si="1">SUM(C7:C44)</f>
        <v>504</v>
      </c>
      <c r="D6" s="275">
        <f t="shared" si="1"/>
        <v>227</v>
      </c>
      <c r="E6" s="275">
        <f t="shared" si="1"/>
        <v>67</v>
      </c>
      <c r="F6" s="275">
        <f t="shared" si="1"/>
        <v>30</v>
      </c>
      <c r="G6" s="275">
        <f t="shared" si="1"/>
        <v>15</v>
      </c>
      <c r="H6" s="275">
        <f t="shared" si="1"/>
        <v>6</v>
      </c>
      <c r="I6" s="275">
        <f t="shared" si="1"/>
        <v>0</v>
      </c>
      <c r="J6" s="275">
        <f t="shared" si="1"/>
        <v>0</v>
      </c>
      <c r="K6" s="223"/>
      <c r="L6" s="223"/>
      <c r="M6" s="223"/>
    </row>
    <row r="7" spans="1:13" ht="12.75" customHeight="1" x14ac:dyDescent="0.3">
      <c r="A7" s="247"/>
      <c r="B7" t="s">
        <v>8</v>
      </c>
      <c r="C7" s="248">
        <f>SUMIFS(raw!$H$2:$H$2701,raw!$B$2:$B$2701,'(2018-19b)'!$B7,raw!$E$2:$E$2701,'(2018-19b)'!$C$2,raw!$F$2:$F$2701,'(2018-19b)'!C$4)</f>
        <v>9</v>
      </c>
      <c r="D7" s="248">
        <f>SUMIFS(raw!$H$2:$H$2701,raw!$B$2:$B$2701,'(2018-19b)'!$B7,raw!$E$2:$E$2701,'(2018-19b)'!$C$2,raw!$F$2:$F$2701,"Injuries at road traffic collisions")+SUMIFS(raw!$H$2:$H$2701,raw!$B$2:$B$2701,'(2018-19b)'!$B7,raw!$E$2:$E$2701,'(2018-19b)'!$C$2,raw!$F$2:$F$2701,"Injuries at other special service incidents")</f>
        <v>3</v>
      </c>
      <c r="E7" s="248">
        <f>SUMIFS(raw!$H$2:$H$2701,raw!$B$2:$B$2701,'(2018-19b)'!$B7,raw!$E$2:$E$2701,'(2018-19b)'!$E$3,raw!$F$2:$F$2701,'(2018-19b)'!E$4)</f>
        <v>1</v>
      </c>
      <c r="F7" s="248">
        <f>SUMIFS(raw!$H$2:$H$2701,raw!$B$2:$B$2701,'(2018-19b)'!$B7,raw!$E$2:$E$2701,'(2018-19b)'!$E$3,raw!$F$2:$F$2701,"Injuries at road traffic collisions")+SUMIFS(raw!$H$2:$H$2701,raw!$B$2:$B$2701,'(2018-19b)'!$B7,raw!$E$2:$E$2701,'(2018-19b)'!$E$3,raw!$F$2:$F$2701,"Injuries at other special service incidents")</f>
        <v>0</v>
      </c>
      <c r="G7" s="248">
        <f>SUMIFS(raw!$H$2:$H$2701,raw!$B$2:$B$2701,'(2018-19b)'!$B7,raw!$E$2:$E$2701,'(2018-19b)'!$G$3,raw!$F$2:$F$2701,'(2018-19b)'!G$4)</f>
        <v>0</v>
      </c>
      <c r="H7" s="248">
        <f>SUMIFS(raw!$H$2:$H$2701,raw!$B$2:$B$2701,'(2018-19b)'!$B7,raw!$E$2:$E$2701,'(2018-19b)'!$G$3,raw!$F$2:$F$2701,"Injuries at road traffic collisions")+SUMIFS(raw!$H$2:$H$2701,raw!$B$2:$B$2701,'(2018-19b)'!$B7,raw!$E$2:$E$2701,'(2018-19b)'!$G$3,raw!$F$2:$F$2701,"Injuries at other special service incidents")</f>
        <v>0</v>
      </c>
      <c r="I7" s="248">
        <f>SUMIFS(raw!$H$2:$H$2701,raw!$B$2:$B$2701,'(2018-19b)'!$B7,raw!$E$2:$E$2701,'(2018-19b)'!$I$2,raw!$F$2:$F$2701,'(2018-19b)'!I$4)</f>
        <v>0</v>
      </c>
      <c r="J7" s="248">
        <f>SUMIFS(raw!$H$2:$H$2701,raw!$B$2:$B$2701,'(2018-19b)'!$B7,raw!$E$2:$E$2701,'(2018-19b)'!$I$2,raw!$F$2:$F$2701,"Injuries at road traffic collisions")+SUMIFS(raw!$H$2:$H$2701,raw!$B$2:$B$2701,'(2018-19b)'!$B7,raw!$E$2:$E$2701,'(2018-19b)'!$I$2,raw!$F$2:$F$2701,"Injuries at other special service incidents")</f>
        <v>0</v>
      </c>
      <c r="K7" s="223"/>
      <c r="L7" s="223"/>
      <c r="M7" s="223"/>
    </row>
    <row r="8" spans="1:13" ht="12.75" customHeight="1" x14ac:dyDescent="0.3">
      <c r="A8" s="247"/>
      <c r="B8" s="228" t="s">
        <v>9</v>
      </c>
      <c r="C8" s="248">
        <f>SUMIFS(raw!$H$2:$H$2701,raw!$B$2:$B$2701,'(2018-19b)'!$B8,raw!$E$2:$E$2701,'(2018-19b)'!$C$2,raw!$F$2:$F$2701,'(2018-19b)'!C$4)</f>
        <v>9</v>
      </c>
      <c r="D8" s="248">
        <f>SUMIFS(raw!$H$2:$H$2701,raw!$B$2:$B$2701,'(2018-19b)'!$B8,raw!$E$2:$E$2701,'(2018-19b)'!$C$2,raw!$F$2:$F$2701,"Injuries at road traffic collisions")+SUMIFS(raw!$H$2:$H$2701,raw!$B$2:$B$2701,'(2018-19b)'!$B8,raw!$E$2:$E$2701,'(2018-19b)'!$C$2,raw!$F$2:$F$2701,"Injuries at other special service incidents")</f>
        <v>7</v>
      </c>
      <c r="E8" s="248">
        <f>SUMIFS(raw!$H$2:$H$2701,raw!$B$2:$B$2701,'(2018-19b)'!$B8,raw!$E$2:$E$2701,'(2018-19b)'!$E$3,raw!$F$2:$F$2701,'(2018-19b)'!E$4)</f>
        <v>1</v>
      </c>
      <c r="F8" s="248">
        <f>SUMIFS(raw!$H$2:$H$2701,raw!$B$2:$B$2701,'(2018-19b)'!$B8,raw!$E$2:$E$2701,'(2018-19b)'!$E$3,raw!$F$2:$F$2701,"Injuries at road traffic collisions")+SUMIFS(raw!$H$2:$H$2701,raw!$B$2:$B$2701,'(2018-19b)'!$B8,raw!$E$2:$E$2701,'(2018-19b)'!$E$3,raw!$F$2:$F$2701,"Injuries at other special service incidents")</f>
        <v>0</v>
      </c>
      <c r="G8" s="248">
        <f>SUMIFS(raw!$H$2:$H$2701,raw!$B$2:$B$2701,'(2018-19b)'!$B8,raw!$E$2:$E$2701,'(2018-19b)'!$G$3,raw!$F$2:$F$2701,'(2018-19b)'!G$4)</f>
        <v>0</v>
      </c>
      <c r="H8" s="248">
        <f>SUMIFS(raw!$H$2:$H$2701,raw!$B$2:$B$2701,'(2018-19b)'!$B8,raw!$E$2:$E$2701,'(2018-19b)'!$G$3,raw!$F$2:$F$2701,"Injuries at road traffic collisions")+SUMIFS(raw!$H$2:$H$2701,raw!$B$2:$B$2701,'(2018-19b)'!$B8,raw!$E$2:$E$2701,'(2018-19b)'!$G$3,raw!$F$2:$F$2701,"Injuries at other special service incidents")</f>
        <v>0</v>
      </c>
      <c r="I8" s="248">
        <f>SUMIFS(raw!$H$2:$H$2701,raw!$B$2:$B$2701,'(2018-19b)'!$B8,raw!$E$2:$E$2701,'(2018-19b)'!$I$2,raw!$F$2:$F$2701,'(2018-19b)'!I$4)</f>
        <v>0</v>
      </c>
      <c r="J8" s="248">
        <f>SUMIFS(raw!$H$2:$H$2701,raw!$B$2:$B$2701,'(2018-19b)'!$B8,raw!$E$2:$E$2701,'(2018-19b)'!$I$2,raw!$F$2:$F$2701,"Injuries at road traffic collisions")+SUMIFS(raw!$H$2:$H$2701,raw!$B$2:$B$2701,'(2018-19b)'!$B8,raw!$E$2:$E$2701,'(2018-19b)'!$I$2,raw!$F$2:$F$2701,"Injuries at other special service incidents")</f>
        <v>0</v>
      </c>
      <c r="K8" s="223"/>
      <c r="L8" s="223"/>
    </row>
    <row r="9" spans="1:13" ht="12.75" customHeight="1" x14ac:dyDescent="0.3">
      <c r="A9" s="247"/>
      <c r="B9" s="228" t="s">
        <v>10</v>
      </c>
      <c r="C9" s="248">
        <f>SUMIFS(raw!$H$2:$H$2701,raw!$B$2:$B$2701,'(2018-19b)'!$B9,raw!$E$2:$E$2701,'(2018-19b)'!$C$2,raw!$F$2:$F$2701,'(2018-19b)'!C$4)</f>
        <v>24</v>
      </c>
      <c r="D9" s="248">
        <f>SUMIFS(raw!$H$2:$H$2701,raw!$B$2:$B$2701,'(2018-19b)'!$B9,raw!$E$2:$E$2701,'(2018-19b)'!$C$2,raw!$F$2:$F$2701,"Injuries at road traffic collisions")+SUMIFS(raw!$H$2:$H$2701,raw!$B$2:$B$2701,'(2018-19b)'!$B9,raw!$E$2:$E$2701,'(2018-19b)'!$C$2,raw!$F$2:$F$2701,"Injuries at other special service incidents")</f>
        <v>2</v>
      </c>
      <c r="E9" s="248">
        <f>SUMIFS(raw!$H$2:$H$2701,raw!$B$2:$B$2701,'(2018-19b)'!$B9,raw!$E$2:$E$2701,'(2018-19b)'!$E$3,raw!$F$2:$F$2701,'(2018-19b)'!E$4)</f>
        <v>4</v>
      </c>
      <c r="F9" s="248">
        <f>SUMIFS(raw!$H$2:$H$2701,raw!$B$2:$B$2701,'(2018-19b)'!$B9,raw!$E$2:$E$2701,'(2018-19b)'!$E$3,raw!$F$2:$F$2701,"Injuries at road traffic collisions")+SUMIFS(raw!$H$2:$H$2701,raw!$B$2:$B$2701,'(2018-19b)'!$B9,raw!$E$2:$E$2701,'(2018-19b)'!$E$3,raw!$F$2:$F$2701,"Injuries at other special service incidents")</f>
        <v>0</v>
      </c>
      <c r="G9" s="248">
        <f>SUMIFS(raw!$H$2:$H$2701,raw!$B$2:$B$2701,'(2018-19b)'!$B9,raw!$E$2:$E$2701,'(2018-19b)'!$G$3,raw!$F$2:$F$2701,'(2018-19b)'!G$4)</f>
        <v>0</v>
      </c>
      <c r="H9" s="248">
        <f>SUMIFS(raw!$H$2:$H$2701,raw!$B$2:$B$2701,'(2018-19b)'!$B9,raw!$E$2:$E$2701,'(2018-19b)'!$G$3,raw!$F$2:$F$2701,"Injuries at road traffic collisions")+SUMIFS(raw!$H$2:$H$2701,raw!$B$2:$B$2701,'(2018-19b)'!$B9,raw!$E$2:$E$2701,'(2018-19b)'!$G$3,raw!$F$2:$F$2701,"Injuries at other special service incidents")</f>
        <v>0</v>
      </c>
      <c r="I9" s="248">
        <f>SUMIFS(raw!$H$2:$H$2701,raw!$B$2:$B$2701,'(2018-19b)'!$B9,raw!$E$2:$E$2701,'(2018-19b)'!$I$2,raw!$F$2:$F$2701,'(2018-19b)'!I$4)</f>
        <v>0</v>
      </c>
      <c r="J9" s="248">
        <f>SUMIFS(raw!$H$2:$H$2701,raw!$B$2:$B$2701,'(2018-19b)'!$B9,raw!$E$2:$E$2701,'(2018-19b)'!$I$2,raw!$F$2:$F$2701,"Injuries at road traffic collisions")+SUMIFS(raw!$H$2:$H$2701,raw!$B$2:$B$2701,'(2018-19b)'!$B9,raw!$E$2:$E$2701,'(2018-19b)'!$I$2,raw!$F$2:$F$2701,"Injuries at other special service incidents")</f>
        <v>0</v>
      </c>
      <c r="K9" s="223"/>
      <c r="L9" s="223"/>
    </row>
    <row r="10" spans="1:13" ht="12.75" customHeight="1" x14ac:dyDescent="0.3">
      <c r="A10" s="247"/>
      <c r="B10" s="228" t="s">
        <v>11</v>
      </c>
      <c r="C10" s="248">
        <f>SUMIFS(raw!$H$2:$H$2701,raw!$B$2:$B$2701,'(2018-19b)'!$B10,raw!$E$2:$E$2701,'(2018-19b)'!$C$2,raw!$F$2:$F$2701,'(2018-19b)'!C$4)</f>
        <v>6</v>
      </c>
      <c r="D10" s="248">
        <f>SUMIFS(raw!$H$2:$H$2701,raw!$B$2:$B$2701,'(2018-19b)'!$B10,raw!$E$2:$E$2701,'(2018-19b)'!$C$2,raw!$F$2:$F$2701,"Injuries at road traffic collisions")+SUMIFS(raw!$H$2:$H$2701,raw!$B$2:$B$2701,'(2018-19b)'!$B10,raw!$E$2:$E$2701,'(2018-19b)'!$C$2,raw!$F$2:$F$2701,"Injuries at other special service incidents")</f>
        <v>1</v>
      </c>
      <c r="E10" s="248">
        <f>SUMIFS(raw!$H$2:$H$2701,raw!$B$2:$B$2701,'(2018-19b)'!$B10,raw!$E$2:$E$2701,'(2018-19b)'!$E$3,raw!$F$2:$F$2701,'(2018-19b)'!E$4)</f>
        <v>0</v>
      </c>
      <c r="F10" s="248">
        <f>SUMIFS(raw!$H$2:$H$2701,raw!$B$2:$B$2701,'(2018-19b)'!$B10,raw!$E$2:$E$2701,'(2018-19b)'!$E$3,raw!$F$2:$F$2701,"Injuries at road traffic collisions")+SUMIFS(raw!$H$2:$H$2701,raw!$B$2:$B$2701,'(2018-19b)'!$B10,raw!$E$2:$E$2701,'(2018-19b)'!$E$3,raw!$F$2:$F$2701,"Injuries at other special service incidents")</f>
        <v>0</v>
      </c>
      <c r="G10" s="248">
        <f>SUMIFS(raw!$H$2:$H$2701,raw!$B$2:$B$2701,'(2018-19b)'!$B10,raw!$E$2:$E$2701,'(2018-19b)'!$G$3,raw!$F$2:$F$2701,'(2018-19b)'!G$4)</f>
        <v>0</v>
      </c>
      <c r="H10" s="248">
        <f>SUMIFS(raw!$H$2:$H$2701,raw!$B$2:$B$2701,'(2018-19b)'!$B10,raw!$E$2:$E$2701,'(2018-19b)'!$G$3,raw!$F$2:$F$2701,"Injuries at road traffic collisions")+SUMIFS(raw!$H$2:$H$2701,raw!$B$2:$B$2701,'(2018-19b)'!$B10,raw!$E$2:$E$2701,'(2018-19b)'!$G$3,raw!$F$2:$F$2701,"Injuries at other special service incidents")</f>
        <v>0</v>
      </c>
      <c r="I10" s="248">
        <f>SUMIFS(raw!$H$2:$H$2701,raw!$B$2:$B$2701,'(2018-19b)'!$B10,raw!$E$2:$E$2701,'(2018-19b)'!$I$2,raw!$F$2:$F$2701,'(2018-19b)'!I$4)</f>
        <v>0</v>
      </c>
      <c r="J10" s="248">
        <f>SUMIFS(raw!$H$2:$H$2701,raw!$B$2:$B$2701,'(2018-19b)'!$B10,raw!$E$2:$E$2701,'(2018-19b)'!$I$2,raw!$F$2:$F$2701,"Injuries at road traffic collisions")+SUMIFS(raw!$H$2:$H$2701,raw!$B$2:$B$2701,'(2018-19b)'!$B10,raw!$E$2:$E$2701,'(2018-19b)'!$I$2,raw!$F$2:$F$2701,"Injuries at other special service incidents")</f>
        <v>0</v>
      </c>
      <c r="K10" s="223"/>
      <c r="L10" s="223"/>
    </row>
    <row r="11" spans="1:13" ht="12.75" customHeight="1" x14ac:dyDescent="0.3">
      <c r="A11" s="247"/>
      <c r="B11" s="228" t="s">
        <v>12</v>
      </c>
      <c r="C11" s="248">
        <f>SUMIFS(raw!$H$2:$H$2701,raw!$B$2:$B$2701,'(2018-19b)'!$B11,raw!$E$2:$E$2701,'(2018-19b)'!$C$2,raw!$F$2:$F$2701,'(2018-19b)'!C$4)</f>
        <v>73</v>
      </c>
      <c r="D11" s="248">
        <f>SUMIFS(raw!$H$2:$H$2701,raw!$B$2:$B$2701,'(2018-19b)'!$B11,raw!$E$2:$E$2701,'(2018-19b)'!$C$2,raw!$F$2:$F$2701,"Injuries at road traffic collisions")+SUMIFS(raw!$H$2:$H$2701,raw!$B$2:$B$2701,'(2018-19b)'!$B11,raw!$E$2:$E$2701,'(2018-19b)'!$C$2,raw!$F$2:$F$2701,"Injuries at other special service incidents")</f>
        <v>15</v>
      </c>
      <c r="E11" s="248">
        <f>SUMIFS(raw!$H$2:$H$2701,raw!$B$2:$B$2701,'(2018-19b)'!$B11,raw!$E$2:$E$2701,'(2018-19b)'!$E$3,raw!$F$2:$F$2701,'(2018-19b)'!E$4)</f>
        <v>1</v>
      </c>
      <c r="F11" s="248">
        <f>SUMIFS(raw!$H$2:$H$2701,raw!$B$2:$B$2701,'(2018-19b)'!$B11,raw!$E$2:$E$2701,'(2018-19b)'!$E$3,raw!$F$2:$F$2701,"Injuries at road traffic collisions")+SUMIFS(raw!$H$2:$H$2701,raw!$B$2:$B$2701,'(2018-19b)'!$B11,raw!$E$2:$E$2701,'(2018-19b)'!$E$3,raw!$F$2:$F$2701,"Injuries at other special service incidents")</f>
        <v>2</v>
      </c>
      <c r="G11" s="248">
        <f>SUMIFS(raw!$H$2:$H$2701,raw!$B$2:$B$2701,'(2018-19b)'!$B11,raw!$E$2:$E$2701,'(2018-19b)'!$G$3,raw!$F$2:$F$2701,'(2018-19b)'!G$4)</f>
        <v>2</v>
      </c>
      <c r="H11" s="248">
        <f>SUMIFS(raw!$H$2:$H$2701,raw!$B$2:$B$2701,'(2018-19b)'!$B11,raw!$E$2:$E$2701,'(2018-19b)'!$G$3,raw!$F$2:$F$2701,"Injuries at road traffic collisions")+SUMIFS(raw!$H$2:$H$2701,raw!$B$2:$B$2701,'(2018-19b)'!$B11,raw!$E$2:$E$2701,'(2018-19b)'!$G$3,raw!$F$2:$F$2701,"Injuries at other special service incidents")</f>
        <v>0</v>
      </c>
      <c r="I11" s="248">
        <f>SUMIFS(raw!$H$2:$H$2701,raw!$B$2:$B$2701,'(2018-19b)'!$B11,raw!$E$2:$E$2701,'(2018-19b)'!$I$2,raw!$F$2:$F$2701,'(2018-19b)'!I$4)</f>
        <v>0</v>
      </c>
      <c r="J11" s="248">
        <f>SUMIFS(raw!$H$2:$H$2701,raw!$B$2:$B$2701,'(2018-19b)'!$B11,raw!$E$2:$E$2701,'(2018-19b)'!$I$2,raw!$F$2:$F$2701,"Injuries at road traffic collisions")+SUMIFS(raw!$H$2:$H$2701,raw!$B$2:$B$2701,'(2018-19b)'!$B11,raw!$E$2:$E$2701,'(2018-19b)'!$I$2,raw!$F$2:$F$2701,"Injuries at other special service incidents")</f>
        <v>0</v>
      </c>
      <c r="K11" s="223"/>
      <c r="L11" s="223"/>
    </row>
    <row r="12" spans="1:13" ht="12.75" customHeight="1" x14ac:dyDescent="0.3">
      <c r="A12" s="247"/>
      <c r="B12" s="228" t="s">
        <v>13</v>
      </c>
      <c r="C12" s="248">
        <f>SUMIFS(raw!$H$2:$H$2701,raw!$B$2:$B$2701,'(2018-19b)'!$B12,raw!$E$2:$E$2701,'(2018-19b)'!$C$2,raw!$F$2:$F$2701,'(2018-19b)'!C$4)</f>
        <v>9</v>
      </c>
      <c r="D12" s="248">
        <f>SUMIFS(raw!$H$2:$H$2701,raw!$B$2:$B$2701,'(2018-19b)'!$B12,raw!$E$2:$E$2701,'(2018-19b)'!$C$2,raw!$F$2:$F$2701,"Injuries at road traffic collisions")+SUMIFS(raw!$H$2:$H$2701,raw!$B$2:$B$2701,'(2018-19b)'!$B12,raw!$E$2:$E$2701,'(2018-19b)'!$C$2,raw!$F$2:$F$2701,"Injuries at other special service incidents")</f>
        <v>3</v>
      </c>
      <c r="E12" s="248">
        <f>SUMIFS(raw!$H$2:$H$2701,raw!$B$2:$B$2701,'(2018-19b)'!$B12,raw!$E$2:$E$2701,'(2018-19b)'!$E$3,raw!$F$2:$F$2701,'(2018-19b)'!E$4)</f>
        <v>0</v>
      </c>
      <c r="F12" s="248">
        <f>SUMIFS(raw!$H$2:$H$2701,raw!$B$2:$B$2701,'(2018-19b)'!$B12,raw!$E$2:$E$2701,'(2018-19b)'!$E$3,raw!$F$2:$F$2701,"Injuries at road traffic collisions")+SUMIFS(raw!$H$2:$H$2701,raw!$B$2:$B$2701,'(2018-19b)'!$B12,raw!$E$2:$E$2701,'(2018-19b)'!$E$3,raw!$F$2:$F$2701,"Injuries at other special service incidents")</f>
        <v>0</v>
      </c>
      <c r="G12" s="248">
        <f>SUMIFS(raw!$H$2:$H$2701,raw!$B$2:$B$2701,'(2018-19b)'!$B12,raw!$E$2:$E$2701,'(2018-19b)'!$G$3,raw!$F$2:$F$2701,'(2018-19b)'!G$4)</f>
        <v>1</v>
      </c>
      <c r="H12" s="248">
        <f>SUMIFS(raw!$H$2:$H$2701,raw!$B$2:$B$2701,'(2018-19b)'!$B12,raw!$E$2:$E$2701,'(2018-19b)'!$G$3,raw!$F$2:$F$2701,"Injuries at road traffic collisions")+SUMIFS(raw!$H$2:$H$2701,raw!$B$2:$B$2701,'(2018-19b)'!$B12,raw!$E$2:$E$2701,'(2018-19b)'!$G$3,raw!$F$2:$F$2701,"Injuries at other special service incidents")</f>
        <v>1</v>
      </c>
      <c r="I12" s="248">
        <f>SUMIFS(raw!$H$2:$H$2701,raw!$B$2:$B$2701,'(2018-19b)'!$B12,raw!$E$2:$E$2701,'(2018-19b)'!$I$2,raw!$F$2:$F$2701,'(2018-19b)'!I$4)</f>
        <v>0</v>
      </c>
      <c r="J12" s="248">
        <f>SUMIFS(raw!$H$2:$H$2701,raw!$B$2:$B$2701,'(2018-19b)'!$B12,raw!$E$2:$E$2701,'(2018-19b)'!$I$2,raw!$F$2:$F$2701,"Injuries at road traffic collisions")+SUMIFS(raw!$H$2:$H$2701,raw!$B$2:$B$2701,'(2018-19b)'!$B12,raw!$E$2:$E$2701,'(2018-19b)'!$I$2,raw!$F$2:$F$2701,"Injuries at other special service incidents")</f>
        <v>0</v>
      </c>
      <c r="K12" s="223"/>
      <c r="L12" s="223"/>
    </row>
    <row r="13" spans="1:13" ht="12.75" customHeight="1" x14ac:dyDescent="0.3">
      <c r="A13" s="247"/>
      <c r="B13" s="228" t="s">
        <v>14</v>
      </c>
      <c r="C13" s="248">
        <f>SUMIFS(raw!$H$2:$H$2701,raw!$B$2:$B$2701,'(2018-19b)'!$B13,raw!$E$2:$E$2701,'(2018-19b)'!$C$2,raw!$F$2:$F$2701,'(2018-19b)'!C$4)</f>
        <v>3</v>
      </c>
      <c r="D13" s="248">
        <f>SUMIFS(raw!$H$2:$H$2701,raw!$B$2:$B$2701,'(2018-19b)'!$B13,raw!$E$2:$E$2701,'(2018-19b)'!$C$2,raw!$F$2:$F$2701,"Injuries at road traffic collisions")+SUMIFS(raw!$H$2:$H$2701,raw!$B$2:$B$2701,'(2018-19b)'!$B13,raw!$E$2:$E$2701,'(2018-19b)'!$C$2,raw!$F$2:$F$2701,"Injuries at other special service incidents")</f>
        <v>1</v>
      </c>
      <c r="E13" s="248">
        <f>SUMIFS(raw!$H$2:$H$2701,raw!$B$2:$B$2701,'(2018-19b)'!$B13,raw!$E$2:$E$2701,'(2018-19b)'!$E$3,raw!$F$2:$F$2701,'(2018-19b)'!E$4)</f>
        <v>2</v>
      </c>
      <c r="F13" s="248">
        <f>SUMIFS(raw!$H$2:$H$2701,raw!$B$2:$B$2701,'(2018-19b)'!$B13,raw!$E$2:$E$2701,'(2018-19b)'!$E$3,raw!$F$2:$F$2701,"Injuries at road traffic collisions")+SUMIFS(raw!$H$2:$H$2701,raw!$B$2:$B$2701,'(2018-19b)'!$B13,raw!$E$2:$E$2701,'(2018-19b)'!$E$3,raw!$F$2:$F$2701,"Injuries at other special service incidents")</f>
        <v>0</v>
      </c>
      <c r="G13" s="248">
        <f>SUMIFS(raw!$H$2:$H$2701,raw!$B$2:$B$2701,'(2018-19b)'!$B13,raw!$E$2:$E$2701,'(2018-19b)'!$G$3,raw!$F$2:$F$2701,'(2018-19b)'!G$4)</f>
        <v>2</v>
      </c>
      <c r="H13" s="248">
        <f>SUMIFS(raw!$H$2:$H$2701,raw!$B$2:$B$2701,'(2018-19b)'!$B13,raw!$E$2:$E$2701,'(2018-19b)'!$G$3,raw!$F$2:$F$2701,"Injuries at road traffic collisions")+SUMIFS(raw!$H$2:$H$2701,raw!$B$2:$B$2701,'(2018-19b)'!$B13,raw!$E$2:$E$2701,'(2018-19b)'!$G$3,raw!$F$2:$F$2701,"Injuries at other special service incidents")</f>
        <v>0</v>
      </c>
      <c r="I13" s="248">
        <f>SUMIFS(raw!$H$2:$H$2701,raw!$B$2:$B$2701,'(2018-19b)'!$B13,raw!$E$2:$E$2701,'(2018-19b)'!$I$2,raw!$F$2:$F$2701,'(2018-19b)'!I$4)</f>
        <v>0</v>
      </c>
      <c r="J13" s="248">
        <f>SUMIFS(raw!$H$2:$H$2701,raw!$B$2:$B$2701,'(2018-19b)'!$B13,raw!$E$2:$E$2701,'(2018-19b)'!$I$2,raw!$F$2:$F$2701,"Injuries at road traffic collisions")+SUMIFS(raw!$H$2:$H$2701,raw!$B$2:$B$2701,'(2018-19b)'!$B13,raw!$E$2:$E$2701,'(2018-19b)'!$I$2,raw!$F$2:$F$2701,"Injuries at other special service incidents")</f>
        <v>0</v>
      </c>
      <c r="K13" s="223"/>
      <c r="L13" s="223"/>
    </row>
    <row r="14" spans="1:13" ht="12.75" customHeight="1" x14ac:dyDescent="0.3">
      <c r="A14" s="247"/>
      <c r="B14" s="228" t="s">
        <v>15</v>
      </c>
      <c r="C14" s="248">
        <f>SUMIFS(raw!$H$2:$H$2701,raw!$B$2:$B$2701,'(2018-19b)'!$B14,raw!$E$2:$E$2701,'(2018-19b)'!$C$2,raw!$F$2:$F$2701,'(2018-19b)'!C$4)</f>
        <v>1</v>
      </c>
      <c r="D14" s="248">
        <f>SUMIFS(raw!$H$2:$H$2701,raw!$B$2:$B$2701,'(2018-19b)'!$B14,raw!$E$2:$E$2701,'(2018-19b)'!$C$2,raw!$F$2:$F$2701,"Injuries at road traffic collisions")+SUMIFS(raw!$H$2:$H$2701,raw!$B$2:$B$2701,'(2018-19b)'!$B14,raw!$E$2:$E$2701,'(2018-19b)'!$C$2,raw!$F$2:$F$2701,"Injuries at other special service incidents")</f>
        <v>4</v>
      </c>
      <c r="E14" s="248">
        <f>SUMIFS(raw!$H$2:$H$2701,raw!$B$2:$B$2701,'(2018-19b)'!$B14,raw!$E$2:$E$2701,'(2018-19b)'!$E$3,raw!$F$2:$F$2701,'(2018-19b)'!E$4)</f>
        <v>0</v>
      </c>
      <c r="F14" s="248">
        <f>SUMIFS(raw!$H$2:$H$2701,raw!$B$2:$B$2701,'(2018-19b)'!$B14,raw!$E$2:$E$2701,'(2018-19b)'!$E$3,raw!$F$2:$F$2701,"Injuries at road traffic collisions")+SUMIFS(raw!$H$2:$H$2701,raw!$B$2:$B$2701,'(2018-19b)'!$B14,raw!$E$2:$E$2701,'(2018-19b)'!$E$3,raw!$F$2:$F$2701,"Injuries at other special service incidents")</f>
        <v>1</v>
      </c>
      <c r="G14" s="248">
        <f>SUMIFS(raw!$H$2:$H$2701,raw!$B$2:$B$2701,'(2018-19b)'!$B14,raw!$E$2:$E$2701,'(2018-19b)'!$G$3,raw!$F$2:$F$2701,'(2018-19b)'!G$4)</f>
        <v>0</v>
      </c>
      <c r="H14" s="248">
        <f>SUMIFS(raw!$H$2:$H$2701,raw!$B$2:$B$2701,'(2018-19b)'!$B14,raw!$E$2:$E$2701,'(2018-19b)'!$G$3,raw!$F$2:$F$2701,"Injuries at road traffic collisions")+SUMIFS(raw!$H$2:$H$2701,raw!$B$2:$B$2701,'(2018-19b)'!$B14,raw!$E$2:$E$2701,'(2018-19b)'!$G$3,raw!$F$2:$F$2701,"Injuries at other special service incidents")</f>
        <v>1</v>
      </c>
      <c r="I14" s="248">
        <f>SUMIFS(raw!$H$2:$H$2701,raw!$B$2:$B$2701,'(2018-19b)'!$B14,raw!$E$2:$E$2701,'(2018-19b)'!$I$2,raw!$F$2:$F$2701,'(2018-19b)'!I$4)</f>
        <v>0</v>
      </c>
      <c r="J14" s="248">
        <f>SUMIFS(raw!$H$2:$H$2701,raw!$B$2:$B$2701,'(2018-19b)'!$B14,raw!$E$2:$E$2701,'(2018-19b)'!$I$2,raw!$F$2:$F$2701,"Injuries at road traffic collisions")+SUMIFS(raw!$H$2:$H$2701,raw!$B$2:$B$2701,'(2018-19b)'!$B14,raw!$E$2:$E$2701,'(2018-19b)'!$I$2,raw!$F$2:$F$2701,"Injuries at other special service incidents")</f>
        <v>0</v>
      </c>
      <c r="K14" s="223"/>
      <c r="L14" s="223"/>
    </row>
    <row r="15" spans="1:13" ht="12.75" customHeight="1" x14ac:dyDescent="0.3">
      <c r="A15" s="247"/>
      <c r="B15" s="228" t="s">
        <v>16</v>
      </c>
      <c r="C15" s="248">
        <f>SUMIFS(raw!$H$2:$H$2701,raw!$B$2:$B$2701,'(2018-19b)'!$B15,raw!$E$2:$E$2701,'(2018-19b)'!$C$2,raw!$F$2:$F$2701,'(2018-19b)'!C$4)</f>
        <v>6</v>
      </c>
      <c r="D15" s="248">
        <f>SUMIFS(raw!$H$2:$H$2701,raw!$B$2:$B$2701,'(2018-19b)'!$B15,raw!$E$2:$E$2701,'(2018-19b)'!$C$2,raw!$F$2:$F$2701,"Injuries at road traffic collisions")+SUMIFS(raw!$H$2:$H$2701,raw!$B$2:$B$2701,'(2018-19b)'!$B15,raw!$E$2:$E$2701,'(2018-19b)'!$C$2,raw!$F$2:$F$2701,"Injuries at other special service incidents")</f>
        <v>5</v>
      </c>
      <c r="E15" s="248">
        <f>SUMIFS(raw!$H$2:$H$2701,raw!$B$2:$B$2701,'(2018-19b)'!$B15,raw!$E$2:$E$2701,'(2018-19b)'!$E$3,raw!$F$2:$F$2701,'(2018-19b)'!E$4)</f>
        <v>2</v>
      </c>
      <c r="F15" s="248">
        <f>SUMIFS(raw!$H$2:$H$2701,raw!$B$2:$B$2701,'(2018-19b)'!$B15,raw!$E$2:$E$2701,'(2018-19b)'!$E$3,raw!$F$2:$F$2701,"Injuries at road traffic collisions")+SUMIFS(raw!$H$2:$H$2701,raw!$B$2:$B$2701,'(2018-19b)'!$B15,raw!$E$2:$E$2701,'(2018-19b)'!$E$3,raw!$F$2:$F$2701,"Injuries at other special service incidents")</f>
        <v>0</v>
      </c>
      <c r="G15" s="248">
        <f>SUMIFS(raw!$H$2:$H$2701,raw!$B$2:$B$2701,'(2018-19b)'!$B15,raw!$E$2:$E$2701,'(2018-19b)'!$G$3,raw!$F$2:$F$2701,'(2018-19b)'!G$4)</f>
        <v>0</v>
      </c>
      <c r="H15" s="248">
        <f>SUMIFS(raw!$H$2:$H$2701,raw!$B$2:$B$2701,'(2018-19b)'!$B15,raw!$E$2:$E$2701,'(2018-19b)'!$G$3,raw!$F$2:$F$2701,"Injuries at road traffic collisions")+SUMIFS(raw!$H$2:$H$2701,raw!$B$2:$B$2701,'(2018-19b)'!$B15,raw!$E$2:$E$2701,'(2018-19b)'!$G$3,raw!$F$2:$F$2701,"Injuries at other special service incidents")</f>
        <v>0</v>
      </c>
      <c r="I15" s="248">
        <f>SUMIFS(raw!$H$2:$H$2701,raw!$B$2:$B$2701,'(2018-19b)'!$B15,raw!$E$2:$E$2701,'(2018-19b)'!$I$2,raw!$F$2:$F$2701,'(2018-19b)'!I$4)</f>
        <v>0</v>
      </c>
      <c r="J15" s="248">
        <f>SUMIFS(raw!$H$2:$H$2701,raw!$B$2:$B$2701,'(2018-19b)'!$B15,raw!$E$2:$E$2701,'(2018-19b)'!$I$2,raw!$F$2:$F$2701,"Injuries at road traffic collisions")+SUMIFS(raw!$H$2:$H$2701,raw!$B$2:$B$2701,'(2018-19b)'!$B15,raw!$E$2:$E$2701,'(2018-19b)'!$I$2,raw!$F$2:$F$2701,"Injuries at other special service incidents")</f>
        <v>0</v>
      </c>
      <c r="K15" s="223"/>
      <c r="L15" s="223"/>
    </row>
    <row r="16" spans="1:13" ht="12.75" customHeight="1" x14ac:dyDescent="0.3">
      <c r="A16" s="247"/>
      <c r="B16" s="228" t="s">
        <v>17</v>
      </c>
      <c r="C16" s="248">
        <f>SUMIFS(raw!$H$2:$H$2701,raw!$B$2:$B$2701,'(2018-19b)'!$B16,raw!$E$2:$E$2701,'(2018-19b)'!$C$2,raw!$F$2:$F$2701,'(2018-19b)'!C$4)</f>
        <v>6</v>
      </c>
      <c r="D16" s="248">
        <f>SUMIFS(raw!$H$2:$H$2701,raw!$B$2:$B$2701,'(2018-19b)'!$B16,raw!$E$2:$E$2701,'(2018-19b)'!$C$2,raw!$F$2:$F$2701,"Injuries at road traffic collisions")+SUMIFS(raw!$H$2:$H$2701,raw!$B$2:$B$2701,'(2018-19b)'!$B16,raw!$E$2:$E$2701,'(2018-19b)'!$C$2,raw!$F$2:$F$2701,"Injuries at other special service incidents")</f>
        <v>1</v>
      </c>
      <c r="E16" s="248">
        <f>SUMIFS(raw!$H$2:$H$2701,raw!$B$2:$B$2701,'(2018-19b)'!$B16,raw!$E$2:$E$2701,'(2018-19b)'!$E$3,raw!$F$2:$F$2701,'(2018-19b)'!E$4)</f>
        <v>2</v>
      </c>
      <c r="F16" s="248">
        <f>SUMIFS(raw!$H$2:$H$2701,raw!$B$2:$B$2701,'(2018-19b)'!$B16,raw!$E$2:$E$2701,'(2018-19b)'!$E$3,raw!$F$2:$F$2701,"Injuries at road traffic collisions")+SUMIFS(raw!$H$2:$H$2701,raw!$B$2:$B$2701,'(2018-19b)'!$B16,raw!$E$2:$E$2701,'(2018-19b)'!$E$3,raw!$F$2:$F$2701,"Injuries at other special service incidents")</f>
        <v>0</v>
      </c>
      <c r="G16" s="248">
        <f>SUMIFS(raw!$H$2:$H$2701,raw!$B$2:$B$2701,'(2018-19b)'!$B16,raw!$E$2:$E$2701,'(2018-19b)'!$G$3,raw!$F$2:$F$2701,'(2018-19b)'!G$4)</f>
        <v>2</v>
      </c>
      <c r="H16" s="248">
        <f>SUMIFS(raw!$H$2:$H$2701,raw!$B$2:$B$2701,'(2018-19b)'!$B16,raw!$E$2:$E$2701,'(2018-19b)'!$G$3,raw!$F$2:$F$2701,"Injuries at road traffic collisions")+SUMIFS(raw!$H$2:$H$2701,raw!$B$2:$B$2701,'(2018-19b)'!$B16,raw!$E$2:$E$2701,'(2018-19b)'!$G$3,raw!$F$2:$F$2701,"Injuries at other special service incidents")</f>
        <v>0</v>
      </c>
      <c r="I16" s="248">
        <f>SUMIFS(raw!$H$2:$H$2701,raw!$B$2:$B$2701,'(2018-19b)'!$B16,raw!$E$2:$E$2701,'(2018-19b)'!$I$2,raw!$F$2:$F$2701,'(2018-19b)'!I$4)</f>
        <v>0</v>
      </c>
      <c r="J16" s="248">
        <f>SUMIFS(raw!$H$2:$H$2701,raw!$B$2:$B$2701,'(2018-19b)'!$B16,raw!$E$2:$E$2701,'(2018-19b)'!$I$2,raw!$F$2:$F$2701,"Injuries at road traffic collisions")+SUMIFS(raw!$H$2:$H$2701,raw!$B$2:$B$2701,'(2018-19b)'!$B16,raw!$E$2:$E$2701,'(2018-19b)'!$I$2,raw!$F$2:$F$2701,"Injuries at other special service incidents")</f>
        <v>0</v>
      </c>
      <c r="K16" s="223"/>
      <c r="L16" s="223"/>
    </row>
    <row r="17" spans="1:12" ht="12.75" customHeight="1" x14ac:dyDescent="0.3">
      <c r="A17" s="247"/>
      <c r="B17" s="228" t="s">
        <v>163</v>
      </c>
      <c r="C17" s="248">
        <f>SUMIFS(raw!$H$2:$H$2701,raw!$B$2:$B$2701,'(2018-19b)'!$B17,raw!$E$2:$E$2701,'(2018-19b)'!$C$2,raw!$F$2:$F$2701,'(2018-19b)'!C$4)</f>
        <v>12</v>
      </c>
      <c r="D17" s="248">
        <f>SUMIFS(raw!$H$2:$H$2701,raw!$B$2:$B$2701,'(2018-19b)'!$B17,raw!$E$2:$E$2701,'(2018-19b)'!$C$2,raw!$F$2:$F$2701,"Injuries at road traffic collisions")+SUMIFS(raw!$H$2:$H$2701,raw!$B$2:$B$2701,'(2018-19b)'!$B17,raw!$E$2:$E$2701,'(2018-19b)'!$C$2,raw!$F$2:$F$2701,"Injuries at other special service incidents")</f>
        <v>6</v>
      </c>
      <c r="E17" s="248">
        <f>SUMIFS(raw!$H$2:$H$2701,raw!$B$2:$B$2701,'(2018-19b)'!$B17,raw!$E$2:$E$2701,'(2018-19b)'!$E$3,raw!$F$2:$F$2701,'(2018-19b)'!E$4)</f>
        <v>4</v>
      </c>
      <c r="F17" s="248">
        <f>SUMIFS(raw!$H$2:$H$2701,raw!$B$2:$B$2701,'(2018-19b)'!$B17,raw!$E$2:$E$2701,'(2018-19b)'!$E$3,raw!$F$2:$F$2701,"Injuries at road traffic collisions")+SUMIFS(raw!$H$2:$H$2701,raw!$B$2:$B$2701,'(2018-19b)'!$B17,raw!$E$2:$E$2701,'(2018-19b)'!$E$3,raw!$F$2:$F$2701,"Injuries at other special service incidents")</f>
        <v>1</v>
      </c>
      <c r="G17" s="248">
        <f>SUMIFS(raw!$H$2:$H$2701,raw!$B$2:$B$2701,'(2018-19b)'!$B17,raw!$E$2:$E$2701,'(2018-19b)'!$G$3,raw!$F$2:$F$2701,'(2018-19b)'!G$4)</f>
        <v>0</v>
      </c>
      <c r="H17" s="248">
        <f>SUMIFS(raw!$H$2:$H$2701,raw!$B$2:$B$2701,'(2018-19b)'!$B17,raw!$E$2:$E$2701,'(2018-19b)'!$G$3,raw!$F$2:$F$2701,"Injuries at road traffic collisions")+SUMIFS(raw!$H$2:$H$2701,raw!$B$2:$B$2701,'(2018-19b)'!$B17,raw!$E$2:$E$2701,'(2018-19b)'!$G$3,raw!$F$2:$F$2701,"Injuries at other special service incidents")</f>
        <v>0</v>
      </c>
      <c r="I17" s="248">
        <f>SUMIFS(raw!$H$2:$H$2701,raw!$B$2:$B$2701,'(2018-19b)'!$B17,raw!$E$2:$E$2701,'(2018-19b)'!$I$2,raw!$F$2:$F$2701,'(2018-19b)'!I$4)</f>
        <v>0</v>
      </c>
      <c r="J17" s="248">
        <f>SUMIFS(raw!$H$2:$H$2701,raw!$B$2:$B$2701,'(2018-19b)'!$B17,raw!$E$2:$E$2701,'(2018-19b)'!$I$2,raw!$F$2:$F$2701,"Injuries at road traffic collisions")+SUMIFS(raw!$H$2:$H$2701,raw!$B$2:$B$2701,'(2018-19b)'!$B17,raw!$E$2:$E$2701,'(2018-19b)'!$I$2,raw!$F$2:$F$2701,"Injuries at other special service incidents")</f>
        <v>0</v>
      </c>
      <c r="K17" s="223"/>
      <c r="L17" s="223"/>
    </row>
    <row r="18" spans="1:12" ht="12.75" customHeight="1" x14ac:dyDescent="0.3">
      <c r="A18" s="247"/>
      <c r="B18" s="228" t="s">
        <v>197</v>
      </c>
      <c r="C18" s="248">
        <f>SUMIFS(raw!$H$2:$H$2701,raw!$B$2:$B$2701,'(2018-19b)'!$B18,raw!$E$2:$E$2701,'(2018-19b)'!$C$2,raw!$F$2:$F$2701,'(2018-19b)'!C$4)</f>
        <v>26</v>
      </c>
      <c r="D18" s="248">
        <f>SUMIFS(raw!$H$2:$H$2701,raw!$B$2:$B$2701,'(2018-19b)'!$B18,raw!$E$2:$E$2701,'(2018-19b)'!$C$2,raw!$F$2:$F$2701,"Injuries at road traffic collisions")+SUMIFS(raw!$H$2:$H$2701,raw!$B$2:$B$2701,'(2018-19b)'!$B18,raw!$E$2:$E$2701,'(2018-19b)'!$C$2,raw!$F$2:$F$2701,"Injuries at other special service incidents")</f>
        <v>9</v>
      </c>
      <c r="E18" s="248">
        <f>SUMIFS(raw!$H$2:$H$2701,raw!$B$2:$B$2701,'(2018-19b)'!$B18,raw!$E$2:$E$2701,'(2018-19b)'!$E$3,raw!$F$2:$F$2701,'(2018-19b)'!E$4)</f>
        <v>4</v>
      </c>
      <c r="F18" s="248">
        <f>SUMIFS(raw!$H$2:$H$2701,raw!$B$2:$B$2701,'(2018-19b)'!$B18,raw!$E$2:$E$2701,'(2018-19b)'!$E$3,raw!$F$2:$F$2701,"Injuries at road traffic collisions")+SUMIFS(raw!$H$2:$H$2701,raw!$B$2:$B$2701,'(2018-19b)'!$B18,raw!$E$2:$E$2701,'(2018-19b)'!$E$3,raw!$F$2:$F$2701,"Injuries at other special service incidents")</f>
        <v>1</v>
      </c>
      <c r="G18" s="248">
        <f>SUMIFS(raw!$H$2:$H$2701,raw!$B$2:$B$2701,'(2018-19b)'!$B18,raw!$E$2:$E$2701,'(2018-19b)'!$G$3,raw!$F$2:$F$2701,'(2018-19b)'!G$4)</f>
        <v>0</v>
      </c>
      <c r="H18" s="248">
        <f>SUMIFS(raw!$H$2:$H$2701,raw!$B$2:$B$2701,'(2018-19b)'!$B18,raw!$E$2:$E$2701,'(2018-19b)'!$G$3,raw!$F$2:$F$2701,"Injuries at road traffic collisions")+SUMIFS(raw!$H$2:$H$2701,raw!$B$2:$B$2701,'(2018-19b)'!$B18,raw!$E$2:$E$2701,'(2018-19b)'!$G$3,raw!$F$2:$F$2701,"Injuries at other special service incidents")</f>
        <v>0</v>
      </c>
      <c r="I18" s="248">
        <f>SUMIFS(raw!$H$2:$H$2701,raw!$B$2:$B$2701,'(2018-19b)'!$B18,raw!$E$2:$E$2701,'(2018-19b)'!$I$2,raw!$F$2:$F$2701,'(2018-19b)'!I$4)</f>
        <v>0</v>
      </c>
      <c r="J18" s="248">
        <f>SUMIFS(raw!$H$2:$H$2701,raw!$B$2:$B$2701,'(2018-19b)'!$B18,raw!$E$2:$E$2701,'(2018-19b)'!$I$2,raw!$F$2:$F$2701,"Injuries at road traffic collisions")+SUMIFS(raw!$H$2:$H$2701,raw!$B$2:$B$2701,'(2018-19b)'!$B18,raw!$E$2:$E$2701,'(2018-19b)'!$I$2,raw!$F$2:$F$2701,"Injuries at other special service incidents")</f>
        <v>0</v>
      </c>
      <c r="K18" s="223"/>
      <c r="L18" s="223"/>
    </row>
    <row r="19" spans="1:12" ht="12.75" customHeight="1" x14ac:dyDescent="0.3">
      <c r="A19" s="247"/>
      <c r="B19" s="228" t="s">
        <v>20</v>
      </c>
      <c r="C19" s="248">
        <f>SUMIFS(raw!$H$2:$H$2701,raw!$B$2:$B$2701,'(2018-19b)'!$B19,raw!$E$2:$E$2701,'(2018-19b)'!$C$2,raw!$F$2:$F$2701,'(2018-19b)'!C$4)</f>
        <v>7</v>
      </c>
      <c r="D19" s="248">
        <f>SUMIFS(raw!$H$2:$H$2701,raw!$B$2:$B$2701,'(2018-19b)'!$B19,raw!$E$2:$E$2701,'(2018-19b)'!$C$2,raw!$F$2:$F$2701,"Injuries at road traffic collisions")+SUMIFS(raw!$H$2:$H$2701,raw!$B$2:$B$2701,'(2018-19b)'!$B19,raw!$E$2:$E$2701,'(2018-19b)'!$C$2,raw!$F$2:$F$2701,"Injuries at other special service incidents")</f>
        <v>2</v>
      </c>
      <c r="E19" s="248">
        <f>SUMIFS(raw!$H$2:$H$2701,raw!$B$2:$B$2701,'(2018-19b)'!$B19,raw!$E$2:$E$2701,'(2018-19b)'!$E$3,raw!$F$2:$F$2701,'(2018-19b)'!E$4)</f>
        <v>1</v>
      </c>
      <c r="F19" s="248">
        <f>SUMIFS(raw!$H$2:$H$2701,raw!$B$2:$B$2701,'(2018-19b)'!$B19,raw!$E$2:$E$2701,'(2018-19b)'!$E$3,raw!$F$2:$F$2701,"Injuries at road traffic collisions")+SUMIFS(raw!$H$2:$H$2701,raw!$B$2:$B$2701,'(2018-19b)'!$B19,raw!$E$2:$E$2701,'(2018-19b)'!$E$3,raw!$F$2:$F$2701,"Injuries at other special service incidents")</f>
        <v>0</v>
      </c>
      <c r="G19" s="248">
        <f>SUMIFS(raw!$H$2:$H$2701,raw!$B$2:$B$2701,'(2018-19b)'!$B19,raw!$E$2:$E$2701,'(2018-19b)'!$G$3,raw!$F$2:$F$2701,'(2018-19b)'!G$4)</f>
        <v>0</v>
      </c>
      <c r="H19" s="248">
        <f>SUMIFS(raw!$H$2:$H$2701,raw!$B$2:$B$2701,'(2018-19b)'!$B19,raw!$E$2:$E$2701,'(2018-19b)'!$G$3,raw!$F$2:$F$2701,"Injuries at road traffic collisions")+SUMIFS(raw!$H$2:$H$2701,raw!$B$2:$B$2701,'(2018-19b)'!$B19,raw!$E$2:$E$2701,'(2018-19b)'!$G$3,raw!$F$2:$F$2701,"Injuries at other special service incidents")</f>
        <v>0</v>
      </c>
      <c r="I19" s="248">
        <f>SUMIFS(raw!$H$2:$H$2701,raw!$B$2:$B$2701,'(2018-19b)'!$B19,raw!$E$2:$E$2701,'(2018-19b)'!$I$2,raw!$F$2:$F$2701,'(2018-19b)'!I$4)</f>
        <v>0</v>
      </c>
      <c r="J19" s="248">
        <f>SUMIFS(raw!$H$2:$H$2701,raw!$B$2:$B$2701,'(2018-19b)'!$B19,raw!$E$2:$E$2701,'(2018-19b)'!$I$2,raw!$F$2:$F$2701,"Injuries at road traffic collisions")+SUMIFS(raw!$H$2:$H$2701,raw!$B$2:$B$2701,'(2018-19b)'!$B19,raw!$E$2:$E$2701,'(2018-19b)'!$I$2,raw!$F$2:$F$2701,"Injuries at other special service incidents")</f>
        <v>0</v>
      </c>
      <c r="K19" s="223"/>
      <c r="L19" s="223"/>
    </row>
    <row r="20" spans="1:12" ht="12.75" customHeight="1" x14ac:dyDescent="0.3">
      <c r="A20" s="247"/>
      <c r="B20" s="228" t="s">
        <v>21</v>
      </c>
      <c r="C20" s="248">
        <f>SUMIFS(raw!$H$2:$H$2701,raw!$B$2:$B$2701,'(2018-19b)'!$B20,raw!$E$2:$E$2701,'(2018-19b)'!$C$2,raw!$F$2:$F$2701,'(2018-19b)'!C$4)</f>
        <v>16</v>
      </c>
      <c r="D20" s="248">
        <f>SUMIFS(raw!$H$2:$H$2701,raw!$B$2:$B$2701,'(2018-19b)'!$B20,raw!$E$2:$E$2701,'(2018-19b)'!$C$2,raw!$F$2:$F$2701,"Injuries at road traffic collisions")+SUMIFS(raw!$H$2:$H$2701,raw!$B$2:$B$2701,'(2018-19b)'!$B20,raw!$E$2:$E$2701,'(2018-19b)'!$C$2,raw!$F$2:$F$2701,"Injuries at other special service incidents")</f>
        <v>19</v>
      </c>
      <c r="E20" s="248">
        <f>SUMIFS(raw!$H$2:$H$2701,raw!$B$2:$B$2701,'(2018-19b)'!$B20,raw!$E$2:$E$2701,'(2018-19b)'!$E$3,raw!$F$2:$F$2701,'(2018-19b)'!E$4)</f>
        <v>1</v>
      </c>
      <c r="F20" s="248">
        <f>SUMIFS(raw!$H$2:$H$2701,raw!$B$2:$B$2701,'(2018-19b)'!$B20,raw!$E$2:$E$2701,'(2018-19b)'!$E$3,raw!$F$2:$F$2701,"Injuries at road traffic collisions")+SUMIFS(raw!$H$2:$H$2701,raw!$B$2:$B$2701,'(2018-19b)'!$B20,raw!$E$2:$E$2701,'(2018-19b)'!$E$3,raw!$F$2:$F$2701,"Injuries at other special service incidents")</f>
        <v>1</v>
      </c>
      <c r="G20" s="248">
        <f>SUMIFS(raw!$H$2:$H$2701,raw!$B$2:$B$2701,'(2018-19b)'!$B20,raw!$E$2:$E$2701,'(2018-19b)'!$G$3,raw!$F$2:$F$2701,'(2018-19b)'!G$4)</f>
        <v>0</v>
      </c>
      <c r="H20" s="248">
        <f>SUMIFS(raw!$H$2:$H$2701,raw!$B$2:$B$2701,'(2018-19b)'!$B20,raw!$E$2:$E$2701,'(2018-19b)'!$G$3,raw!$F$2:$F$2701,"Injuries at road traffic collisions")+SUMIFS(raw!$H$2:$H$2701,raw!$B$2:$B$2701,'(2018-19b)'!$B20,raw!$E$2:$E$2701,'(2018-19b)'!$G$3,raw!$F$2:$F$2701,"Injuries at other special service incidents")</f>
        <v>0</v>
      </c>
      <c r="I20" s="248">
        <f>SUMIFS(raw!$H$2:$H$2701,raw!$B$2:$B$2701,'(2018-19b)'!$B20,raw!$E$2:$E$2701,'(2018-19b)'!$I$2,raw!$F$2:$F$2701,'(2018-19b)'!I$4)</f>
        <v>0</v>
      </c>
      <c r="J20" s="248">
        <f>SUMIFS(raw!$H$2:$H$2701,raw!$B$2:$B$2701,'(2018-19b)'!$B20,raw!$E$2:$E$2701,'(2018-19b)'!$I$2,raw!$F$2:$F$2701,"Injuries at road traffic collisions")+SUMIFS(raw!$H$2:$H$2701,raw!$B$2:$B$2701,'(2018-19b)'!$B20,raw!$E$2:$E$2701,'(2018-19b)'!$I$2,raw!$F$2:$F$2701,"Injuries at other special service incidents")</f>
        <v>0</v>
      </c>
      <c r="K20" s="223"/>
      <c r="L20" s="223"/>
    </row>
    <row r="21" spans="1:12" ht="12.75" customHeight="1" x14ac:dyDescent="0.3">
      <c r="A21" s="247"/>
      <c r="B21" s="228" t="s">
        <v>22</v>
      </c>
      <c r="C21" s="248">
        <f>SUMIFS(raw!$H$2:$H$2701,raw!$B$2:$B$2701,'(2018-19b)'!$B21,raw!$E$2:$E$2701,'(2018-19b)'!$C$2,raw!$F$2:$F$2701,'(2018-19b)'!C$4)</f>
        <v>34</v>
      </c>
      <c r="D21" s="248">
        <f>SUMIFS(raw!$H$2:$H$2701,raw!$B$2:$B$2701,'(2018-19b)'!$B21,raw!$E$2:$E$2701,'(2018-19b)'!$C$2,raw!$F$2:$F$2701,"Injuries at road traffic collisions")+SUMIFS(raw!$H$2:$H$2701,raw!$B$2:$B$2701,'(2018-19b)'!$B21,raw!$E$2:$E$2701,'(2018-19b)'!$C$2,raw!$F$2:$F$2701,"Injuries at other special service incidents")</f>
        <v>8</v>
      </c>
      <c r="E21" s="248">
        <f>SUMIFS(raw!$H$2:$H$2701,raw!$B$2:$B$2701,'(2018-19b)'!$B21,raw!$E$2:$E$2701,'(2018-19b)'!$E$3,raw!$F$2:$F$2701,'(2018-19b)'!E$4)</f>
        <v>8</v>
      </c>
      <c r="F21" s="248">
        <f>SUMIFS(raw!$H$2:$H$2701,raw!$B$2:$B$2701,'(2018-19b)'!$B21,raw!$E$2:$E$2701,'(2018-19b)'!$E$3,raw!$F$2:$F$2701,"Injuries at road traffic collisions")+SUMIFS(raw!$H$2:$H$2701,raw!$B$2:$B$2701,'(2018-19b)'!$B21,raw!$E$2:$E$2701,'(2018-19b)'!$E$3,raw!$F$2:$F$2701,"Injuries at other special service incidents")</f>
        <v>1</v>
      </c>
      <c r="G21" s="248">
        <f>SUMIFS(raw!$H$2:$H$2701,raw!$B$2:$B$2701,'(2018-19b)'!$B21,raw!$E$2:$E$2701,'(2018-19b)'!$G$3,raw!$F$2:$F$2701,'(2018-19b)'!G$4)</f>
        <v>2</v>
      </c>
      <c r="H21" s="248">
        <f>SUMIFS(raw!$H$2:$H$2701,raw!$B$2:$B$2701,'(2018-19b)'!$B21,raw!$E$2:$E$2701,'(2018-19b)'!$G$3,raw!$F$2:$F$2701,"Injuries at road traffic collisions")+SUMIFS(raw!$H$2:$H$2701,raw!$B$2:$B$2701,'(2018-19b)'!$B21,raw!$E$2:$E$2701,'(2018-19b)'!$G$3,raw!$F$2:$F$2701,"Injuries at other special service incidents")</f>
        <v>0</v>
      </c>
      <c r="I21" s="248">
        <f>SUMIFS(raw!$H$2:$H$2701,raw!$B$2:$B$2701,'(2018-19b)'!$B21,raw!$E$2:$E$2701,'(2018-19b)'!$I$2,raw!$F$2:$F$2701,'(2018-19b)'!I$4)</f>
        <v>0</v>
      </c>
      <c r="J21" s="248">
        <f>SUMIFS(raw!$H$2:$H$2701,raw!$B$2:$B$2701,'(2018-19b)'!$B21,raw!$E$2:$E$2701,'(2018-19b)'!$I$2,raw!$F$2:$F$2701,"Injuries at road traffic collisions")+SUMIFS(raw!$H$2:$H$2701,raw!$B$2:$B$2701,'(2018-19b)'!$B21,raw!$E$2:$E$2701,'(2018-19b)'!$I$2,raw!$F$2:$F$2701,"Injuries at other special service incidents")</f>
        <v>0</v>
      </c>
      <c r="K21" s="223"/>
      <c r="L21" s="223"/>
    </row>
    <row r="22" spans="1:12" ht="12.75" customHeight="1" x14ac:dyDescent="0.3">
      <c r="A22" s="247"/>
      <c r="B22" s="228" t="s">
        <v>23</v>
      </c>
      <c r="C22" s="248">
        <f>SUMIFS(raw!$H$2:$H$2701,raw!$B$2:$B$2701,'(2018-19b)'!$B22,raw!$E$2:$E$2701,'(2018-19b)'!$C$2,raw!$F$2:$F$2701,'(2018-19b)'!C$4)</f>
        <v>9</v>
      </c>
      <c r="D22" s="248">
        <f>SUMIFS(raw!$H$2:$H$2701,raw!$B$2:$B$2701,'(2018-19b)'!$B22,raw!$E$2:$E$2701,'(2018-19b)'!$C$2,raw!$F$2:$F$2701,"Injuries at road traffic collisions")+SUMIFS(raw!$H$2:$H$2701,raw!$B$2:$B$2701,'(2018-19b)'!$B22,raw!$E$2:$E$2701,'(2018-19b)'!$C$2,raw!$F$2:$F$2701,"Injuries at other special service incidents")</f>
        <v>6</v>
      </c>
      <c r="E22" s="248">
        <f>SUMIFS(raw!$H$2:$H$2701,raw!$B$2:$B$2701,'(2018-19b)'!$B22,raw!$E$2:$E$2701,'(2018-19b)'!$E$3,raw!$F$2:$F$2701,'(2018-19b)'!E$4)</f>
        <v>0</v>
      </c>
      <c r="F22" s="248">
        <f>SUMIFS(raw!$H$2:$H$2701,raw!$B$2:$B$2701,'(2018-19b)'!$B22,raw!$E$2:$E$2701,'(2018-19b)'!$E$3,raw!$F$2:$F$2701,"Injuries at road traffic collisions")+SUMIFS(raw!$H$2:$H$2701,raw!$B$2:$B$2701,'(2018-19b)'!$B22,raw!$E$2:$E$2701,'(2018-19b)'!$E$3,raw!$F$2:$F$2701,"Injuries at other special service incidents")</f>
        <v>0</v>
      </c>
      <c r="G22" s="248">
        <f>SUMIFS(raw!$H$2:$H$2701,raw!$B$2:$B$2701,'(2018-19b)'!$B22,raw!$E$2:$E$2701,'(2018-19b)'!$G$3,raw!$F$2:$F$2701,'(2018-19b)'!G$4)</f>
        <v>1</v>
      </c>
      <c r="H22" s="248">
        <f>SUMIFS(raw!$H$2:$H$2701,raw!$B$2:$B$2701,'(2018-19b)'!$B22,raw!$E$2:$E$2701,'(2018-19b)'!$G$3,raw!$F$2:$F$2701,"Injuries at road traffic collisions")+SUMIFS(raw!$H$2:$H$2701,raw!$B$2:$B$2701,'(2018-19b)'!$B22,raw!$E$2:$E$2701,'(2018-19b)'!$G$3,raw!$F$2:$F$2701,"Injuries at other special service incidents")</f>
        <v>0</v>
      </c>
      <c r="I22" s="248">
        <f>SUMIFS(raw!$H$2:$H$2701,raw!$B$2:$B$2701,'(2018-19b)'!$B22,raw!$E$2:$E$2701,'(2018-19b)'!$I$2,raw!$F$2:$F$2701,'(2018-19b)'!I$4)</f>
        <v>0</v>
      </c>
      <c r="J22" s="248">
        <f>SUMIFS(raw!$H$2:$H$2701,raw!$B$2:$B$2701,'(2018-19b)'!$B22,raw!$E$2:$E$2701,'(2018-19b)'!$I$2,raw!$F$2:$F$2701,"Injuries at road traffic collisions")+SUMIFS(raw!$H$2:$H$2701,raw!$B$2:$B$2701,'(2018-19b)'!$B22,raw!$E$2:$E$2701,'(2018-19b)'!$I$2,raw!$F$2:$F$2701,"Injuries at other special service incidents")</f>
        <v>0</v>
      </c>
      <c r="K22" s="223"/>
      <c r="L22" s="223"/>
    </row>
    <row r="23" spans="1:12" ht="12.75" customHeight="1" x14ac:dyDescent="0.3">
      <c r="A23" s="247"/>
      <c r="B23" s="228" t="s">
        <v>24</v>
      </c>
      <c r="C23" s="248">
        <f>SUMIFS(raw!$H$2:$H$2701,raw!$B$2:$B$2701,'(2018-19b)'!$B23,raw!$E$2:$E$2701,'(2018-19b)'!$C$2,raw!$F$2:$F$2701,'(2018-19b)'!C$4)</f>
        <v>24</v>
      </c>
      <c r="D23" s="248">
        <f>SUMIFS(raw!$H$2:$H$2701,raw!$B$2:$B$2701,'(2018-19b)'!$B23,raw!$E$2:$E$2701,'(2018-19b)'!$C$2,raw!$F$2:$F$2701,"Injuries at road traffic collisions")+SUMIFS(raw!$H$2:$H$2701,raw!$B$2:$B$2701,'(2018-19b)'!$B23,raw!$E$2:$E$2701,'(2018-19b)'!$C$2,raw!$F$2:$F$2701,"Injuries at other special service incidents")</f>
        <v>8</v>
      </c>
      <c r="E23" s="248">
        <f>SUMIFS(raw!$H$2:$H$2701,raw!$B$2:$B$2701,'(2018-19b)'!$B23,raw!$E$2:$E$2701,'(2018-19b)'!$E$3,raw!$F$2:$F$2701,'(2018-19b)'!E$4)</f>
        <v>6</v>
      </c>
      <c r="F23" s="248">
        <f>SUMIFS(raw!$H$2:$H$2701,raw!$B$2:$B$2701,'(2018-19b)'!$B23,raw!$E$2:$E$2701,'(2018-19b)'!$E$3,raw!$F$2:$F$2701,"Injuries at road traffic collisions")+SUMIFS(raw!$H$2:$H$2701,raw!$B$2:$B$2701,'(2018-19b)'!$B23,raw!$E$2:$E$2701,'(2018-19b)'!$E$3,raw!$F$2:$F$2701,"Injuries at other special service incidents")</f>
        <v>1</v>
      </c>
      <c r="G23" s="248">
        <f>SUMIFS(raw!$H$2:$H$2701,raw!$B$2:$B$2701,'(2018-19b)'!$B23,raw!$E$2:$E$2701,'(2018-19b)'!$G$3,raw!$F$2:$F$2701,'(2018-19b)'!G$4)</f>
        <v>0</v>
      </c>
      <c r="H23" s="248">
        <f>SUMIFS(raw!$H$2:$H$2701,raw!$B$2:$B$2701,'(2018-19b)'!$B23,raw!$E$2:$E$2701,'(2018-19b)'!$G$3,raw!$F$2:$F$2701,"Injuries at road traffic collisions")+SUMIFS(raw!$H$2:$H$2701,raw!$B$2:$B$2701,'(2018-19b)'!$B23,raw!$E$2:$E$2701,'(2018-19b)'!$G$3,raw!$F$2:$F$2701,"Injuries at other special service incidents")</f>
        <v>0</v>
      </c>
      <c r="I23" s="248">
        <f>SUMIFS(raw!$H$2:$H$2701,raw!$B$2:$B$2701,'(2018-19b)'!$B23,raw!$E$2:$E$2701,'(2018-19b)'!$I$2,raw!$F$2:$F$2701,'(2018-19b)'!I$4)</f>
        <v>0</v>
      </c>
      <c r="J23" s="248">
        <f>SUMIFS(raw!$H$2:$H$2701,raw!$B$2:$B$2701,'(2018-19b)'!$B23,raw!$E$2:$E$2701,'(2018-19b)'!$I$2,raw!$F$2:$F$2701,"Injuries at road traffic collisions")+SUMIFS(raw!$H$2:$H$2701,raw!$B$2:$B$2701,'(2018-19b)'!$B23,raw!$E$2:$E$2701,'(2018-19b)'!$I$2,raw!$F$2:$F$2701,"Injuries at other special service incidents")</f>
        <v>0</v>
      </c>
      <c r="K23" s="223"/>
      <c r="L23" s="223"/>
    </row>
    <row r="24" spans="1:12" ht="12.75" customHeight="1" x14ac:dyDescent="0.3">
      <c r="A24" s="247"/>
      <c r="B24" s="228" t="s">
        <v>214</v>
      </c>
      <c r="C24" s="248">
        <f>SUMIFS(raw!$H$2:$H$2701,raw!$B$2:$B$2701,'(2018-19b)'!$B24,raw!$E$2:$E$2701,'(2018-19b)'!$C$2,raw!$F$2:$F$2701,'(2018-19b)'!C$4)</f>
        <v>10</v>
      </c>
      <c r="D24" s="248">
        <f>SUMIFS(raw!$H$2:$H$2701,raw!$B$2:$B$2701,'(2018-19b)'!$B24,raw!$E$2:$E$2701,'(2018-19b)'!$C$2,raw!$F$2:$F$2701,"Injuries at road traffic collisions")+SUMIFS(raw!$H$2:$H$2701,raw!$B$2:$B$2701,'(2018-19b)'!$B24,raw!$E$2:$E$2701,'(2018-19b)'!$C$2,raw!$F$2:$F$2701,"Injuries at other special service incidents")</f>
        <v>2</v>
      </c>
      <c r="E24" s="248">
        <f>SUMIFS(raw!$H$2:$H$2701,raw!$B$2:$B$2701,'(2018-19b)'!$B24,raw!$E$2:$E$2701,'(2018-19b)'!$E$3,raw!$F$2:$F$2701,'(2018-19b)'!E$4)</f>
        <v>2</v>
      </c>
      <c r="F24" s="248">
        <f>SUMIFS(raw!$H$2:$H$2701,raw!$B$2:$B$2701,'(2018-19b)'!$B24,raw!$E$2:$E$2701,'(2018-19b)'!$E$3,raw!$F$2:$F$2701,"Injuries at road traffic collisions")+SUMIFS(raw!$H$2:$H$2701,raw!$B$2:$B$2701,'(2018-19b)'!$B24,raw!$E$2:$E$2701,'(2018-19b)'!$E$3,raw!$F$2:$F$2701,"Injuries at other special service incidents")</f>
        <v>0</v>
      </c>
      <c r="G24" s="248">
        <f>SUMIFS(raw!$H$2:$H$2701,raw!$B$2:$B$2701,'(2018-19b)'!$B24,raw!$E$2:$E$2701,'(2018-19b)'!$G$3,raw!$F$2:$F$2701,'(2018-19b)'!G$4)</f>
        <v>0</v>
      </c>
      <c r="H24" s="248">
        <f>SUMIFS(raw!$H$2:$H$2701,raw!$B$2:$B$2701,'(2018-19b)'!$B24,raw!$E$2:$E$2701,'(2018-19b)'!$G$3,raw!$F$2:$F$2701,"Injuries at road traffic collisions")+SUMIFS(raw!$H$2:$H$2701,raw!$B$2:$B$2701,'(2018-19b)'!$B24,raw!$E$2:$E$2701,'(2018-19b)'!$G$3,raw!$F$2:$F$2701,"Injuries at other special service incidents")</f>
        <v>0</v>
      </c>
      <c r="I24" s="248">
        <f>SUMIFS(raw!$H$2:$H$2701,raw!$B$2:$B$2701,'(2018-19b)'!$B24,raw!$E$2:$E$2701,'(2018-19b)'!$I$2,raw!$F$2:$F$2701,'(2018-19b)'!I$4)</f>
        <v>0</v>
      </c>
      <c r="J24" s="248">
        <f>SUMIFS(raw!$H$2:$H$2701,raw!$B$2:$B$2701,'(2018-19b)'!$B24,raw!$E$2:$E$2701,'(2018-19b)'!$I$2,raw!$F$2:$F$2701,"Injuries at road traffic collisions")+SUMIFS(raw!$H$2:$H$2701,raw!$B$2:$B$2701,'(2018-19b)'!$B24,raw!$E$2:$E$2701,'(2018-19b)'!$I$2,raw!$F$2:$F$2701,"Injuries at other special service incidents")</f>
        <v>0</v>
      </c>
      <c r="K24" s="223"/>
      <c r="L24" s="223"/>
    </row>
    <row r="25" spans="1:12" ht="12.75" customHeight="1" x14ac:dyDescent="0.3">
      <c r="A25" s="247"/>
      <c r="B25" s="228" t="s">
        <v>26</v>
      </c>
      <c r="C25" s="248">
        <f>SUMIFS(raw!$H$2:$H$2701,raw!$B$2:$B$2701,'(2018-19b)'!$B25,raw!$E$2:$E$2701,'(2018-19b)'!$C$2,raw!$F$2:$F$2701,'(2018-19b)'!C$4)</f>
        <v>26</v>
      </c>
      <c r="D25" s="248">
        <f>SUMIFS(raw!$H$2:$H$2701,raw!$B$2:$B$2701,'(2018-19b)'!$B25,raw!$E$2:$E$2701,'(2018-19b)'!$C$2,raw!$F$2:$F$2701,"Injuries at road traffic collisions")+SUMIFS(raw!$H$2:$H$2701,raw!$B$2:$B$2701,'(2018-19b)'!$B25,raw!$E$2:$E$2701,'(2018-19b)'!$C$2,raw!$F$2:$F$2701,"Injuries at other special service incidents")</f>
        <v>9</v>
      </c>
      <c r="E25" s="248">
        <f>SUMIFS(raw!$H$2:$H$2701,raw!$B$2:$B$2701,'(2018-19b)'!$B25,raw!$E$2:$E$2701,'(2018-19b)'!$E$3,raw!$F$2:$F$2701,'(2018-19b)'!E$4)</f>
        <v>1</v>
      </c>
      <c r="F25" s="248">
        <f>SUMIFS(raw!$H$2:$H$2701,raw!$B$2:$B$2701,'(2018-19b)'!$B25,raw!$E$2:$E$2701,'(2018-19b)'!$E$3,raw!$F$2:$F$2701,"Injuries at road traffic collisions")+SUMIFS(raw!$H$2:$H$2701,raw!$B$2:$B$2701,'(2018-19b)'!$B25,raw!$E$2:$E$2701,'(2018-19b)'!$E$3,raw!$F$2:$F$2701,"Injuries at other special service incidents")</f>
        <v>3</v>
      </c>
      <c r="G25" s="248">
        <f>SUMIFS(raw!$H$2:$H$2701,raw!$B$2:$B$2701,'(2018-19b)'!$B25,raw!$E$2:$E$2701,'(2018-19b)'!$G$3,raw!$F$2:$F$2701,'(2018-19b)'!G$4)</f>
        <v>1</v>
      </c>
      <c r="H25" s="248">
        <f>SUMIFS(raw!$H$2:$H$2701,raw!$B$2:$B$2701,'(2018-19b)'!$B25,raw!$E$2:$E$2701,'(2018-19b)'!$G$3,raw!$F$2:$F$2701,"Injuries at road traffic collisions")+SUMIFS(raw!$H$2:$H$2701,raw!$B$2:$B$2701,'(2018-19b)'!$B25,raw!$E$2:$E$2701,'(2018-19b)'!$G$3,raw!$F$2:$F$2701,"Injuries at other special service incidents")</f>
        <v>0</v>
      </c>
      <c r="I25" s="248">
        <f>SUMIFS(raw!$H$2:$H$2701,raw!$B$2:$B$2701,'(2018-19b)'!$B25,raw!$E$2:$E$2701,'(2018-19b)'!$I$2,raw!$F$2:$F$2701,'(2018-19b)'!I$4)</f>
        <v>0</v>
      </c>
      <c r="J25" s="248">
        <f>SUMIFS(raw!$H$2:$H$2701,raw!$B$2:$B$2701,'(2018-19b)'!$B25,raw!$E$2:$E$2701,'(2018-19b)'!$I$2,raw!$F$2:$F$2701,"Injuries at road traffic collisions")+SUMIFS(raw!$H$2:$H$2701,raw!$B$2:$B$2701,'(2018-19b)'!$B25,raw!$E$2:$E$2701,'(2018-19b)'!$I$2,raw!$F$2:$F$2701,"Injuries at other special service incidents")</f>
        <v>0</v>
      </c>
      <c r="K25" s="223"/>
      <c r="L25" s="223"/>
    </row>
    <row r="26" spans="1:12" ht="12.75" customHeight="1" x14ac:dyDescent="0.3">
      <c r="A26" s="247"/>
      <c r="B26" s="228" t="s">
        <v>27</v>
      </c>
      <c r="C26" s="248">
        <f>SUMIFS(raw!$H$2:$H$2701,raw!$B$2:$B$2701,'(2018-19b)'!$B26,raw!$E$2:$E$2701,'(2018-19b)'!$C$2,raw!$F$2:$F$2701,'(2018-19b)'!C$4)</f>
        <v>12</v>
      </c>
      <c r="D26" s="248">
        <f>SUMIFS(raw!$H$2:$H$2701,raw!$B$2:$B$2701,'(2018-19b)'!$B26,raw!$E$2:$E$2701,'(2018-19b)'!$C$2,raw!$F$2:$F$2701,"Injuries at road traffic collisions")+SUMIFS(raw!$H$2:$H$2701,raw!$B$2:$B$2701,'(2018-19b)'!$B26,raw!$E$2:$E$2701,'(2018-19b)'!$C$2,raw!$F$2:$F$2701,"Injuries at other special service incidents")</f>
        <v>6</v>
      </c>
      <c r="E26" s="248">
        <f>SUMIFS(raw!$H$2:$H$2701,raw!$B$2:$B$2701,'(2018-19b)'!$B26,raw!$E$2:$E$2701,'(2018-19b)'!$E$3,raw!$F$2:$F$2701,'(2018-19b)'!E$4)</f>
        <v>1</v>
      </c>
      <c r="F26" s="248">
        <f>SUMIFS(raw!$H$2:$H$2701,raw!$B$2:$B$2701,'(2018-19b)'!$B26,raw!$E$2:$E$2701,'(2018-19b)'!$E$3,raw!$F$2:$F$2701,"Injuries at road traffic collisions")+SUMIFS(raw!$H$2:$H$2701,raw!$B$2:$B$2701,'(2018-19b)'!$B26,raw!$E$2:$E$2701,'(2018-19b)'!$E$3,raw!$F$2:$F$2701,"Injuries at other special service incidents")</f>
        <v>3</v>
      </c>
      <c r="G26" s="248">
        <f>SUMIFS(raw!$H$2:$H$2701,raw!$B$2:$B$2701,'(2018-19b)'!$B26,raw!$E$2:$E$2701,'(2018-19b)'!$G$3,raw!$F$2:$F$2701,'(2018-19b)'!G$4)</f>
        <v>0</v>
      </c>
      <c r="H26" s="248">
        <f>SUMIFS(raw!$H$2:$H$2701,raw!$B$2:$B$2701,'(2018-19b)'!$B26,raw!$E$2:$E$2701,'(2018-19b)'!$G$3,raw!$F$2:$F$2701,"Injuries at road traffic collisions")+SUMIFS(raw!$H$2:$H$2701,raw!$B$2:$B$2701,'(2018-19b)'!$B26,raw!$E$2:$E$2701,'(2018-19b)'!$G$3,raw!$F$2:$F$2701,"Injuries at other special service incidents")</f>
        <v>1</v>
      </c>
      <c r="I26" s="248">
        <f>SUMIFS(raw!$H$2:$H$2701,raw!$B$2:$B$2701,'(2018-19b)'!$B26,raw!$E$2:$E$2701,'(2018-19b)'!$I$2,raw!$F$2:$F$2701,'(2018-19b)'!I$4)</f>
        <v>0</v>
      </c>
      <c r="J26" s="248">
        <f>SUMIFS(raw!$H$2:$H$2701,raw!$B$2:$B$2701,'(2018-19b)'!$B26,raw!$E$2:$E$2701,'(2018-19b)'!$I$2,raw!$F$2:$F$2701,"Injuries at road traffic collisions")+SUMIFS(raw!$H$2:$H$2701,raw!$B$2:$B$2701,'(2018-19b)'!$B26,raw!$E$2:$E$2701,'(2018-19b)'!$I$2,raw!$F$2:$F$2701,"Injuries at other special service incidents")</f>
        <v>0</v>
      </c>
      <c r="K26" s="223"/>
      <c r="L26" s="223"/>
    </row>
    <row r="27" spans="1:12" ht="12.75" customHeight="1" x14ac:dyDescent="0.3">
      <c r="A27" s="247"/>
      <c r="B27" s="228" t="s">
        <v>28</v>
      </c>
      <c r="C27" s="248">
        <f>SUMIFS(raw!$H$2:$H$2701,raw!$B$2:$B$2701,'(2018-19b)'!$B27,raw!$E$2:$E$2701,'(2018-19b)'!$C$2,raw!$F$2:$F$2701,'(2018-19b)'!C$4)</f>
        <v>0</v>
      </c>
      <c r="D27" s="248">
        <f>SUMIFS(raw!$H$2:$H$2701,raw!$B$2:$B$2701,'(2018-19b)'!$B27,raw!$E$2:$E$2701,'(2018-19b)'!$C$2,raw!$F$2:$F$2701,"Injuries at road traffic collisions")+SUMIFS(raw!$H$2:$H$2701,raw!$B$2:$B$2701,'(2018-19b)'!$B27,raw!$E$2:$E$2701,'(2018-19b)'!$C$2,raw!$F$2:$F$2701,"Injuries at other special service incidents")</f>
        <v>0</v>
      </c>
      <c r="E27" s="248">
        <f>SUMIFS(raw!$H$2:$H$2701,raw!$B$2:$B$2701,'(2018-19b)'!$B27,raw!$E$2:$E$2701,'(2018-19b)'!$E$3,raw!$F$2:$F$2701,'(2018-19b)'!E$4)</f>
        <v>0</v>
      </c>
      <c r="F27" s="248">
        <f>SUMIFS(raw!$H$2:$H$2701,raw!$B$2:$B$2701,'(2018-19b)'!$B27,raw!$E$2:$E$2701,'(2018-19b)'!$E$3,raw!$F$2:$F$2701,"Injuries at road traffic collisions")+SUMIFS(raw!$H$2:$H$2701,raw!$B$2:$B$2701,'(2018-19b)'!$B27,raw!$E$2:$E$2701,'(2018-19b)'!$E$3,raw!$F$2:$F$2701,"Injuries at other special service incidents")</f>
        <v>0</v>
      </c>
      <c r="G27" s="248">
        <f>SUMIFS(raw!$H$2:$H$2701,raw!$B$2:$B$2701,'(2018-19b)'!$B27,raw!$E$2:$E$2701,'(2018-19b)'!$G$3,raw!$F$2:$F$2701,'(2018-19b)'!G$4)</f>
        <v>0</v>
      </c>
      <c r="H27" s="248">
        <f>SUMIFS(raw!$H$2:$H$2701,raw!$B$2:$B$2701,'(2018-19b)'!$B27,raw!$E$2:$E$2701,'(2018-19b)'!$G$3,raw!$F$2:$F$2701,"Injuries at road traffic collisions")+SUMIFS(raw!$H$2:$H$2701,raw!$B$2:$B$2701,'(2018-19b)'!$B27,raw!$E$2:$E$2701,'(2018-19b)'!$G$3,raw!$F$2:$F$2701,"Injuries at other special service incidents")</f>
        <v>0</v>
      </c>
      <c r="I27" s="248">
        <f>SUMIFS(raw!$H$2:$H$2701,raw!$B$2:$B$2701,'(2018-19b)'!$B27,raw!$E$2:$E$2701,'(2018-19b)'!$I$2,raw!$F$2:$F$2701,'(2018-19b)'!I$4)</f>
        <v>0</v>
      </c>
      <c r="J27" s="248">
        <f>SUMIFS(raw!$H$2:$H$2701,raw!$B$2:$B$2701,'(2018-19b)'!$B27,raw!$E$2:$E$2701,'(2018-19b)'!$I$2,raw!$F$2:$F$2701,"Injuries at road traffic collisions")+SUMIFS(raw!$H$2:$H$2701,raw!$B$2:$B$2701,'(2018-19b)'!$B27,raw!$E$2:$E$2701,'(2018-19b)'!$I$2,raw!$F$2:$F$2701,"Injuries at other special service incidents")</f>
        <v>0</v>
      </c>
      <c r="K27" s="223"/>
      <c r="L27" s="223"/>
    </row>
    <row r="28" spans="1:12" ht="12.75" customHeight="1" x14ac:dyDescent="0.3">
      <c r="A28" s="247"/>
      <c r="B28" s="228" t="s">
        <v>29</v>
      </c>
      <c r="C28" s="248">
        <f>SUMIFS(raw!$H$2:$H$2701,raw!$B$2:$B$2701,'(2018-19b)'!$B28,raw!$E$2:$E$2701,'(2018-19b)'!$C$2,raw!$F$2:$F$2701,'(2018-19b)'!C$4)</f>
        <v>23</v>
      </c>
      <c r="D28" s="248">
        <f>SUMIFS(raw!$H$2:$H$2701,raw!$B$2:$B$2701,'(2018-19b)'!$B28,raw!$E$2:$E$2701,'(2018-19b)'!$C$2,raw!$F$2:$F$2701,"Injuries at road traffic collisions")+SUMIFS(raw!$H$2:$H$2701,raw!$B$2:$B$2701,'(2018-19b)'!$B28,raw!$E$2:$E$2701,'(2018-19b)'!$C$2,raw!$F$2:$F$2701,"Injuries at other special service incidents")</f>
        <v>26</v>
      </c>
      <c r="E28" s="248">
        <f>SUMIFS(raw!$H$2:$H$2701,raw!$B$2:$B$2701,'(2018-19b)'!$B28,raw!$E$2:$E$2701,'(2018-19b)'!$E$3,raw!$F$2:$F$2701,'(2018-19b)'!E$4)</f>
        <v>2</v>
      </c>
      <c r="F28" s="248">
        <f>SUMIFS(raw!$H$2:$H$2701,raw!$B$2:$B$2701,'(2018-19b)'!$B28,raw!$E$2:$E$2701,'(2018-19b)'!$E$3,raw!$F$2:$F$2701,"Injuries at road traffic collisions")+SUMIFS(raw!$H$2:$H$2701,raw!$B$2:$B$2701,'(2018-19b)'!$B28,raw!$E$2:$E$2701,'(2018-19b)'!$E$3,raw!$F$2:$F$2701,"Injuries at other special service incidents")</f>
        <v>1</v>
      </c>
      <c r="G28" s="248">
        <f>SUMIFS(raw!$H$2:$H$2701,raw!$B$2:$B$2701,'(2018-19b)'!$B28,raw!$E$2:$E$2701,'(2018-19b)'!$G$3,raw!$F$2:$F$2701,'(2018-19b)'!G$4)</f>
        <v>0</v>
      </c>
      <c r="H28" s="248">
        <f>SUMIFS(raw!$H$2:$H$2701,raw!$B$2:$B$2701,'(2018-19b)'!$B28,raw!$E$2:$E$2701,'(2018-19b)'!$G$3,raw!$F$2:$F$2701,"Injuries at road traffic collisions")+SUMIFS(raw!$H$2:$H$2701,raw!$B$2:$B$2701,'(2018-19b)'!$B28,raw!$E$2:$E$2701,'(2018-19b)'!$G$3,raw!$F$2:$F$2701,"Injuries at other special service incidents")</f>
        <v>0</v>
      </c>
      <c r="I28" s="248">
        <f>SUMIFS(raw!$H$2:$H$2701,raw!$B$2:$B$2701,'(2018-19b)'!$B28,raw!$E$2:$E$2701,'(2018-19b)'!$I$2,raw!$F$2:$F$2701,'(2018-19b)'!I$4)</f>
        <v>0</v>
      </c>
      <c r="J28" s="248">
        <f>SUMIFS(raw!$H$2:$H$2701,raw!$B$2:$B$2701,'(2018-19b)'!$B28,raw!$E$2:$E$2701,'(2018-19b)'!$I$2,raw!$F$2:$F$2701,"Injuries at road traffic collisions")+SUMIFS(raw!$H$2:$H$2701,raw!$B$2:$B$2701,'(2018-19b)'!$B28,raw!$E$2:$E$2701,'(2018-19b)'!$I$2,raw!$F$2:$F$2701,"Injuries at other special service incidents")</f>
        <v>0</v>
      </c>
      <c r="K28" s="223"/>
      <c r="L28" s="223"/>
    </row>
    <row r="29" spans="1:12" ht="12.75" customHeight="1" x14ac:dyDescent="0.3">
      <c r="A29" s="247"/>
      <c r="B29" s="228" t="s">
        <v>30</v>
      </c>
      <c r="C29" s="248">
        <f>SUMIFS(raw!$H$2:$H$2701,raw!$B$2:$B$2701,'(2018-19b)'!$B29,raw!$E$2:$E$2701,'(2018-19b)'!$C$2,raw!$F$2:$F$2701,'(2018-19b)'!C$4)</f>
        <v>16</v>
      </c>
      <c r="D29" s="248">
        <f>SUMIFS(raw!$H$2:$H$2701,raw!$B$2:$B$2701,'(2018-19b)'!$B29,raw!$E$2:$E$2701,'(2018-19b)'!$C$2,raw!$F$2:$F$2701,"Injuries at road traffic collisions")+SUMIFS(raw!$H$2:$H$2701,raw!$B$2:$B$2701,'(2018-19b)'!$B29,raw!$E$2:$E$2701,'(2018-19b)'!$C$2,raw!$F$2:$F$2701,"Injuries at other special service incidents")</f>
        <v>3</v>
      </c>
      <c r="E29" s="248">
        <f>SUMIFS(raw!$H$2:$H$2701,raw!$B$2:$B$2701,'(2018-19b)'!$B29,raw!$E$2:$E$2701,'(2018-19b)'!$E$3,raw!$F$2:$F$2701,'(2018-19b)'!E$4)</f>
        <v>2</v>
      </c>
      <c r="F29" s="248">
        <f>SUMIFS(raw!$H$2:$H$2701,raw!$B$2:$B$2701,'(2018-19b)'!$B29,raw!$E$2:$E$2701,'(2018-19b)'!$E$3,raw!$F$2:$F$2701,"Injuries at road traffic collisions")+SUMIFS(raw!$H$2:$H$2701,raw!$B$2:$B$2701,'(2018-19b)'!$B29,raw!$E$2:$E$2701,'(2018-19b)'!$E$3,raw!$F$2:$F$2701,"Injuries at other special service incidents")</f>
        <v>0</v>
      </c>
      <c r="G29" s="248">
        <f>SUMIFS(raw!$H$2:$H$2701,raw!$B$2:$B$2701,'(2018-19b)'!$B29,raw!$E$2:$E$2701,'(2018-19b)'!$G$3,raw!$F$2:$F$2701,'(2018-19b)'!G$4)</f>
        <v>0</v>
      </c>
      <c r="H29" s="248">
        <f>SUMIFS(raw!$H$2:$H$2701,raw!$B$2:$B$2701,'(2018-19b)'!$B29,raw!$E$2:$E$2701,'(2018-19b)'!$G$3,raw!$F$2:$F$2701,"Injuries at road traffic collisions")+SUMIFS(raw!$H$2:$H$2701,raw!$B$2:$B$2701,'(2018-19b)'!$B29,raw!$E$2:$E$2701,'(2018-19b)'!$G$3,raw!$F$2:$F$2701,"Injuries at other special service incidents")</f>
        <v>0</v>
      </c>
      <c r="I29" s="248">
        <f>SUMIFS(raw!$H$2:$H$2701,raw!$B$2:$B$2701,'(2018-19b)'!$B29,raw!$E$2:$E$2701,'(2018-19b)'!$I$2,raw!$F$2:$F$2701,'(2018-19b)'!I$4)</f>
        <v>0</v>
      </c>
      <c r="J29" s="248">
        <f>SUMIFS(raw!$H$2:$H$2701,raw!$B$2:$B$2701,'(2018-19b)'!$B29,raw!$E$2:$E$2701,'(2018-19b)'!$I$2,raw!$F$2:$F$2701,"Injuries at road traffic collisions")+SUMIFS(raw!$H$2:$H$2701,raw!$B$2:$B$2701,'(2018-19b)'!$B29,raw!$E$2:$E$2701,'(2018-19b)'!$I$2,raw!$F$2:$F$2701,"Injuries at other special service incidents")</f>
        <v>0</v>
      </c>
      <c r="K29" s="223"/>
      <c r="L29" s="223"/>
    </row>
    <row r="30" spans="1:12" ht="12.75" customHeight="1" x14ac:dyDescent="0.3">
      <c r="A30" s="247"/>
      <c r="B30" s="228" t="s">
        <v>31</v>
      </c>
      <c r="C30" s="248">
        <f>SUMIFS(raw!$H$2:$H$2701,raw!$B$2:$B$2701,'(2018-19b)'!$B30,raw!$E$2:$E$2701,'(2018-19b)'!$C$2,raw!$F$2:$F$2701,'(2018-19b)'!C$4)</f>
        <v>9</v>
      </c>
      <c r="D30" s="248">
        <f>SUMIFS(raw!$H$2:$H$2701,raw!$B$2:$B$2701,'(2018-19b)'!$B30,raw!$E$2:$E$2701,'(2018-19b)'!$C$2,raw!$F$2:$F$2701,"Injuries at road traffic collisions")+SUMIFS(raw!$H$2:$H$2701,raw!$B$2:$B$2701,'(2018-19b)'!$B30,raw!$E$2:$E$2701,'(2018-19b)'!$C$2,raw!$F$2:$F$2701,"Injuries at other special service incidents")</f>
        <v>5</v>
      </c>
      <c r="E30" s="248">
        <f>SUMIFS(raw!$H$2:$H$2701,raw!$B$2:$B$2701,'(2018-19b)'!$B30,raw!$E$2:$E$2701,'(2018-19b)'!$E$3,raw!$F$2:$F$2701,'(2018-19b)'!E$4)</f>
        <v>0</v>
      </c>
      <c r="F30" s="248">
        <f>SUMIFS(raw!$H$2:$H$2701,raw!$B$2:$B$2701,'(2018-19b)'!$B30,raw!$E$2:$E$2701,'(2018-19b)'!$E$3,raw!$F$2:$F$2701,"Injuries at road traffic collisions")+SUMIFS(raw!$H$2:$H$2701,raw!$B$2:$B$2701,'(2018-19b)'!$B30,raw!$E$2:$E$2701,'(2018-19b)'!$E$3,raw!$F$2:$F$2701,"Injuries at other special service incidents")</f>
        <v>1</v>
      </c>
      <c r="G30" s="248">
        <f>SUMIFS(raw!$H$2:$H$2701,raw!$B$2:$B$2701,'(2018-19b)'!$B30,raw!$E$2:$E$2701,'(2018-19b)'!$G$3,raw!$F$2:$F$2701,'(2018-19b)'!G$4)</f>
        <v>0</v>
      </c>
      <c r="H30" s="248">
        <f>SUMIFS(raw!$H$2:$H$2701,raw!$B$2:$B$2701,'(2018-19b)'!$B30,raw!$E$2:$E$2701,'(2018-19b)'!$G$3,raw!$F$2:$F$2701,"Injuries at road traffic collisions")+SUMIFS(raw!$H$2:$H$2701,raw!$B$2:$B$2701,'(2018-19b)'!$B30,raw!$E$2:$E$2701,'(2018-19b)'!$G$3,raw!$F$2:$F$2701,"Injuries at other special service incidents")</f>
        <v>1</v>
      </c>
      <c r="I30" s="248">
        <f>SUMIFS(raw!$H$2:$H$2701,raw!$B$2:$B$2701,'(2018-19b)'!$B30,raw!$E$2:$E$2701,'(2018-19b)'!$I$2,raw!$F$2:$F$2701,'(2018-19b)'!I$4)</f>
        <v>0</v>
      </c>
      <c r="J30" s="248">
        <f>SUMIFS(raw!$H$2:$H$2701,raw!$B$2:$B$2701,'(2018-19b)'!$B30,raw!$E$2:$E$2701,'(2018-19b)'!$I$2,raw!$F$2:$F$2701,"Injuries at road traffic collisions")+SUMIFS(raw!$H$2:$H$2701,raw!$B$2:$B$2701,'(2018-19b)'!$B30,raw!$E$2:$E$2701,'(2018-19b)'!$I$2,raw!$F$2:$F$2701,"Injuries at other special service incidents")</f>
        <v>0</v>
      </c>
      <c r="K30" s="223"/>
      <c r="L30" s="223"/>
    </row>
    <row r="31" spans="1:12" ht="12.75" customHeight="1" x14ac:dyDescent="0.3">
      <c r="A31" s="247"/>
      <c r="B31" s="228" t="s">
        <v>32</v>
      </c>
      <c r="C31" s="248">
        <f>SUMIFS(raw!$H$2:$H$2701,raw!$B$2:$B$2701,'(2018-19b)'!$B31,raw!$E$2:$E$2701,'(2018-19b)'!$C$2,raw!$F$2:$F$2701,'(2018-19b)'!C$4)</f>
        <v>10</v>
      </c>
      <c r="D31" s="248">
        <f>SUMIFS(raw!$H$2:$H$2701,raw!$B$2:$B$2701,'(2018-19b)'!$B31,raw!$E$2:$E$2701,'(2018-19b)'!$C$2,raw!$F$2:$F$2701,"Injuries at road traffic collisions")+SUMIFS(raw!$H$2:$H$2701,raw!$B$2:$B$2701,'(2018-19b)'!$B31,raw!$E$2:$E$2701,'(2018-19b)'!$C$2,raw!$F$2:$F$2701,"Injuries at other special service incidents")</f>
        <v>6</v>
      </c>
      <c r="E31" s="248">
        <f>SUMIFS(raw!$H$2:$H$2701,raw!$B$2:$B$2701,'(2018-19b)'!$B31,raw!$E$2:$E$2701,'(2018-19b)'!$E$3,raw!$F$2:$F$2701,'(2018-19b)'!E$4)</f>
        <v>4</v>
      </c>
      <c r="F31" s="248">
        <f>SUMIFS(raw!$H$2:$H$2701,raw!$B$2:$B$2701,'(2018-19b)'!$B31,raw!$E$2:$E$2701,'(2018-19b)'!$E$3,raw!$F$2:$F$2701,"Injuries at road traffic collisions")+SUMIFS(raw!$H$2:$H$2701,raw!$B$2:$B$2701,'(2018-19b)'!$B31,raw!$E$2:$E$2701,'(2018-19b)'!$E$3,raw!$F$2:$F$2701,"Injuries at other special service incidents")</f>
        <v>2</v>
      </c>
      <c r="G31" s="248">
        <f>SUMIFS(raw!$H$2:$H$2701,raw!$B$2:$B$2701,'(2018-19b)'!$B31,raw!$E$2:$E$2701,'(2018-19b)'!$G$3,raw!$F$2:$F$2701,'(2018-19b)'!G$4)</f>
        <v>1</v>
      </c>
      <c r="H31" s="248">
        <f>SUMIFS(raw!$H$2:$H$2701,raw!$B$2:$B$2701,'(2018-19b)'!$B31,raw!$E$2:$E$2701,'(2018-19b)'!$G$3,raw!$F$2:$F$2701,"Injuries at road traffic collisions")+SUMIFS(raw!$H$2:$H$2701,raw!$B$2:$B$2701,'(2018-19b)'!$B31,raw!$E$2:$E$2701,'(2018-19b)'!$G$3,raw!$F$2:$F$2701,"Injuries at other special service incidents")</f>
        <v>0</v>
      </c>
      <c r="I31" s="248">
        <f>SUMIFS(raw!$H$2:$H$2701,raw!$B$2:$B$2701,'(2018-19b)'!$B31,raw!$E$2:$E$2701,'(2018-19b)'!$I$2,raw!$F$2:$F$2701,'(2018-19b)'!I$4)</f>
        <v>0</v>
      </c>
      <c r="J31" s="248">
        <f>SUMIFS(raw!$H$2:$H$2701,raw!$B$2:$B$2701,'(2018-19b)'!$B31,raw!$E$2:$E$2701,'(2018-19b)'!$I$2,raw!$F$2:$F$2701,"Injuries at road traffic collisions")+SUMIFS(raw!$H$2:$H$2701,raw!$B$2:$B$2701,'(2018-19b)'!$B31,raw!$E$2:$E$2701,'(2018-19b)'!$I$2,raw!$F$2:$F$2701,"Injuries at other special service incidents")</f>
        <v>0</v>
      </c>
      <c r="K31" s="223"/>
      <c r="L31" s="223"/>
    </row>
    <row r="32" spans="1:12" ht="12.75" customHeight="1" x14ac:dyDescent="0.3">
      <c r="A32" s="247"/>
      <c r="B32" s="228" t="s">
        <v>33</v>
      </c>
      <c r="C32" s="248">
        <f>SUMIFS(raw!$H$2:$H$2701,raw!$B$2:$B$2701,'(2018-19b)'!$B32,raw!$E$2:$E$2701,'(2018-19b)'!$C$2,raw!$F$2:$F$2701,'(2018-19b)'!C$4)</f>
        <v>17</v>
      </c>
      <c r="D32" s="248">
        <f>SUMIFS(raw!$H$2:$H$2701,raw!$B$2:$B$2701,'(2018-19b)'!$B32,raw!$E$2:$E$2701,'(2018-19b)'!$C$2,raw!$F$2:$F$2701,"Injuries at road traffic collisions")+SUMIFS(raw!$H$2:$H$2701,raw!$B$2:$B$2701,'(2018-19b)'!$B32,raw!$E$2:$E$2701,'(2018-19b)'!$C$2,raw!$F$2:$F$2701,"Injuries at other special service incidents")</f>
        <v>13</v>
      </c>
      <c r="E32" s="248">
        <f>SUMIFS(raw!$H$2:$H$2701,raw!$B$2:$B$2701,'(2018-19b)'!$B32,raw!$E$2:$E$2701,'(2018-19b)'!$E$3,raw!$F$2:$F$2701,'(2018-19b)'!E$4)</f>
        <v>4</v>
      </c>
      <c r="F32" s="248">
        <f>SUMIFS(raw!$H$2:$H$2701,raw!$B$2:$B$2701,'(2018-19b)'!$B32,raw!$E$2:$E$2701,'(2018-19b)'!$E$3,raw!$F$2:$F$2701,"Injuries at road traffic collisions")+SUMIFS(raw!$H$2:$H$2701,raw!$B$2:$B$2701,'(2018-19b)'!$B32,raw!$E$2:$E$2701,'(2018-19b)'!$E$3,raw!$F$2:$F$2701,"Injuries at other special service incidents")</f>
        <v>4</v>
      </c>
      <c r="G32" s="248">
        <f>SUMIFS(raw!$H$2:$H$2701,raw!$B$2:$B$2701,'(2018-19b)'!$B32,raw!$E$2:$E$2701,'(2018-19b)'!$G$3,raw!$F$2:$F$2701,'(2018-19b)'!G$4)</f>
        <v>0</v>
      </c>
      <c r="H32" s="248">
        <f>SUMIFS(raw!$H$2:$H$2701,raw!$B$2:$B$2701,'(2018-19b)'!$B32,raw!$E$2:$E$2701,'(2018-19b)'!$G$3,raw!$F$2:$F$2701,"Injuries at road traffic collisions")+SUMIFS(raw!$H$2:$H$2701,raw!$B$2:$B$2701,'(2018-19b)'!$B32,raw!$E$2:$E$2701,'(2018-19b)'!$G$3,raw!$F$2:$F$2701,"Injuries at other special service incidents")</f>
        <v>0</v>
      </c>
      <c r="I32" s="248">
        <f>SUMIFS(raw!$H$2:$H$2701,raw!$B$2:$B$2701,'(2018-19b)'!$B32,raw!$E$2:$E$2701,'(2018-19b)'!$I$2,raw!$F$2:$F$2701,'(2018-19b)'!I$4)</f>
        <v>0</v>
      </c>
      <c r="J32" s="248">
        <f>SUMIFS(raw!$H$2:$H$2701,raw!$B$2:$B$2701,'(2018-19b)'!$B32,raw!$E$2:$E$2701,'(2018-19b)'!$I$2,raw!$F$2:$F$2701,"Injuries at road traffic collisions")+SUMIFS(raw!$H$2:$H$2701,raw!$B$2:$B$2701,'(2018-19b)'!$B32,raw!$E$2:$E$2701,'(2018-19b)'!$I$2,raw!$F$2:$F$2701,"Injuries at other special service incidents")</f>
        <v>0</v>
      </c>
      <c r="K32" s="223"/>
      <c r="L32" s="223"/>
    </row>
    <row r="33" spans="1:13" ht="12.75" customHeight="1" x14ac:dyDescent="0.3">
      <c r="A33" s="247"/>
      <c r="B33" s="228" t="s">
        <v>34</v>
      </c>
      <c r="C33" s="248">
        <f>SUMIFS(raw!$H$2:$H$2701,raw!$B$2:$B$2701,'(2018-19b)'!$B33,raw!$E$2:$E$2701,'(2018-19b)'!$C$2,raw!$F$2:$F$2701,'(2018-19b)'!C$4)</f>
        <v>13</v>
      </c>
      <c r="D33" s="248">
        <f>SUMIFS(raw!$H$2:$H$2701,raw!$B$2:$B$2701,'(2018-19b)'!$B33,raw!$E$2:$E$2701,'(2018-19b)'!$C$2,raw!$F$2:$F$2701,"Injuries at road traffic collisions")+SUMIFS(raw!$H$2:$H$2701,raw!$B$2:$B$2701,'(2018-19b)'!$B33,raw!$E$2:$E$2701,'(2018-19b)'!$C$2,raw!$F$2:$F$2701,"Injuries at other special service incidents")</f>
        <v>6</v>
      </c>
      <c r="E33" s="248">
        <f>SUMIFS(raw!$H$2:$H$2701,raw!$B$2:$B$2701,'(2018-19b)'!$B33,raw!$E$2:$E$2701,'(2018-19b)'!$E$3,raw!$F$2:$F$2701,'(2018-19b)'!E$4)</f>
        <v>1</v>
      </c>
      <c r="F33" s="248">
        <f>SUMIFS(raw!$H$2:$H$2701,raw!$B$2:$B$2701,'(2018-19b)'!$B33,raw!$E$2:$E$2701,'(2018-19b)'!$E$3,raw!$F$2:$F$2701,"Injuries at road traffic collisions")+SUMIFS(raw!$H$2:$H$2701,raw!$B$2:$B$2701,'(2018-19b)'!$B33,raw!$E$2:$E$2701,'(2018-19b)'!$E$3,raw!$F$2:$F$2701,"Injuries at other special service incidents")</f>
        <v>0</v>
      </c>
      <c r="G33" s="248">
        <f>SUMIFS(raw!$H$2:$H$2701,raw!$B$2:$B$2701,'(2018-19b)'!$B33,raw!$E$2:$E$2701,'(2018-19b)'!$G$3,raw!$F$2:$F$2701,'(2018-19b)'!G$4)</f>
        <v>1</v>
      </c>
      <c r="H33" s="248">
        <f>SUMIFS(raw!$H$2:$H$2701,raw!$B$2:$B$2701,'(2018-19b)'!$B33,raw!$E$2:$E$2701,'(2018-19b)'!$G$3,raw!$F$2:$F$2701,"Injuries at road traffic collisions")+SUMIFS(raw!$H$2:$H$2701,raw!$B$2:$B$2701,'(2018-19b)'!$B33,raw!$E$2:$E$2701,'(2018-19b)'!$G$3,raw!$F$2:$F$2701,"Injuries at other special service incidents")</f>
        <v>0</v>
      </c>
      <c r="I33" s="248">
        <f>SUMIFS(raw!$H$2:$H$2701,raw!$B$2:$B$2701,'(2018-19b)'!$B33,raw!$E$2:$E$2701,'(2018-19b)'!$I$2,raw!$F$2:$F$2701,'(2018-19b)'!I$4)</f>
        <v>0</v>
      </c>
      <c r="J33" s="248">
        <f>SUMIFS(raw!$H$2:$H$2701,raw!$B$2:$B$2701,'(2018-19b)'!$B33,raw!$E$2:$E$2701,'(2018-19b)'!$I$2,raw!$F$2:$F$2701,"Injuries at road traffic collisions")+SUMIFS(raw!$H$2:$H$2701,raw!$B$2:$B$2701,'(2018-19b)'!$B33,raw!$E$2:$E$2701,'(2018-19b)'!$I$2,raw!$F$2:$F$2701,"Injuries at other special service incidents")</f>
        <v>0</v>
      </c>
      <c r="K33" s="223"/>
      <c r="L33" s="223"/>
    </row>
    <row r="34" spans="1:13" ht="12.75" customHeight="1" x14ac:dyDescent="0.3">
      <c r="A34" s="247"/>
      <c r="B34" s="228" t="s">
        <v>35</v>
      </c>
      <c r="C34" s="248">
        <f>SUMIFS(raw!$H$2:$H$2701,raw!$B$2:$B$2701,'(2018-19b)'!$B34,raw!$E$2:$E$2701,'(2018-19b)'!$C$2,raw!$F$2:$F$2701,'(2018-19b)'!C$4)</f>
        <v>13</v>
      </c>
      <c r="D34" s="248">
        <f>SUMIFS(raw!$H$2:$H$2701,raw!$B$2:$B$2701,'(2018-19b)'!$B34,raw!$E$2:$E$2701,'(2018-19b)'!$C$2,raw!$F$2:$F$2701,"Injuries at road traffic collisions")+SUMIFS(raw!$H$2:$H$2701,raw!$B$2:$B$2701,'(2018-19b)'!$B34,raw!$E$2:$E$2701,'(2018-19b)'!$C$2,raw!$F$2:$F$2701,"Injuries at other special service incidents")</f>
        <v>4</v>
      </c>
      <c r="E34" s="248">
        <f>SUMIFS(raw!$H$2:$H$2701,raw!$B$2:$B$2701,'(2018-19b)'!$B34,raw!$E$2:$E$2701,'(2018-19b)'!$E$3,raw!$F$2:$F$2701,'(2018-19b)'!E$4)</f>
        <v>3</v>
      </c>
      <c r="F34" s="248">
        <f>SUMIFS(raw!$H$2:$H$2701,raw!$B$2:$B$2701,'(2018-19b)'!$B34,raw!$E$2:$E$2701,'(2018-19b)'!$E$3,raw!$F$2:$F$2701,"Injuries at road traffic collisions")+SUMIFS(raw!$H$2:$H$2701,raw!$B$2:$B$2701,'(2018-19b)'!$B34,raw!$E$2:$E$2701,'(2018-19b)'!$E$3,raw!$F$2:$F$2701,"Injuries at other special service incidents")</f>
        <v>1</v>
      </c>
      <c r="G34" s="248">
        <f>SUMIFS(raw!$H$2:$H$2701,raw!$B$2:$B$2701,'(2018-19b)'!$B34,raw!$E$2:$E$2701,'(2018-19b)'!$G$3,raw!$F$2:$F$2701,'(2018-19b)'!G$4)</f>
        <v>0</v>
      </c>
      <c r="H34" s="248">
        <f>SUMIFS(raw!$H$2:$H$2701,raw!$B$2:$B$2701,'(2018-19b)'!$B34,raw!$E$2:$E$2701,'(2018-19b)'!$G$3,raw!$F$2:$F$2701,"Injuries at road traffic collisions")+SUMIFS(raw!$H$2:$H$2701,raw!$B$2:$B$2701,'(2018-19b)'!$B34,raw!$E$2:$E$2701,'(2018-19b)'!$G$3,raw!$F$2:$F$2701,"Injuries at other special service incidents")</f>
        <v>1</v>
      </c>
      <c r="I34" s="248">
        <f>SUMIFS(raw!$H$2:$H$2701,raw!$B$2:$B$2701,'(2018-19b)'!$B34,raw!$E$2:$E$2701,'(2018-19b)'!$I$2,raw!$F$2:$F$2701,'(2018-19b)'!I$4)</f>
        <v>0</v>
      </c>
      <c r="J34" s="248">
        <f>SUMIFS(raw!$H$2:$H$2701,raw!$B$2:$B$2701,'(2018-19b)'!$B34,raw!$E$2:$E$2701,'(2018-19b)'!$I$2,raw!$F$2:$F$2701,"Injuries at road traffic collisions")+SUMIFS(raw!$H$2:$H$2701,raw!$B$2:$B$2701,'(2018-19b)'!$B34,raw!$E$2:$E$2701,'(2018-19b)'!$I$2,raw!$F$2:$F$2701,"Injuries at other special service incidents")</f>
        <v>0</v>
      </c>
      <c r="K34" s="223"/>
      <c r="L34" s="223"/>
      <c r="M34" s="11"/>
    </row>
    <row r="35" spans="1:13" ht="12.75" customHeight="1" x14ac:dyDescent="0.3">
      <c r="A35" s="247"/>
      <c r="B35" s="228" t="s">
        <v>36</v>
      </c>
      <c r="C35" s="248">
        <f>SUMIFS(raw!$H$2:$H$2701,raw!$B$2:$B$2701,'(2018-19b)'!$B35,raw!$E$2:$E$2701,'(2018-19b)'!$C$2,raw!$F$2:$F$2701,'(2018-19b)'!C$4)</f>
        <v>2</v>
      </c>
      <c r="D35" s="248">
        <f>SUMIFS(raw!$H$2:$H$2701,raw!$B$2:$B$2701,'(2018-19b)'!$B35,raw!$E$2:$E$2701,'(2018-19b)'!$C$2,raw!$F$2:$F$2701,"Injuries at road traffic collisions")+SUMIFS(raw!$H$2:$H$2701,raw!$B$2:$B$2701,'(2018-19b)'!$B35,raw!$E$2:$E$2701,'(2018-19b)'!$C$2,raw!$F$2:$F$2701,"Injuries at other special service incidents")</f>
        <v>2</v>
      </c>
      <c r="E35" s="248">
        <f>SUMIFS(raw!$H$2:$H$2701,raw!$B$2:$B$2701,'(2018-19b)'!$B35,raw!$E$2:$E$2701,'(2018-19b)'!$E$3,raw!$F$2:$F$2701,'(2018-19b)'!E$4)</f>
        <v>0</v>
      </c>
      <c r="F35" s="248">
        <f>SUMIFS(raw!$H$2:$H$2701,raw!$B$2:$B$2701,'(2018-19b)'!$B35,raw!$E$2:$E$2701,'(2018-19b)'!$E$3,raw!$F$2:$F$2701,"Injuries at road traffic collisions")+SUMIFS(raw!$H$2:$H$2701,raw!$B$2:$B$2701,'(2018-19b)'!$B35,raw!$E$2:$E$2701,'(2018-19b)'!$E$3,raw!$F$2:$F$2701,"Injuries at other special service incidents")</f>
        <v>0</v>
      </c>
      <c r="G35" s="248">
        <f>SUMIFS(raw!$H$2:$H$2701,raw!$B$2:$B$2701,'(2018-19b)'!$B35,raw!$E$2:$E$2701,'(2018-19b)'!$G$3,raw!$F$2:$F$2701,'(2018-19b)'!G$4)</f>
        <v>0</v>
      </c>
      <c r="H35" s="248">
        <f>SUMIFS(raw!$H$2:$H$2701,raw!$B$2:$B$2701,'(2018-19b)'!$B35,raw!$E$2:$E$2701,'(2018-19b)'!$G$3,raw!$F$2:$F$2701,"Injuries at road traffic collisions")+SUMIFS(raw!$H$2:$H$2701,raw!$B$2:$B$2701,'(2018-19b)'!$B35,raw!$E$2:$E$2701,'(2018-19b)'!$G$3,raw!$F$2:$F$2701,"Injuries at other special service incidents")</f>
        <v>0</v>
      </c>
      <c r="I35" s="248">
        <f>SUMIFS(raw!$H$2:$H$2701,raw!$B$2:$B$2701,'(2018-19b)'!$B35,raw!$E$2:$E$2701,'(2018-19b)'!$I$2,raw!$F$2:$F$2701,'(2018-19b)'!I$4)</f>
        <v>0</v>
      </c>
      <c r="J35" s="248">
        <f>SUMIFS(raw!$H$2:$H$2701,raw!$B$2:$B$2701,'(2018-19b)'!$B35,raw!$E$2:$E$2701,'(2018-19b)'!$I$2,raw!$F$2:$F$2701,"Injuries at road traffic collisions")+SUMIFS(raw!$H$2:$H$2701,raw!$B$2:$B$2701,'(2018-19b)'!$B35,raw!$E$2:$E$2701,'(2018-19b)'!$I$2,raw!$F$2:$F$2701,"Injuries at other special service incidents")</f>
        <v>0</v>
      </c>
      <c r="K35" s="223"/>
      <c r="L35" s="223"/>
    </row>
    <row r="36" spans="1:13" ht="12.75" customHeight="1" x14ac:dyDescent="0.3">
      <c r="A36" s="247"/>
      <c r="B36" s="228" t="s">
        <v>37</v>
      </c>
      <c r="C36" s="248">
        <f>SUMIFS(raw!$H$2:$H$2701,raw!$B$2:$B$2701,'(2018-19b)'!$B36,raw!$E$2:$E$2701,'(2018-19b)'!$C$2,raw!$F$2:$F$2701,'(2018-19b)'!C$4)</f>
        <v>7</v>
      </c>
      <c r="D36" s="248">
        <f>SUMIFS(raw!$H$2:$H$2701,raw!$B$2:$B$2701,'(2018-19b)'!$B36,raw!$E$2:$E$2701,'(2018-19b)'!$C$2,raw!$F$2:$F$2701,"Injuries at road traffic collisions")+SUMIFS(raw!$H$2:$H$2701,raw!$B$2:$B$2701,'(2018-19b)'!$B36,raw!$E$2:$E$2701,'(2018-19b)'!$C$2,raw!$F$2:$F$2701,"Injuries at other special service incidents")</f>
        <v>10</v>
      </c>
      <c r="E36" s="248">
        <f>SUMIFS(raw!$H$2:$H$2701,raw!$B$2:$B$2701,'(2018-19b)'!$B36,raw!$E$2:$E$2701,'(2018-19b)'!$E$3,raw!$F$2:$F$2701,'(2018-19b)'!E$4)</f>
        <v>0</v>
      </c>
      <c r="F36" s="248">
        <f>SUMIFS(raw!$H$2:$H$2701,raw!$B$2:$B$2701,'(2018-19b)'!$B36,raw!$E$2:$E$2701,'(2018-19b)'!$E$3,raw!$F$2:$F$2701,"Injuries at road traffic collisions")+SUMIFS(raw!$H$2:$H$2701,raw!$B$2:$B$2701,'(2018-19b)'!$B36,raw!$E$2:$E$2701,'(2018-19b)'!$E$3,raw!$F$2:$F$2701,"Injuries at other special service incidents")</f>
        <v>4</v>
      </c>
      <c r="G36" s="248">
        <f>SUMIFS(raw!$H$2:$H$2701,raw!$B$2:$B$2701,'(2018-19b)'!$B36,raw!$E$2:$E$2701,'(2018-19b)'!$G$3,raw!$F$2:$F$2701,'(2018-19b)'!G$4)</f>
        <v>0</v>
      </c>
      <c r="H36" s="248">
        <f>SUMIFS(raw!$H$2:$H$2701,raw!$B$2:$B$2701,'(2018-19b)'!$B36,raw!$E$2:$E$2701,'(2018-19b)'!$G$3,raw!$F$2:$F$2701,"Injuries at road traffic collisions")+SUMIFS(raw!$H$2:$H$2701,raw!$B$2:$B$2701,'(2018-19b)'!$B36,raw!$E$2:$E$2701,'(2018-19b)'!$G$3,raw!$F$2:$F$2701,"Injuries at other special service incidents")</f>
        <v>1</v>
      </c>
      <c r="I36" s="248">
        <f>SUMIFS(raw!$H$2:$H$2701,raw!$B$2:$B$2701,'(2018-19b)'!$B36,raw!$E$2:$E$2701,'(2018-19b)'!$I$2,raw!$F$2:$F$2701,'(2018-19b)'!I$4)</f>
        <v>0</v>
      </c>
      <c r="J36" s="248">
        <f>SUMIFS(raw!$H$2:$H$2701,raw!$B$2:$B$2701,'(2018-19b)'!$B36,raw!$E$2:$E$2701,'(2018-19b)'!$I$2,raw!$F$2:$F$2701,"Injuries at road traffic collisions")+SUMIFS(raw!$H$2:$H$2701,raw!$B$2:$B$2701,'(2018-19b)'!$B36,raw!$E$2:$E$2701,'(2018-19b)'!$I$2,raw!$F$2:$F$2701,"Injuries at other special service incidents")</f>
        <v>0</v>
      </c>
      <c r="K36" s="223"/>
      <c r="L36" s="223"/>
    </row>
    <row r="37" spans="1:13" ht="12.75" customHeight="1" x14ac:dyDescent="0.3">
      <c r="A37" s="247"/>
      <c r="B37" s="228" t="s">
        <v>38</v>
      </c>
      <c r="C37" s="248">
        <f>SUMIFS(raw!$H$2:$H$2701,raw!$B$2:$B$2701,'(2018-19b)'!$B37,raw!$E$2:$E$2701,'(2018-19b)'!$C$2,raw!$F$2:$F$2701,'(2018-19b)'!C$4)</f>
        <v>7</v>
      </c>
      <c r="D37" s="248">
        <f>SUMIFS(raw!$H$2:$H$2701,raw!$B$2:$B$2701,'(2018-19b)'!$B37,raw!$E$2:$E$2701,'(2018-19b)'!$C$2,raw!$F$2:$F$2701,"Injuries at road traffic collisions")+SUMIFS(raw!$H$2:$H$2701,raw!$B$2:$B$2701,'(2018-19b)'!$B37,raw!$E$2:$E$2701,'(2018-19b)'!$C$2,raw!$F$2:$F$2701,"Injuries at other special service incidents")</f>
        <v>7</v>
      </c>
      <c r="E37" s="248">
        <f>SUMIFS(raw!$H$2:$H$2701,raw!$B$2:$B$2701,'(2018-19b)'!$B37,raw!$E$2:$E$2701,'(2018-19b)'!$E$3,raw!$F$2:$F$2701,'(2018-19b)'!E$4)</f>
        <v>0</v>
      </c>
      <c r="F37" s="248">
        <f>SUMIFS(raw!$H$2:$H$2701,raw!$B$2:$B$2701,'(2018-19b)'!$B37,raw!$E$2:$E$2701,'(2018-19b)'!$E$3,raw!$F$2:$F$2701,"Injuries at road traffic collisions")+SUMIFS(raw!$H$2:$H$2701,raw!$B$2:$B$2701,'(2018-19b)'!$B37,raw!$E$2:$E$2701,'(2018-19b)'!$E$3,raw!$F$2:$F$2701,"Injuries at other special service incidents")</f>
        <v>0</v>
      </c>
      <c r="G37" s="248">
        <f>SUMIFS(raw!$H$2:$H$2701,raw!$B$2:$B$2701,'(2018-19b)'!$B37,raw!$E$2:$E$2701,'(2018-19b)'!$G$3,raw!$F$2:$F$2701,'(2018-19b)'!G$4)</f>
        <v>0</v>
      </c>
      <c r="H37" s="248">
        <f>SUMIFS(raw!$H$2:$H$2701,raw!$B$2:$B$2701,'(2018-19b)'!$B37,raw!$E$2:$E$2701,'(2018-19b)'!$G$3,raw!$F$2:$F$2701,"Injuries at road traffic collisions")+SUMIFS(raw!$H$2:$H$2701,raw!$B$2:$B$2701,'(2018-19b)'!$B37,raw!$E$2:$E$2701,'(2018-19b)'!$G$3,raw!$F$2:$F$2701,"Injuries at other special service incidents")</f>
        <v>0</v>
      </c>
      <c r="I37" s="248">
        <f>SUMIFS(raw!$H$2:$H$2701,raw!$B$2:$B$2701,'(2018-19b)'!$B37,raw!$E$2:$E$2701,'(2018-19b)'!$I$2,raw!$F$2:$F$2701,'(2018-19b)'!I$4)</f>
        <v>0</v>
      </c>
      <c r="J37" s="248">
        <f>SUMIFS(raw!$H$2:$H$2701,raw!$B$2:$B$2701,'(2018-19b)'!$B37,raw!$E$2:$E$2701,'(2018-19b)'!$I$2,raw!$F$2:$F$2701,"Injuries at road traffic collisions")+SUMIFS(raw!$H$2:$H$2701,raw!$B$2:$B$2701,'(2018-19b)'!$B37,raw!$E$2:$E$2701,'(2018-19b)'!$I$2,raw!$F$2:$F$2701,"Injuries at other special service incidents")</f>
        <v>0</v>
      </c>
      <c r="K37" s="223"/>
      <c r="L37" s="223"/>
    </row>
    <row r="38" spans="1:13" ht="12.75" customHeight="1" x14ac:dyDescent="0.3">
      <c r="A38" s="247"/>
      <c r="B38" s="228" t="s">
        <v>39</v>
      </c>
      <c r="C38" s="248">
        <f>SUMIFS(raw!$H$2:$H$2701,raw!$B$2:$B$2701,'(2018-19b)'!$B38,raw!$E$2:$E$2701,'(2018-19b)'!$C$2,raw!$F$2:$F$2701,'(2018-19b)'!C$4)</f>
        <v>6</v>
      </c>
      <c r="D38" s="248">
        <f>SUMIFS(raw!$H$2:$H$2701,raw!$B$2:$B$2701,'(2018-19b)'!$B38,raw!$E$2:$E$2701,'(2018-19b)'!$C$2,raw!$F$2:$F$2701,"Injuries at road traffic collisions")+SUMIFS(raw!$H$2:$H$2701,raw!$B$2:$B$2701,'(2018-19b)'!$B38,raw!$E$2:$E$2701,'(2018-19b)'!$C$2,raw!$F$2:$F$2701,"Injuries at other special service incidents")</f>
        <v>3</v>
      </c>
      <c r="E38" s="248">
        <f>SUMIFS(raw!$H$2:$H$2701,raw!$B$2:$B$2701,'(2018-19b)'!$B38,raw!$E$2:$E$2701,'(2018-19b)'!$E$3,raw!$F$2:$F$2701,'(2018-19b)'!E$4)</f>
        <v>0</v>
      </c>
      <c r="F38" s="248">
        <f>SUMIFS(raw!$H$2:$H$2701,raw!$B$2:$B$2701,'(2018-19b)'!$B38,raw!$E$2:$E$2701,'(2018-19b)'!$E$3,raw!$F$2:$F$2701,"Injuries at road traffic collisions")+SUMIFS(raw!$H$2:$H$2701,raw!$B$2:$B$2701,'(2018-19b)'!$B38,raw!$E$2:$E$2701,'(2018-19b)'!$E$3,raw!$F$2:$F$2701,"Injuries at other special service incidents")</f>
        <v>0</v>
      </c>
      <c r="G38" s="248">
        <f>SUMIFS(raw!$H$2:$H$2701,raw!$B$2:$B$2701,'(2018-19b)'!$B38,raw!$E$2:$E$2701,'(2018-19b)'!$G$3,raw!$F$2:$F$2701,'(2018-19b)'!G$4)</f>
        <v>1</v>
      </c>
      <c r="H38" s="248">
        <f>SUMIFS(raw!$H$2:$H$2701,raw!$B$2:$B$2701,'(2018-19b)'!$B38,raw!$E$2:$E$2701,'(2018-19b)'!$G$3,raw!$F$2:$F$2701,"Injuries at road traffic collisions")+SUMIFS(raw!$H$2:$H$2701,raw!$B$2:$B$2701,'(2018-19b)'!$B38,raw!$E$2:$E$2701,'(2018-19b)'!$G$3,raw!$F$2:$F$2701,"Injuries at other special service incidents")</f>
        <v>0</v>
      </c>
      <c r="I38" s="248">
        <f>SUMIFS(raw!$H$2:$H$2701,raw!$B$2:$B$2701,'(2018-19b)'!$B38,raw!$E$2:$E$2701,'(2018-19b)'!$I$2,raw!$F$2:$F$2701,'(2018-19b)'!I$4)</f>
        <v>0</v>
      </c>
      <c r="J38" s="248">
        <f>SUMIFS(raw!$H$2:$H$2701,raw!$B$2:$B$2701,'(2018-19b)'!$B38,raw!$E$2:$E$2701,'(2018-19b)'!$I$2,raw!$F$2:$F$2701,"Injuries at road traffic collisions")+SUMIFS(raw!$H$2:$H$2701,raw!$B$2:$B$2701,'(2018-19b)'!$B38,raw!$E$2:$E$2701,'(2018-19b)'!$I$2,raw!$F$2:$F$2701,"Injuries at other special service incidents")</f>
        <v>0</v>
      </c>
      <c r="K38" s="223"/>
      <c r="L38" s="223"/>
    </row>
    <row r="39" spans="1:13" ht="12.75" customHeight="1" x14ac:dyDescent="0.3">
      <c r="A39" s="247"/>
      <c r="B39" s="228" t="s">
        <v>40</v>
      </c>
      <c r="C39" s="248">
        <f>SUMIFS(raw!$H$2:$H$2701,raw!$B$2:$B$2701,'(2018-19b)'!$B39,raw!$E$2:$E$2701,'(2018-19b)'!$C$2,raw!$F$2:$F$2701,'(2018-19b)'!C$4)</f>
        <v>18</v>
      </c>
      <c r="D39" s="248">
        <f>SUMIFS(raw!$H$2:$H$2701,raw!$B$2:$B$2701,'(2018-19b)'!$B39,raw!$E$2:$E$2701,'(2018-19b)'!$C$2,raw!$F$2:$F$2701,"Injuries at road traffic collisions")+SUMIFS(raw!$H$2:$H$2701,raw!$B$2:$B$2701,'(2018-19b)'!$B39,raw!$E$2:$E$2701,'(2018-19b)'!$C$2,raw!$F$2:$F$2701,"Injuries at other special service incidents")</f>
        <v>6</v>
      </c>
      <c r="E39" s="248">
        <f>SUMIFS(raw!$H$2:$H$2701,raw!$B$2:$B$2701,'(2018-19b)'!$B39,raw!$E$2:$E$2701,'(2018-19b)'!$E$3,raw!$F$2:$F$2701,'(2018-19b)'!E$4)</f>
        <v>2</v>
      </c>
      <c r="F39" s="248">
        <f>SUMIFS(raw!$H$2:$H$2701,raw!$B$2:$B$2701,'(2018-19b)'!$B39,raw!$E$2:$E$2701,'(2018-19b)'!$E$3,raw!$F$2:$F$2701,"Injuries at road traffic collisions")+SUMIFS(raw!$H$2:$H$2701,raw!$B$2:$B$2701,'(2018-19b)'!$B39,raw!$E$2:$E$2701,'(2018-19b)'!$E$3,raw!$F$2:$F$2701,"Injuries at other special service incidents")</f>
        <v>0</v>
      </c>
      <c r="G39" s="248">
        <f>SUMIFS(raw!$H$2:$H$2701,raw!$B$2:$B$2701,'(2018-19b)'!$B39,raw!$E$2:$E$2701,'(2018-19b)'!$G$3,raw!$F$2:$F$2701,'(2018-19b)'!G$4)</f>
        <v>0</v>
      </c>
      <c r="H39" s="248">
        <f>SUMIFS(raw!$H$2:$H$2701,raw!$B$2:$B$2701,'(2018-19b)'!$B39,raw!$E$2:$E$2701,'(2018-19b)'!$G$3,raw!$F$2:$F$2701,"Injuries at road traffic collisions")+SUMIFS(raw!$H$2:$H$2701,raw!$B$2:$B$2701,'(2018-19b)'!$B39,raw!$E$2:$E$2701,'(2018-19b)'!$G$3,raw!$F$2:$F$2701,"Injuries at other special service incidents")</f>
        <v>0</v>
      </c>
      <c r="I39" s="248">
        <f>SUMIFS(raw!$H$2:$H$2701,raw!$B$2:$B$2701,'(2018-19b)'!$B39,raw!$E$2:$E$2701,'(2018-19b)'!$I$2,raw!$F$2:$F$2701,'(2018-19b)'!I$4)</f>
        <v>0</v>
      </c>
      <c r="J39" s="248">
        <f>SUMIFS(raw!$H$2:$H$2701,raw!$B$2:$B$2701,'(2018-19b)'!$B39,raw!$E$2:$E$2701,'(2018-19b)'!$I$2,raw!$F$2:$F$2701,"Injuries at road traffic collisions")+SUMIFS(raw!$H$2:$H$2701,raw!$B$2:$B$2701,'(2018-19b)'!$B39,raw!$E$2:$E$2701,'(2018-19b)'!$I$2,raw!$F$2:$F$2701,"Injuries at other special service incidents")</f>
        <v>0</v>
      </c>
      <c r="K39" s="223"/>
      <c r="L39" s="223"/>
    </row>
    <row r="40" spans="1:13" ht="12.75" customHeight="1" x14ac:dyDescent="0.3">
      <c r="A40" s="247"/>
      <c r="B40" s="228" t="s">
        <v>41</v>
      </c>
      <c r="C40" s="248">
        <f>SUMIFS(raw!$H$2:$H$2701,raw!$B$2:$B$2701,'(2018-19b)'!$B40,raw!$E$2:$E$2701,'(2018-19b)'!$C$2,raw!$F$2:$F$2701,'(2018-19b)'!C$4)</f>
        <v>7</v>
      </c>
      <c r="D40" s="248">
        <f>SUMIFS(raw!$H$2:$H$2701,raw!$B$2:$B$2701,'(2018-19b)'!$B40,raw!$E$2:$E$2701,'(2018-19b)'!$C$2,raw!$F$2:$F$2701,"Injuries at road traffic collisions")+SUMIFS(raw!$H$2:$H$2701,raw!$B$2:$B$2701,'(2018-19b)'!$B40,raw!$E$2:$E$2701,'(2018-19b)'!$C$2,raw!$F$2:$F$2701,"Injuries at other special service incidents")</f>
        <v>5</v>
      </c>
      <c r="E40" s="248">
        <f>SUMIFS(raw!$H$2:$H$2701,raw!$B$2:$B$2701,'(2018-19b)'!$B40,raw!$E$2:$E$2701,'(2018-19b)'!$E$3,raw!$F$2:$F$2701,'(2018-19b)'!E$4)</f>
        <v>0</v>
      </c>
      <c r="F40" s="248">
        <f>SUMIFS(raw!$H$2:$H$2701,raw!$B$2:$B$2701,'(2018-19b)'!$B40,raw!$E$2:$E$2701,'(2018-19b)'!$E$3,raw!$F$2:$F$2701,"Injuries at road traffic collisions")+SUMIFS(raw!$H$2:$H$2701,raw!$B$2:$B$2701,'(2018-19b)'!$B40,raw!$E$2:$E$2701,'(2018-19b)'!$E$3,raw!$F$2:$F$2701,"Injuries at other special service incidents")</f>
        <v>0</v>
      </c>
      <c r="G40" s="248">
        <f>SUMIFS(raw!$H$2:$H$2701,raw!$B$2:$B$2701,'(2018-19b)'!$B40,raw!$E$2:$E$2701,'(2018-19b)'!$G$3,raw!$F$2:$F$2701,'(2018-19b)'!G$4)</f>
        <v>0</v>
      </c>
      <c r="H40" s="248">
        <f>SUMIFS(raw!$H$2:$H$2701,raw!$B$2:$B$2701,'(2018-19b)'!$B40,raw!$E$2:$E$2701,'(2018-19b)'!$G$3,raw!$F$2:$F$2701,"Injuries at road traffic collisions")+SUMIFS(raw!$H$2:$H$2701,raw!$B$2:$B$2701,'(2018-19b)'!$B40,raw!$E$2:$E$2701,'(2018-19b)'!$G$3,raw!$F$2:$F$2701,"Injuries at other special service incidents")</f>
        <v>0</v>
      </c>
      <c r="I40" s="248">
        <f>SUMIFS(raw!$H$2:$H$2701,raw!$B$2:$B$2701,'(2018-19b)'!$B40,raw!$E$2:$E$2701,'(2018-19b)'!$I$2,raw!$F$2:$F$2701,'(2018-19b)'!I$4)</f>
        <v>0</v>
      </c>
      <c r="J40" s="248">
        <f>SUMIFS(raw!$H$2:$H$2701,raw!$B$2:$B$2701,'(2018-19b)'!$B40,raw!$E$2:$E$2701,'(2018-19b)'!$I$2,raw!$F$2:$F$2701,"Injuries at road traffic collisions")+SUMIFS(raw!$H$2:$H$2701,raw!$B$2:$B$2701,'(2018-19b)'!$B40,raw!$E$2:$E$2701,'(2018-19b)'!$I$2,raw!$F$2:$F$2701,"Injuries at other special service incidents")</f>
        <v>0</v>
      </c>
      <c r="K40" s="223"/>
      <c r="L40" s="223"/>
    </row>
    <row r="41" spans="1:13" ht="12.75" customHeight="1" x14ac:dyDescent="0.3">
      <c r="A41" s="247"/>
      <c r="B41" s="228" t="s">
        <v>42</v>
      </c>
      <c r="C41" s="248">
        <f>SUMIFS(raw!$H$2:$H$2701,raw!$B$2:$B$2701,'(2018-19b)'!$B41,raw!$E$2:$E$2701,'(2018-19b)'!$C$2,raw!$F$2:$F$2701,'(2018-19b)'!C$4)</f>
        <v>12</v>
      </c>
      <c r="D41" s="248">
        <f>SUMIFS(raw!$H$2:$H$2701,raw!$B$2:$B$2701,'(2018-19b)'!$B41,raw!$E$2:$E$2701,'(2018-19b)'!$C$2,raw!$F$2:$F$2701,"Injuries at road traffic collisions")+SUMIFS(raw!$H$2:$H$2701,raw!$B$2:$B$2701,'(2018-19b)'!$B41,raw!$E$2:$E$2701,'(2018-19b)'!$C$2,raw!$F$2:$F$2701,"Injuries at other special service incidents")</f>
        <v>4</v>
      </c>
      <c r="E41" s="248">
        <f>SUMIFS(raw!$H$2:$H$2701,raw!$B$2:$B$2701,'(2018-19b)'!$B41,raw!$E$2:$E$2701,'(2018-19b)'!$E$3,raw!$F$2:$F$2701,'(2018-19b)'!E$4)</f>
        <v>4</v>
      </c>
      <c r="F41" s="248">
        <f>SUMIFS(raw!$H$2:$H$2701,raw!$B$2:$B$2701,'(2018-19b)'!$B41,raw!$E$2:$E$2701,'(2018-19b)'!$E$3,raw!$F$2:$F$2701,"Injuries at road traffic collisions")+SUMIFS(raw!$H$2:$H$2701,raw!$B$2:$B$2701,'(2018-19b)'!$B41,raw!$E$2:$E$2701,'(2018-19b)'!$E$3,raw!$F$2:$F$2701,"Injuries at other special service incidents")</f>
        <v>3</v>
      </c>
      <c r="G41" s="248">
        <f>SUMIFS(raw!$H$2:$H$2701,raw!$B$2:$B$2701,'(2018-19b)'!$B41,raw!$E$2:$E$2701,'(2018-19b)'!$G$3,raw!$F$2:$F$2701,'(2018-19b)'!G$4)</f>
        <v>0</v>
      </c>
      <c r="H41" s="248">
        <f>SUMIFS(raw!$H$2:$H$2701,raw!$B$2:$B$2701,'(2018-19b)'!$B41,raw!$E$2:$E$2701,'(2018-19b)'!$G$3,raw!$F$2:$F$2701,"Injuries at road traffic collisions")+SUMIFS(raw!$H$2:$H$2701,raw!$B$2:$B$2701,'(2018-19b)'!$B41,raw!$E$2:$E$2701,'(2018-19b)'!$G$3,raw!$F$2:$F$2701,"Injuries at other special service incidents")</f>
        <v>0</v>
      </c>
      <c r="I41" s="248">
        <f>SUMIFS(raw!$H$2:$H$2701,raw!$B$2:$B$2701,'(2018-19b)'!$B41,raw!$E$2:$E$2701,'(2018-19b)'!$I$2,raw!$F$2:$F$2701,'(2018-19b)'!I$4)</f>
        <v>0</v>
      </c>
      <c r="J41" s="248">
        <f>SUMIFS(raw!$H$2:$H$2701,raw!$B$2:$B$2701,'(2018-19b)'!$B41,raw!$E$2:$E$2701,'(2018-19b)'!$I$2,raw!$F$2:$F$2701,"Injuries at road traffic collisions")+SUMIFS(raw!$H$2:$H$2701,raw!$B$2:$B$2701,'(2018-19b)'!$B41,raw!$E$2:$E$2701,'(2018-19b)'!$I$2,raw!$F$2:$F$2701,"Injuries at other special service incidents")</f>
        <v>0</v>
      </c>
      <c r="K41" s="223"/>
      <c r="L41" s="223"/>
    </row>
    <row r="42" spans="1:13" ht="12.75" customHeight="1" x14ac:dyDescent="0.3">
      <c r="A42" s="247"/>
      <c r="B42" s="228" t="s">
        <v>43</v>
      </c>
      <c r="C42" s="248">
        <f>SUMIFS(raw!$H$2:$H$2701,raw!$B$2:$B$2701,'(2018-19b)'!$B42,raw!$E$2:$E$2701,'(2018-19b)'!$C$2,raw!$F$2:$F$2701,'(2018-19b)'!C$4)</f>
        <v>7</v>
      </c>
      <c r="D42" s="248">
        <f>SUMIFS(raw!$H$2:$H$2701,raw!$B$2:$B$2701,'(2018-19b)'!$B42,raw!$E$2:$E$2701,'(2018-19b)'!$C$2,raw!$F$2:$F$2701,"Injuries at road traffic collisions")+SUMIFS(raw!$H$2:$H$2701,raw!$B$2:$B$2701,'(2018-19b)'!$B42,raw!$E$2:$E$2701,'(2018-19b)'!$C$2,raw!$F$2:$F$2701,"Injuries at other special service incidents")</f>
        <v>4</v>
      </c>
      <c r="E42" s="248">
        <f>SUMIFS(raw!$H$2:$H$2701,raw!$B$2:$B$2701,'(2018-19b)'!$B42,raw!$E$2:$E$2701,'(2018-19b)'!$E$3,raw!$F$2:$F$2701,'(2018-19b)'!E$4)</f>
        <v>1</v>
      </c>
      <c r="F42" s="248">
        <f>SUMIFS(raw!$H$2:$H$2701,raw!$B$2:$B$2701,'(2018-19b)'!$B42,raw!$E$2:$E$2701,'(2018-19b)'!$E$3,raw!$F$2:$F$2701,"Injuries at road traffic collisions")+SUMIFS(raw!$H$2:$H$2701,raw!$B$2:$B$2701,'(2018-19b)'!$B42,raw!$E$2:$E$2701,'(2018-19b)'!$E$3,raw!$F$2:$F$2701,"Injuries at other special service incidents")</f>
        <v>0</v>
      </c>
      <c r="G42" s="248">
        <f>SUMIFS(raw!$H$2:$H$2701,raw!$B$2:$B$2701,'(2018-19b)'!$B42,raw!$E$2:$E$2701,'(2018-19b)'!$G$3,raw!$F$2:$F$2701,'(2018-19b)'!G$4)</f>
        <v>0</v>
      </c>
      <c r="H42" s="248">
        <f>SUMIFS(raw!$H$2:$H$2701,raw!$B$2:$B$2701,'(2018-19b)'!$B42,raw!$E$2:$E$2701,'(2018-19b)'!$G$3,raw!$F$2:$F$2701,"Injuries at road traffic collisions")+SUMIFS(raw!$H$2:$H$2701,raw!$B$2:$B$2701,'(2018-19b)'!$B42,raw!$E$2:$E$2701,'(2018-19b)'!$G$3,raw!$F$2:$F$2701,"Injuries at other special service incidents")</f>
        <v>0</v>
      </c>
      <c r="I42" s="248">
        <f>SUMIFS(raw!$H$2:$H$2701,raw!$B$2:$B$2701,'(2018-19b)'!$B42,raw!$E$2:$E$2701,'(2018-19b)'!$I$2,raw!$F$2:$F$2701,'(2018-19b)'!I$4)</f>
        <v>0</v>
      </c>
      <c r="J42" s="248">
        <f>SUMIFS(raw!$H$2:$H$2701,raw!$B$2:$B$2701,'(2018-19b)'!$B42,raw!$E$2:$E$2701,'(2018-19b)'!$I$2,raw!$F$2:$F$2701,"Injuries at road traffic collisions")+SUMIFS(raw!$H$2:$H$2701,raw!$B$2:$B$2701,'(2018-19b)'!$B42,raw!$E$2:$E$2701,'(2018-19b)'!$I$2,raw!$F$2:$F$2701,"Injuries at other special service incidents")</f>
        <v>0</v>
      </c>
      <c r="K42" s="223"/>
      <c r="L42" s="223"/>
      <c r="M42" s="11"/>
    </row>
    <row r="43" spans="1:13" s="245" customFormat="1" ht="14" x14ac:dyDescent="0.3">
      <c r="B43" s="228" t="s">
        <v>44</v>
      </c>
      <c r="C43" s="248">
        <f>SUMIFS(raw!$H$2:$H$2701,raw!$B$2:$B$2701,'(2018-19b)'!$B43,raw!$E$2:$E$2701,'(2018-19b)'!$C$2,raw!$F$2:$F$2701,'(2018-19b)'!C$4)</f>
        <v>15</v>
      </c>
      <c r="D43" s="248">
        <f>SUMIFS(raw!$H$2:$H$2701,raw!$B$2:$B$2701,'(2018-19b)'!$B43,raw!$E$2:$E$2701,'(2018-19b)'!$C$2,raw!$F$2:$F$2701,"Injuries at road traffic collisions")+SUMIFS(raw!$H$2:$H$2701,raw!$B$2:$B$2701,'(2018-19b)'!$B43,raw!$E$2:$E$2701,'(2018-19b)'!$C$2,raw!$F$2:$F$2701,"Injuries at other special service incidents")</f>
        <v>6</v>
      </c>
      <c r="E43" s="248">
        <f>SUMIFS(raw!$H$2:$H$2701,raw!$B$2:$B$2701,'(2018-19b)'!$B43,raw!$E$2:$E$2701,'(2018-19b)'!$E$3,raw!$F$2:$F$2701,'(2018-19b)'!E$4)</f>
        <v>3</v>
      </c>
      <c r="F43" s="248">
        <f>SUMIFS(raw!$H$2:$H$2701,raw!$B$2:$B$2701,'(2018-19b)'!$B43,raw!$E$2:$E$2701,'(2018-19b)'!$E$3,raw!$F$2:$F$2701,"Injuries at road traffic collisions")+SUMIFS(raw!$H$2:$H$2701,raw!$B$2:$B$2701,'(2018-19b)'!$B43,raw!$E$2:$E$2701,'(2018-19b)'!$E$3,raw!$F$2:$F$2701,"Injuries at other special service incidents")</f>
        <v>0</v>
      </c>
      <c r="G43" s="248">
        <f>SUMIFS(raw!$H$2:$H$2701,raw!$B$2:$B$2701,'(2018-19b)'!$B43,raw!$E$2:$E$2701,'(2018-19b)'!$G$3,raw!$F$2:$F$2701,'(2018-19b)'!G$4)</f>
        <v>1</v>
      </c>
      <c r="H43" s="248">
        <f>SUMIFS(raw!$H$2:$H$2701,raw!$B$2:$B$2701,'(2018-19b)'!$B43,raw!$E$2:$E$2701,'(2018-19b)'!$G$3,raw!$F$2:$F$2701,"Injuries at road traffic collisions")+SUMIFS(raw!$H$2:$H$2701,raw!$B$2:$B$2701,'(2018-19b)'!$B43,raw!$E$2:$E$2701,'(2018-19b)'!$G$3,raw!$F$2:$F$2701,"Injuries at other special service incidents")</f>
        <v>0</v>
      </c>
      <c r="I43" s="248">
        <f>SUMIFS(raw!$H$2:$H$2701,raw!$B$2:$B$2701,'(2018-19b)'!$B43,raw!$E$2:$E$2701,'(2018-19b)'!$I$2,raw!$F$2:$F$2701,'(2018-19b)'!I$4)</f>
        <v>0</v>
      </c>
      <c r="J43" s="248">
        <f>SUMIFS(raw!$H$2:$H$2701,raw!$B$2:$B$2701,'(2018-19b)'!$B43,raw!$E$2:$E$2701,'(2018-19b)'!$I$2,raw!$F$2:$F$2701,"Injuries at road traffic collisions")+SUMIFS(raw!$H$2:$H$2701,raw!$B$2:$B$2701,'(2018-19b)'!$B43,raw!$E$2:$E$2701,'(2018-19b)'!$I$2,raw!$F$2:$F$2701,"Injuries at other special service incidents")</f>
        <v>0</v>
      </c>
      <c r="K43" s="223"/>
      <c r="L43" s="223"/>
      <c r="M43" s="216"/>
    </row>
    <row r="44" spans="1:13" ht="12.75" customHeight="1" x14ac:dyDescent="0.3">
      <c r="A44" s="247"/>
      <c r="B44" s="228" t="s">
        <v>46</v>
      </c>
      <c r="C44" s="248">
        <f>SUMIFS(raw!$H$2:$H$2701,raw!$B$2:$B$2701,'(2018-19b)'!$B44,raw!$E$2:$E$2701,'(2018-19b)'!$C$2,raw!$F$2:$F$2701,'(2018-19b)'!C$4)</f>
        <v>0</v>
      </c>
      <c r="D44" s="248">
        <f>SUMIFS(raw!$H$2:$H$2701,raw!$B$2:$B$2701,'(2018-19b)'!$B44,raw!$E$2:$E$2701,'(2018-19b)'!$C$2,raw!$F$2:$F$2701,"Injuries at road traffic collisions")+SUMIFS(raw!$H$2:$H$2701,raw!$B$2:$B$2701,'(2018-19b)'!$B44,raw!$E$2:$E$2701,'(2018-19b)'!$C$2,raw!$F$2:$F$2701,"Injuries at other special service incidents")</f>
        <v>0</v>
      </c>
      <c r="E44" s="248">
        <f>SUMIFS(raw!$H$2:$H$2701,raw!$B$2:$B$2701,'(2018-19b)'!$B44,raw!$E$2:$E$2701,'(2018-19b)'!$E$3,raw!$F$2:$F$2701,'(2018-19b)'!E$4)</f>
        <v>0</v>
      </c>
      <c r="F44" s="248">
        <f>SUMIFS(raw!$H$2:$H$2701,raw!$B$2:$B$2701,'(2018-19b)'!$B44,raw!$E$2:$E$2701,'(2018-19b)'!$E$3,raw!$F$2:$F$2701,"Injuries at road traffic collisions")+SUMIFS(raw!$H$2:$H$2701,raw!$B$2:$B$2701,'(2018-19b)'!$B44,raw!$E$2:$E$2701,'(2018-19b)'!$E$3,raw!$F$2:$F$2701,"Injuries at other special service incidents")</f>
        <v>0</v>
      </c>
      <c r="G44" s="248">
        <f>SUMIFS(raw!$H$2:$H$2701,raw!$B$2:$B$2701,'(2018-19b)'!$B44,raw!$E$2:$E$2701,'(2018-19b)'!$G$3,raw!$F$2:$F$2701,'(2018-19b)'!G$4)</f>
        <v>0</v>
      </c>
      <c r="H44" s="248">
        <f>SUMIFS(raw!$H$2:$H$2701,raw!$B$2:$B$2701,'(2018-19b)'!$B44,raw!$E$2:$E$2701,'(2018-19b)'!$G$3,raw!$F$2:$F$2701,"Injuries at road traffic collisions")+SUMIFS(raw!$H$2:$H$2701,raw!$B$2:$B$2701,'(2018-19b)'!$B44,raw!$E$2:$E$2701,'(2018-19b)'!$G$3,raw!$F$2:$F$2701,"Injuries at other special service incidents")</f>
        <v>0</v>
      </c>
      <c r="I44" s="248">
        <f>SUMIFS(raw!$H$2:$H$2701,raw!$B$2:$B$2701,'(2018-19b)'!$B44,raw!$E$2:$E$2701,'(2018-19b)'!$I$2,raw!$F$2:$F$2701,'(2018-19b)'!I$4)</f>
        <v>0</v>
      </c>
      <c r="J44" s="248">
        <f>SUMIFS(raw!$H$2:$H$2701,raw!$B$2:$B$2701,'(2018-19b)'!$B44,raw!$E$2:$E$2701,'(2018-19b)'!$I$2,raw!$F$2:$F$2701,"Injuries at road traffic collisions")+SUMIFS(raw!$H$2:$H$2701,raw!$B$2:$B$2701,'(2018-19b)'!$B44,raw!$E$2:$E$2701,'(2018-19b)'!$I$2,raw!$F$2:$F$2701,"Injuries at other special service incidents")</f>
        <v>0</v>
      </c>
      <c r="K44" s="223"/>
      <c r="L44" s="223"/>
    </row>
    <row r="45" spans="1:13" ht="12.75" customHeight="1" x14ac:dyDescent="0.3">
      <c r="A45" s="247"/>
      <c r="B45" s="228" t="s">
        <v>47</v>
      </c>
      <c r="C45" s="248">
        <f>SUM(C46:C52)</f>
        <v>302</v>
      </c>
      <c r="D45" s="248">
        <f t="shared" ref="D45:J45" si="2">SUM(D46:D52)</f>
        <v>96</v>
      </c>
      <c r="E45" s="248">
        <f t="shared" si="2"/>
        <v>56</v>
      </c>
      <c r="F45" s="248">
        <f t="shared" si="2"/>
        <v>11</v>
      </c>
      <c r="G45" s="248">
        <f t="shared" si="2"/>
        <v>6</v>
      </c>
      <c r="H45" s="248">
        <f t="shared" si="2"/>
        <v>1</v>
      </c>
      <c r="I45" s="248">
        <f t="shared" si="2"/>
        <v>0</v>
      </c>
      <c r="J45" s="248">
        <f t="shared" si="2"/>
        <v>0</v>
      </c>
      <c r="K45" s="223"/>
      <c r="L45" s="223"/>
    </row>
    <row r="46" spans="1:13" ht="12.75" customHeight="1" x14ac:dyDescent="0.3">
      <c r="A46" s="247"/>
      <c r="B46" s="228" t="s">
        <v>48</v>
      </c>
      <c r="C46" s="248">
        <f>SUMIFS(raw!$H$2:$H$2701,raw!$B$2:$B$2701,'(2018-19b)'!$B46,raw!$E$2:$E$2701,'(2018-19b)'!$C$2,raw!$F$2:$F$2701,'(2018-19b)'!C$4)</f>
        <v>46</v>
      </c>
      <c r="D46" s="248">
        <f>SUMIFS(raw!$H$2:$H$2701,raw!$B$2:$B$2701,'(2018-19b)'!$B46,raw!$E$2:$E$2701,'(2018-19b)'!$C$2,raw!$F$2:$F$2701,"Injuries at road traffic collisions")+SUMIFS(raw!$H$2:$H$2701,raw!$B$2:$B$2701,'(2018-19b)'!$B46,raw!$E$2:$E$2701,'(2018-19b)'!$C$2,raw!$F$2:$F$2701,"Injuries at other special service incidents")</f>
        <v>5</v>
      </c>
      <c r="E46" s="248">
        <f>SUMIFS(raw!$H$2:$H$2701,raw!$B$2:$B$2701,'(2018-19b)'!$B46,raw!$E$2:$E$2701,'(2018-19b)'!$E$3,raw!$F$2:$F$2701,'(2018-19b)'!E$4)</f>
        <v>9</v>
      </c>
      <c r="F46" s="248">
        <f>SUMIFS(raw!$H$2:$H$2701,raw!$B$2:$B$2701,'(2018-19b)'!$B46,raw!$E$2:$E$2701,'(2018-19b)'!$E$3,raw!$F$2:$F$2701,"Injuries at road traffic collisions")+SUMIFS(raw!$H$2:$H$2701,raw!$B$2:$B$2701,'(2018-19b)'!$B46,raw!$E$2:$E$2701,'(2018-19b)'!$E$3,raw!$F$2:$F$2701,"Injuries at other special service incidents")</f>
        <v>0</v>
      </c>
      <c r="G46" s="248">
        <f>SUMIFS(raw!$H$2:$H$2701,raw!$B$2:$B$2701,'(2018-19b)'!$B46,raw!$E$2:$E$2701,'(2018-19b)'!$G$3,raw!$F$2:$F$2701,'(2018-19b)'!G$4)</f>
        <v>1</v>
      </c>
      <c r="H46" s="248">
        <f>SUMIFS(raw!$H$2:$H$2701,raw!$B$2:$B$2701,'(2018-19b)'!$B46,raw!$E$2:$E$2701,'(2018-19b)'!$G$3,raw!$F$2:$F$2701,"Injuries at road traffic collisions")+SUMIFS(raw!$H$2:$H$2701,raw!$B$2:$B$2701,'(2018-19b)'!$B46,raw!$E$2:$E$2701,'(2018-19b)'!$G$3,raw!$F$2:$F$2701,"Injuries at other special service incidents")</f>
        <v>0</v>
      </c>
      <c r="I46" s="248">
        <f>SUMIFS(raw!$H$2:$H$2701,raw!$B$2:$B$2701,'(2018-19b)'!$B46,raw!$E$2:$E$2701,'(2018-19b)'!$I$2,raw!$F$2:$F$2701,'(2018-19b)'!I$4)</f>
        <v>0</v>
      </c>
      <c r="J46" s="248">
        <f>SUMIFS(raw!$H$2:$H$2701,raw!$B$2:$B$2701,'(2018-19b)'!$B46,raw!$E$2:$E$2701,'(2018-19b)'!$I$2,raw!$F$2:$F$2701,"Injuries at road traffic collisions")+SUMIFS(raw!$H$2:$H$2701,raw!$B$2:$B$2701,'(2018-19b)'!$B46,raw!$E$2:$E$2701,'(2018-19b)'!$I$2,raw!$F$2:$F$2701,"Injuries at other special service incidents")</f>
        <v>0</v>
      </c>
      <c r="K46" s="223"/>
      <c r="L46" s="223"/>
    </row>
    <row r="47" spans="1:13" ht="12.75" customHeight="1" x14ac:dyDescent="0.3">
      <c r="A47" s="247"/>
      <c r="B47" s="228" t="s">
        <v>49</v>
      </c>
      <c r="C47" s="248">
        <f>SUMIFS(raw!$H$2:$H$2701,raw!$B$2:$B$2701,'(2018-19b)'!$B47,raw!$E$2:$E$2701,'(2018-19b)'!$C$2,raw!$F$2:$F$2701,'(2018-19b)'!C$4)</f>
        <v>19</v>
      </c>
      <c r="D47" s="248">
        <f>SUMIFS(raw!$H$2:$H$2701,raw!$B$2:$B$2701,'(2018-19b)'!$B47,raw!$E$2:$E$2701,'(2018-19b)'!$C$2,raw!$F$2:$F$2701,"Injuries at road traffic collisions")+SUMIFS(raw!$H$2:$H$2701,raw!$B$2:$B$2701,'(2018-19b)'!$B47,raw!$E$2:$E$2701,'(2018-19b)'!$C$2,raw!$F$2:$F$2701,"Injuries at other special service incidents")</f>
        <v>4</v>
      </c>
      <c r="E47" s="248">
        <f>SUMIFS(raw!$H$2:$H$2701,raw!$B$2:$B$2701,'(2018-19b)'!$B47,raw!$E$2:$E$2701,'(2018-19b)'!$E$3,raw!$F$2:$F$2701,'(2018-19b)'!E$4)</f>
        <v>4</v>
      </c>
      <c r="F47" s="248">
        <f>SUMIFS(raw!$H$2:$H$2701,raw!$B$2:$B$2701,'(2018-19b)'!$B47,raw!$E$2:$E$2701,'(2018-19b)'!$E$3,raw!$F$2:$F$2701,"Injuries at road traffic collisions")+SUMIFS(raw!$H$2:$H$2701,raw!$B$2:$B$2701,'(2018-19b)'!$B47,raw!$E$2:$E$2701,'(2018-19b)'!$E$3,raw!$F$2:$F$2701,"Injuries at other special service incidents")</f>
        <v>1</v>
      </c>
      <c r="G47" s="248">
        <f>SUMIFS(raw!$H$2:$H$2701,raw!$B$2:$B$2701,'(2018-19b)'!$B47,raw!$E$2:$E$2701,'(2018-19b)'!$G$3,raw!$F$2:$F$2701,'(2018-19b)'!G$4)</f>
        <v>0</v>
      </c>
      <c r="H47" s="248">
        <f>SUMIFS(raw!$H$2:$H$2701,raw!$B$2:$B$2701,'(2018-19b)'!$B47,raw!$E$2:$E$2701,'(2018-19b)'!$G$3,raw!$F$2:$F$2701,"Injuries at road traffic collisions")+SUMIFS(raw!$H$2:$H$2701,raw!$B$2:$B$2701,'(2018-19b)'!$B47,raw!$E$2:$E$2701,'(2018-19b)'!$G$3,raw!$F$2:$F$2701,"Injuries at other special service incidents")</f>
        <v>0</v>
      </c>
      <c r="I47" s="248">
        <f>SUMIFS(raw!$H$2:$H$2701,raw!$B$2:$B$2701,'(2018-19b)'!$B47,raw!$E$2:$E$2701,'(2018-19b)'!$I$2,raw!$F$2:$F$2701,'(2018-19b)'!I$4)</f>
        <v>0</v>
      </c>
      <c r="J47" s="248">
        <f>SUMIFS(raw!$H$2:$H$2701,raw!$B$2:$B$2701,'(2018-19b)'!$B47,raw!$E$2:$E$2701,'(2018-19b)'!$I$2,raw!$F$2:$F$2701,"Injuries at road traffic collisions")+SUMIFS(raw!$H$2:$H$2701,raw!$B$2:$B$2701,'(2018-19b)'!$B47,raw!$E$2:$E$2701,'(2018-19b)'!$I$2,raw!$F$2:$F$2701,"Injuries at other special service incidents")</f>
        <v>0</v>
      </c>
      <c r="K47" s="223"/>
      <c r="L47" s="223"/>
    </row>
    <row r="48" spans="1:13" ht="12.75" customHeight="1" x14ac:dyDescent="0.3">
      <c r="A48" s="247"/>
      <c r="B48" s="228" t="s">
        <v>50</v>
      </c>
      <c r="C48" s="248">
        <f>SUMIFS(raw!$H$2:$H$2701,raw!$B$2:$B$2701,'(2018-19b)'!$B48,raw!$E$2:$E$2701,'(2018-19b)'!$C$2,raw!$F$2:$F$2701,'(2018-19b)'!C$4)</f>
        <v>47</v>
      </c>
      <c r="D48" s="248">
        <f>SUMIFS(raw!$H$2:$H$2701,raw!$B$2:$B$2701,'(2018-19b)'!$B48,raw!$E$2:$E$2701,'(2018-19b)'!$C$2,raw!$F$2:$F$2701,"Injuries at road traffic collisions")+SUMIFS(raw!$H$2:$H$2701,raw!$B$2:$B$2701,'(2018-19b)'!$B48,raw!$E$2:$E$2701,'(2018-19b)'!$C$2,raw!$F$2:$F$2701,"Injuries at other special service incidents")</f>
        <v>14</v>
      </c>
      <c r="E48" s="248">
        <f>SUMIFS(raw!$H$2:$H$2701,raw!$B$2:$B$2701,'(2018-19b)'!$B48,raw!$E$2:$E$2701,'(2018-19b)'!$E$3,raw!$F$2:$F$2701,'(2018-19b)'!E$4)</f>
        <v>5</v>
      </c>
      <c r="F48" s="248">
        <f>SUMIFS(raw!$H$2:$H$2701,raw!$B$2:$B$2701,'(2018-19b)'!$B48,raw!$E$2:$E$2701,'(2018-19b)'!$E$3,raw!$F$2:$F$2701,"Injuries at road traffic collisions")+SUMIFS(raw!$H$2:$H$2701,raw!$B$2:$B$2701,'(2018-19b)'!$B48,raw!$E$2:$E$2701,'(2018-19b)'!$E$3,raw!$F$2:$F$2701,"Injuries at other special service incidents")</f>
        <v>1</v>
      </c>
      <c r="G48" s="248">
        <f>SUMIFS(raw!$H$2:$H$2701,raw!$B$2:$B$2701,'(2018-19b)'!$B48,raw!$E$2:$E$2701,'(2018-19b)'!$G$3,raw!$F$2:$F$2701,'(2018-19b)'!G$4)</f>
        <v>0</v>
      </c>
      <c r="H48" s="248">
        <f>SUMIFS(raw!$H$2:$H$2701,raw!$B$2:$B$2701,'(2018-19b)'!$B48,raw!$E$2:$E$2701,'(2018-19b)'!$G$3,raw!$F$2:$F$2701,"Injuries at road traffic collisions")+SUMIFS(raw!$H$2:$H$2701,raw!$B$2:$B$2701,'(2018-19b)'!$B48,raw!$E$2:$E$2701,'(2018-19b)'!$G$3,raw!$F$2:$F$2701,"Injuries at other special service incidents")</f>
        <v>0</v>
      </c>
      <c r="I48" s="248">
        <f>SUMIFS(raw!$H$2:$H$2701,raw!$B$2:$B$2701,'(2018-19b)'!$B48,raw!$E$2:$E$2701,'(2018-19b)'!$I$2,raw!$F$2:$F$2701,'(2018-19b)'!I$4)</f>
        <v>0</v>
      </c>
      <c r="J48" s="248">
        <f>SUMIFS(raw!$H$2:$H$2701,raw!$B$2:$B$2701,'(2018-19b)'!$B48,raw!$E$2:$E$2701,'(2018-19b)'!$I$2,raw!$F$2:$F$2701,"Injuries at road traffic collisions")+SUMIFS(raw!$H$2:$H$2701,raw!$B$2:$B$2701,'(2018-19b)'!$B48,raw!$E$2:$E$2701,'(2018-19b)'!$I$2,raw!$F$2:$F$2701,"Injuries at other special service incidents")</f>
        <v>0</v>
      </c>
      <c r="K48" s="223"/>
      <c r="L48" s="223"/>
    </row>
    <row r="49" spans="1:13" ht="12.75" customHeight="1" x14ac:dyDescent="0.3">
      <c r="A49" s="247"/>
      <c r="B49" s="228" t="s">
        <v>215</v>
      </c>
      <c r="C49" s="248">
        <f>SUMIFS(raw!$H$2:$H$2701,raw!$B$2:$B$2701,'(2018-19b)'!$B49,raw!$E$2:$E$2701,'(2018-19b)'!$C$2,raw!$F$2:$F$2701,'(2018-19b)'!C$4)</f>
        <v>11</v>
      </c>
      <c r="D49" s="248">
        <f>SUMIFS(raw!$H$2:$H$2701,raw!$B$2:$B$2701,'(2018-19b)'!$B49,raw!$E$2:$E$2701,'(2018-19b)'!$C$2,raw!$F$2:$F$2701,"Injuries at road traffic collisions")+SUMIFS(raw!$H$2:$H$2701,raw!$B$2:$B$2701,'(2018-19b)'!$B49,raw!$E$2:$E$2701,'(2018-19b)'!$C$2,raw!$F$2:$F$2701,"Injuries at other special service incidents")</f>
        <v>6</v>
      </c>
      <c r="E49" s="248">
        <f>SUMIFS(raw!$H$2:$H$2701,raw!$B$2:$B$2701,'(2018-19b)'!$B49,raw!$E$2:$E$2701,'(2018-19b)'!$E$3,raw!$F$2:$F$2701,'(2018-19b)'!E$4)</f>
        <v>3</v>
      </c>
      <c r="F49" s="248">
        <f>SUMIFS(raw!$H$2:$H$2701,raw!$B$2:$B$2701,'(2018-19b)'!$B49,raw!$E$2:$E$2701,'(2018-19b)'!$E$3,raw!$F$2:$F$2701,"Injuries at road traffic collisions")+SUMIFS(raw!$H$2:$H$2701,raw!$B$2:$B$2701,'(2018-19b)'!$B49,raw!$E$2:$E$2701,'(2018-19b)'!$E$3,raw!$F$2:$F$2701,"Injuries at other special service incidents")</f>
        <v>0</v>
      </c>
      <c r="G49" s="248">
        <f>SUMIFS(raw!$H$2:$H$2701,raw!$B$2:$B$2701,'(2018-19b)'!$B49,raw!$E$2:$E$2701,'(2018-19b)'!$G$3,raw!$F$2:$F$2701,'(2018-19b)'!G$4)</f>
        <v>0</v>
      </c>
      <c r="H49" s="248">
        <f>SUMIFS(raw!$H$2:$H$2701,raw!$B$2:$B$2701,'(2018-19b)'!$B49,raw!$E$2:$E$2701,'(2018-19b)'!$G$3,raw!$F$2:$F$2701,"Injuries at road traffic collisions")+SUMIFS(raw!$H$2:$H$2701,raw!$B$2:$B$2701,'(2018-19b)'!$B49,raw!$E$2:$E$2701,'(2018-19b)'!$G$3,raw!$F$2:$F$2701,"Injuries at other special service incidents")</f>
        <v>0</v>
      </c>
      <c r="I49" s="248">
        <f>SUMIFS(raw!$H$2:$H$2701,raw!$B$2:$B$2701,'(2018-19b)'!$B49,raw!$E$2:$E$2701,'(2018-19b)'!$I$2,raw!$F$2:$F$2701,'(2018-19b)'!I$4)</f>
        <v>0</v>
      </c>
      <c r="J49" s="248">
        <f>SUMIFS(raw!$H$2:$H$2701,raw!$B$2:$B$2701,'(2018-19b)'!$B49,raw!$E$2:$E$2701,'(2018-19b)'!$I$2,raw!$F$2:$F$2701,"Injuries at road traffic collisions")+SUMIFS(raw!$H$2:$H$2701,raw!$B$2:$B$2701,'(2018-19b)'!$B49,raw!$E$2:$E$2701,'(2018-19b)'!$I$2,raw!$F$2:$F$2701,"Injuries at other special service incidents")</f>
        <v>0</v>
      </c>
      <c r="K49" s="223"/>
      <c r="L49" s="223"/>
    </row>
    <row r="50" spans="1:13" s="249" customFormat="1" ht="13.5" customHeight="1" x14ac:dyDescent="0.3">
      <c r="A50" s="238"/>
      <c r="B50" s="247" t="s">
        <v>52</v>
      </c>
      <c r="C50" s="248">
        <f>SUMIFS(raw!$H$2:$H$2701,raw!$B$2:$B$2701,'(2018-19b)'!$B50,raw!$E$2:$E$2701,'(2018-19b)'!$C$2,raw!$F$2:$F$2701,'(2018-19b)'!C$4)</f>
        <v>34</v>
      </c>
      <c r="D50" s="248">
        <f>SUMIFS(raw!$H$2:$H$2701,raw!$B$2:$B$2701,'(2018-19b)'!$B50,raw!$E$2:$E$2701,'(2018-19b)'!$C$2,raw!$F$2:$F$2701,"Injuries at road traffic collisions")+SUMIFS(raw!$H$2:$H$2701,raw!$B$2:$B$2701,'(2018-19b)'!$B50,raw!$E$2:$E$2701,'(2018-19b)'!$C$2,raw!$F$2:$F$2701,"Injuries at other special service incidents")</f>
        <v>11</v>
      </c>
      <c r="E50" s="248">
        <f>SUMIFS(raw!$H$2:$H$2701,raw!$B$2:$B$2701,'(2018-19b)'!$B50,raw!$E$2:$E$2701,'(2018-19b)'!$E$3,raw!$F$2:$F$2701,'(2018-19b)'!E$4)</f>
        <v>4</v>
      </c>
      <c r="F50" s="248">
        <f>SUMIFS(raw!$H$2:$H$2701,raw!$B$2:$B$2701,'(2018-19b)'!$B50,raw!$E$2:$E$2701,'(2018-19b)'!$E$3,raw!$F$2:$F$2701,"Injuries at road traffic collisions")+SUMIFS(raw!$H$2:$H$2701,raw!$B$2:$B$2701,'(2018-19b)'!$B50,raw!$E$2:$E$2701,'(2018-19b)'!$E$3,raw!$F$2:$F$2701,"Injuries at other special service incidents")</f>
        <v>1</v>
      </c>
      <c r="G50" s="248">
        <f>SUMIFS(raw!$H$2:$H$2701,raw!$B$2:$B$2701,'(2018-19b)'!$B50,raw!$E$2:$E$2701,'(2018-19b)'!$G$3,raw!$F$2:$F$2701,'(2018-19b)'!G$4)</f>
        <v>1</v>
      </c>
      <c r="H50" s="248">
        <f>SUMIFS(raw!$H$2:$H$2701,raw!$B$2:$B$2701,'(2018-19b)'!$B50,raw!$E$2:$E$2701,'(2018-19b)'!$G$3,raw!$F$2:$F$2701,"Injuries at road traffic collisions")+SUMIFS(raw!$H$2:$H$2701,raw!$B$2:$B$2701,'(2018-19b)'!$B50,raw!$E$2:$E$2701,'(2018-19b)'!$G$3,raw!$F$2:$F$2701,"Injuries at other special service incidents")</f>
        <v>0</v>
      </c>
      <c r="I50" s="248">
        <f>SUMIFS(raw!$H$2:$H$2701,raw!$B$2:$B$2701,'(2018-19b)'!$B50,raw!$E$2:$E$2701,'(2018-19b)'!$I$2,raw!$F$2:$F$2701,'(2018-19b)'!I$4)</f>
        <v>0</v>
      </c>
      <c r="J50" s="248">
        <f>SUMIFS(raw!$H$2:$H$2701,raw!$B$2:$B$2701,'(2018-19b)'!$B50,raw!$E$2:$E$2701,'(2018-19b)'!$I$2,raw!$F$2:$F$2701,"Injuries at road traffic collisions")+SUMIFS(raw!$H$2:$H$2701,raw!$B$2:$B$2701,'(2018-19b)'!$B50,raw!$E$2:$E$2701,'(2018-19b)'!$I$2,raw!$F$2:$F$2701,"Injuries at other special service incidents")</f>
        <v>0</v>
      </c>
      <c r="K50" s="223"/>
      <c r="L50" s="223"/>
      <c r="M50" s="216"/>
    </row>
    <row r="51" spans="1:13" ht="18.75" customHeight="1" x14ac:dyDescent="0.3">
      <c r="B51" s="247" t="s">
        <v>53</v>
      </c>
      <c r="C51" s="248">
        <f>SUMIFS(raw!$H$2:$H$2701,raw!$B$2:$B$2701,'(2018-19b)'!$B51,raw!$E$2:$E$2701,'(2018-19b)'!$C$2,raw!$F$2:$F$2701,'(2018-19b)'!C$4)</f>
        <v>31</v>
      </c>
      <c r="D51" s="248">
        <f>SUMIFS(raw!$H$2:$H$2701,raw!$B$2:$B$2701,'(2018-19b)'!$B51,raw!$E$2:$E$2701,'(2018-19b)'!$C$2,raw!$F$2:$F$2701,"Injuries at road traffic collisions")+SUMIFS(raw!$H$2:$H$2701,raw!$B$2:$B$2701,'(2018-19b)'!$B51,raw!$E$2:$E$2701,'(2018-19b)'!$C$2,raw!$F$2:$F$2701,"Injuries at other special service incidents")</f>
        <v>3</v>
      </c>
      <c r="E51" s="248">
        <f>SUMIFS(raw!$H$2:$H$2701,raw!$B$2:$B$2701,'(2018-19b)'!$B51,raw!$E$2:$E$2701,'(2018-19b)'!$E$3,raw!$F$2:$F$2701,'(2018-19b)'!E$4)</f>
        <v>0</v>
      </c>
      <c r="F51" s="248">
        <f>SUMIFS(raw!$H$2:$H$2701,raw!$B$2:$B$2701,'(2018-19b)'!$B51,raw!$E$2:$E$2701,'(2018-19b)'!$E$3,raw!$F$2:$F$2701,"Injuries at road traffic collisions")+SUMIFS(raw!$H$2:$H$2701,raw!$B$2:$B$2701,'(2018-19b)'!$B51,raw!$E$2:$E$2701,'(2018-19b)'!$E$3,raw!$F$2:$F$2701,"Injuries at other special service incidents")</f>
        <v>1</v>
      </c>
      <c r="G51" s="248">
        <f>SUMIFS(raw!$H$2:$H$2701,raw!$B$2:$B$2701,'(2018-19b)'!$B51,raw!$E$2:$E$2701,'(2018-19b)'!$G$3,raw!$F$2:$F$2701,'(2018-19b)'!G$4)</f>
        <v>1</v>
      </c>
      <c r="H51" s="248">
        <f>SUMIFS(raw!$H$2:$H$2701,raw!$B$2:$B$2701,'(2018-19b)'!$B51,raw!$E$2:$E$2701,'(2018-19b)'!$G$3,raw!$F$2:$F$2701,"Injuries at road traffic collisions")+SUMIFS(raw!$H$2:$H$2701,raw!$B$2:$B$2701,'(2018-19b)'!$B51,raw!$E$2:$E$2701,'(2018-19b)'!$G$3,raw!$F$2:$F$2701,"Injuries at other special service incidents")</f>
        <v>0</v>
      </c>
      <c r="I51" s="248">
        <f>SUMIFS(raw!$H$2:$H$2701,raw!$B$2:$B$2701,'(2018-19b)'!$B51,raw!$E$2:$E$2701,'(2018-19b)'!$I$2,raw!$F$2:$F$2701,'(2018-19b)'!I$4)</f>
        <v>0</v>
      </c>
      <c r="J51" s="248">
        <f>SUMIFS(raw!$H$2:$H$2701,raw!$B$2:$B$2701,'(2018-19b)'!$B51,raw!$E$2:$E$2701,'(2018-19b)'!$I$2,raw!$F$2:$F$2701,"Injuries at road traffic collisions")+SUMIFS(raw!$H$2:$H$2701,raw!$B$2:$B$2701,'(2018-19b)'!$B51,raw!$E$2:$E$2701,'(2018-19b)'!$I$2,raw!$F$2:$F$2701,"Injuries at other special service incidents")</f>
        <v>0</v>
      </c>
      <c r="K51" s="223"/>
      <c r="L51" s="223"/>
    </row>
    <row r="52" spans="1:13" ht="13.15" customHeight="1" x14ac:dyDescent="0.3">
      <c r="B52" s="247" t="s">
        <v>54</v>
      </c>
      <c r="C52" s="248">
        <f>SUMIFS(raw!$H$2:$H$2701,raw!$B$2:$B$2701,'(2018-19b)'!$B52,raw!$E$2:$E$2701,'(2018-19b)'!$C$2,raw!$F$2:$F$2701,'(2018-19b)'!C$4)</f>
        <v>114</v>
      </c>
      <c r="D52" s="248">
        <f>SUMIFS(raw!$H$2:$H$2701,raw!$B$2:$B$2701,'(2018-19b)'!$B52,raw!$E$2:$E$2701,'(2018-19b)'!$C$2,raw!$F$2:$F$2701,"Injuries at road traffic collisions")+SUMIFS(raw!$H$2:$H$2701,raw!$B$2:$B$2701,'(2018-19b)'!$B52,raw!$E$2:$E$2701,'(2018-19b)'!$C$2,raw!$F$2:$F$2701,"Injuries at other special service incidents")</f>
        <v>53</v>
      </c>
      <c r="E52" s="248">
        <f>SUMIFS(raw!$H$2:$H$2701,raw!$B$2:$B$2701,'(2018-19b)'!$B52,raw!$E$2:$E$2701,'(2018-19b)'!$E$3,raw!$F$2:$F$2701,'(2018-19b)'!E$4)</f>
        <v>31</v>
      </c>
      <c r="F52" s="248">
        <f>SUMIFS(raw!$H$2:$H$2701,raw!$B$2:$B$2701,'(2018-19b)'!$B52,raw!$E$2:$E$2701,'(2018-19b)'!$E$3,raw!$F$2:$F$2701,"Injuries at road traffic collisions")+SUMIFS(raw!$H$2:$H$2701,raw!$B$2:$B$2701,'(2018-19b)'!$B52,raw!$E$2:$E$2701,'(2018-19b)'!$E$3,raw!$F$2:$F$2701,"Injuries at other special service incidents")</f>
        <v>7</v>
      </c>
      <c r="G52" s="248">
        <f>SUMIFS(raw!$H$2:$H$2701,raw!$B$2:$B$2701,'(2018-19b)'!$B52,raw!$E$2:$E$2701,'(2018-19b)'!$G$3,raw!$F$2:$F$2701,'(2018-19b)'!G$4)</f>
        <v>3</v>
      </c>
      <c r="H52" s="248">
        <f>SUMIFS(raw!$H$2:$H$2701,raw!$B$2:$B$2701,'(2018-19b)'!$B52,raw!$E$2:$E$2701,'(2018-19b)'!$G$3,raw!$F$2:$F$2701,"Injuries at road traffic collisions")+SUMIFS(raw!$H$2:$H$2701,raw!$B$2:$B$2701,'(2018-19b)'!$B52,raw!$E$2:$E$2701,'(2018-19b)'!$G$3,raw!$F$2:$F$2701,"Injuries at other special service incidents")</f>
        <v>1</v>
      </c>
      <c r="I52" s="248">
        <f>SUMIFS(raw!$H$2:$H$2701,raw!$B$2:$B$2701,'(2018-19b)'!$B52,raw!$E$2:$E$2701,'(2018-19b)'!$I$2,raw!$F$2:$F$2701,'(2018-19b)'!I$4)</f>
        <v>0</v>
      </c>
      <c r="J52" s="248">
        <f>SUMIFS(raw!$H$2:$H$2701,raw!$B$2:$B$2701,'(2018-19b)'!$B52,raw!$E$2:$E$2701,'(2018-19b)'!$I$2,raw!$F$2:$F$2701,"Injuries at road traffic collisions")+SUMIFS(raw!$H$2:$H$2701,raw!$B$2:$B$2701,'(2018-19b)'!$B52,raw!$E$2:$E$2701,'(2018-19b)'!$I$2,raw!$F$2:$F$2701,"Injuries at other special service incidents")</f>
        <v>0</v>
      </c>
      <c r="K52" s="223"/>
      <c r="L52" s="223"/>
    </row>
    <row r="53" spans="1:13" ht="12.75" customHeight="1" x14ac:dyDescent="0.3">
      <c r="K53" s="240"/>
      <c r="L53" s="240"/>
    </row>
    <row r="54" spans="1:13" ht="18.75" customHeight="1" x14ac:dyDescent="0.3">
      <c r="B54" s="247"/>
      <c r="C54" s="247"/>
      <c r="D54" s="247"/>
      <c r="E54" s="247"/>
      <c r="F54" s="247"/>
      <c r="G54" s="247"/>
      <c r="H54" s="247"/>
      <c r="I54" s="247"/>
      <c r="J54" s="247"/>
    </row>
    <row r="55" spans="1:13" ht="18.75" customHeight="1" x14ac:dyDescent="0.3">
      <c r="B55" s="247"/>
      <c r="C55" s="247"/>
      <c r="D55" s="247"/>
      <c r="E55" s="247"/>
      <c r="F55" s="247"/>
      <c r="G55" s="247"/>
      <c r="H55" s="247"/>
      <c r="I55" s="247"/>
      <c r="J55" s="247"/>
    </row>
    <row r="56" spans="1:13" ht="18.75" customHeight="1" x14ac:dyDescent="0.3">
      <c r="B56" s="247"/>
      <c r="C56" s="247"/>
      <c r="D56" s="247"/>
      <c r="E56" s="247"/>
      <c r="F56" s="247"/>
      <c r="G56" s="247"/>
      <c r="H56" s="247"/>
      <c r="I56" s="247"/>
      <c r="J56" s="247"/>
    </row>
    <row r="57" spans="1:13" ht="17.25" customHeight="1" x14ac:dyDescent="0.3">
      <c r="B57" s="247"/>
      <c r="C57" s="247"/>
      <c r="D57" s="247"/>
      <c r="E57" s="247"/>
      <c r="F57" s="247"/>
      <c r="G57" s="247"/>
      <c r="H57" s="247"/>
      <c r="I57" s="247"/>
      <c r="J57" s="247"/>
    </row>
    <row r="58" spans="1:13" ht="15.75" customHeight="1" x14ac:dyDescent="0.3">
      <c r="B58" s="247"/>
    </row>
    <row r="59" spans="1:13" ht="9.75" customHeight="1" x14ac:dyDescent="0.3">
      <c r="B59" s="247"/>
      <c r="C59" s="247"/>
      <c r="D59" s="247"/>
      <c r="E59" s="237"/>
      <c r="F59" s="237"/>
      <c r="G59" s="237"/>
      <c r="H59" s="237"/>
      <c r="I59" s="237"/>
      <c r="J59" s="237"/>
    </row>
    <row r="60" spans="1:13" ht="18.75" customHeight="1" x14ac:dyDescent="0.3">
      <c r="B60" s="250"/>
    </row>
    <row r="61" spans="1:13" x14ac:dyDescent="0.3">
      <c r="B61" s="251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07D3-8F63-40C2-9F05-B56EFE747AE1}">
  <sheetPr codeName="Sheet50">
    <tabColor rgb="FFFF0000"/>
  </sheetPr>
  <dimension ref="A1:K58"/>
  <sheetViews>
    <sheetView topLeftCell="B1" workbookViewId="0">
      <selection activeCell="A4" sqref="A2:J4"/>
    </sheetView>
  </sheetViews>
  <sheetFormatPr defaultRowHeight="12.5" x14ac:dyDescent="0.3"/>
  <cols>
    <col min="1" max="1" width="3.26953125" style="171" hidden="1" customWidth="1"/>
    <col min="2" max="2" width="24.7265625" style="27" customWidth="1"/>
    <col min="3" max="3" width="18" style="231" customWidth="1"/>
    <col min="4" max="4" width="18.453125" style="231" customWidth="1"/>
    <col min="5" max="5" width="13.7265625" style="231" customWidth="1"/>
    <col min="6" max="6" width="14" style="231" customWidth="1"/>
    <col min="7" max="9" width="8.7265625" style="216"/>
    <col min="10" max="256" width="8.7265625" style="27"/>
    <col min="257" max="257" width="0" style="27" hidden="1" customWidth="1"/>
    <col min="258" max="258" width="24.7265625" style="27" customWidth="1"/>
    <col min="259" max="259" width="18" style="27" customWidth="1"/>
    <col min="260" max="260" width="18.453125" style="27" customWidth="1"/>
    <col min="261" max="261" width="13.7265625" style="27" customWidth="1"/>
    <col min="262" max="262" width="14" style="27" customWidth="1"/>
    <col min="263" max="512" width="8.7265625" style="27"/>
    <col min="513" max="513" width="0" style="27" hidden="1" customWidth="1"/>
    <col min="514" max="514" width="24.7265625" style="27" customWidth="1"/>
    <col min="515" max="515" width="18" style="27" customWidth="1"/>
    <col min="516" max="516" width="18.453125" style="27" customWidth="1"/>
    <col min="517" max="517" width="13.7265625" style="27" customWidth="1"/>
    <col min="518" max="518" width="14" style="27" customWidth="1"/>
    <col min="519" max="768" width="8.7265625" style="27"/>
    <col min="769" max="769" width="0" style="27" hidden="1" customWidth="1"/>
    <col min="770" max="770" width="24.7265625" style="27" customWidth="1"/>
    <col min="771" max="771" width="18" style="27" customWidth="1"/>
    <col min="772" max="772" width="18.453125" style="27" customWidth="1"/>
    <col min="773" max="773" width="13.7265625" style="27" customWidth="1"/>
    <col min="774" max="774" width="14" style="27" customWidth="1"/>
    <col min="775" max="1024" width="8.7265625" style="27"/>
    <col min="1025" max="1025" width="0" style="27" hidden="1" customWidth="1"/>
    <col min="1026" max="1026" width="24.7265625" style="27" customWidth="1"/>
    <col min="1027" max="1027" width="18" style="27" customWidth="1"/>
    <col min="1028" max="1028" width="18.453125" style="27" customWidth="1"/>
    <col min="1029" max="1029" width="13.7265625" style="27" customWidth="1"/>
    <col min="1030" max="1030" width="14" style="27" customWidth="1"/>
    <col min="1031" max="1280" width="8.7265625" style="27"/>
    <col min="1281" max="1281" width="0" style="27" hidden="1" customWidth="1"/>
    <col min="1282" max="1282" width="24.7265625" style="27" customWidth="1"/>
    <col min="1283" max="1283" width="18" style="27" customWidth="1"/>
    <col min="1284" max="1284" width="18.453125" style="27" customWidth="1"/>
    <col min="1285" max="1285" width="13.7265625" style="27" customWidth="1"/>
    <col min="1286" max="1286" width="14" style="27" customWidth="1"/>
    <col min="1287" max="1536" width="8.7265625" style="27"/>
    <col min="1537" max="1537" width="0" style="27" hidden="1" customWidth="1"/>
    <col min="1538" max="1538" width="24.7265625" style="27" customWidth="1"/>
    <col min="1539" max="1539" width="18" style="27" customWidth="1"/>
    <col min="1540" max="1540" width="18.453125" style="27" customWidth="1"/>
    <col min="1541" max="1541" width="13.7265625" style="27" customWidth="1"/>
    <col min="1542" max="1542" width="14" style="27" customWidth="1"/>
    <col min="1543" max="1792" width="8.7265625" style="27"/>
    <col min="1793" max="1793" width="0" style="27" hidden="1" customWidth="1"/>
    <col min="1794" max="1794" width="24.7265625" style="27" customWidth="1"/>
    <col min="1795" max="1795" width="18" style="27" customWidth="1"/>
    <col min="1796" max="1796" width="18.453125" style="27" customWidth="1"/>
    <col min="1797" max="1797" width="13.7265625" style="27" customWidth="1"/>
    <col min="1798" max="1798" width="14" style="27" customWidth="1"/>
    <col min="1799" max="2048" width="8.7265625" style="27"/>
    <col min="2049" max="2049" width="0" style="27" hidden="1" customWidth="1"/>
    <col min="2050" max="2050" width="24.7265625" style="27" customWidth="1"/>
    <col min="2051" max="2051" width="18" style="27" customWidth="1"/>
    <col min="2052" max="2052" width="18.453125" style="27" customWidth="1"/>
    <col min="2053" max="2053" width="13.7265625" style="27" customWidth="1"/>
    <col min="2054" max="2054" width="14" style="27" customWidth="1"/>
    <col min="2055" max="2304" width="8.7265625" style="27"/>
    <col min="2305" max="2305" width="0" style="27" hidden="1" customWidth="1"/>
    <col min="2306" max="2306" width="24.7265625" style="27" customWidth="1"/>
    <col min="2307" max="2307" width="18" style="27" customWidth="1"/>
    <col min="2308" max="2308" width="18.453125" style="27" customWidth="1"/>
    <col min="2309" max="2309" width="13.7265625" style="27" customWidth="1"/>
    <col min="2310" max="2310" width="14" style="27" customWidth="1"/>
    <col min="2311" max="2560" width="8.7265625" style="27"/>
    <col min="2561" max="2561" width="0" style="27" hidden="1" customWidth="1"/>
    <col min="2562" max="2562" width="24.7265625" style="27" customWidth="1"/>
    <col min="2563" max="2563" width="18" style="27" customWidth="1"/>
    <col min="2564" max="2564" width="18.453125" style="27" customWidth="1"/>
    <col min="2565" max="2565" width="13.7265625" style="27" customWidth="1"/>
    <col min="2566" max="2566" width="14" style="27" customWidth="1"/>
    <col min="2567" max="2816" width="8.7265625" style="27"/>
    <col min="2817" max="2817" width="0" style="27" hidden="1" customWidth="1"/>
    <col min="2818" max="2818" width="24.7265625" style="27" customWidth="1"/>
    <col min="2819" max="2819" width="18" style="27" customWidth="1"/>
    <col min="2820" max="2820" width="18.453125" style="27" customWidth="1"/>
    <col min="2821" max="2821" width="13.7265625" style="27" customWidth="1"/>
    <col min="2822" max="2822" width="14" style="27" customWidth="1"/>
    <col min="2823" max="3072" width="8.7265625" style="27"/>
    <col min="3073" max="3073" width="0" style="27" hidden="1" customWidth="1"/>
    <col min="3074" max="3074" width="24.7265625" style="27" customWidth="1"/>
    <col min="3075" max="3075" width="18" style="27" customWidth="1"/>
    <col min="3076" max="3076" width="18.453125" style="27" customWidth="1"/>
    <col min="3077" max="3077" width="13.7265625" style="27" customWidth="1"/>
    <col min="3078" max="3078" width="14" style="27" customWidth="1"/>
    <col min="3079" max="3328" width="8.7265625" style="27"/>
    <col min="3329" max="3329" width="0" style="27" hidden="1" customWidth="1"/>
    <col min="3330" max="3330" width="24.7265625" style="27" customWidth="1"/>
    <col min="3331" max="3331" width="18" style="27" customWidth="1"/>
    <col min="3332" max="3332" width="18.453125" style="27" customWidth="1"/>
    <col min="3333" max="3333" width="13.7265625" style="27" customWidth="1"/>
    <col min="3334" max="3334" width="14" style="27" customWidth="1"/>
    <col min="3335" max="3584" width="8.7265625" style="27"/>
    <col min="3585" max="3585" width="0" style="27" hidden="1" customWidth="1"/>
    <col min="3586" max="3586" width="24.7265625" style="27" customWidth="1"/>
    <col min="3587" max="3587" width="18" style="27" customWidth="1"/>
    <col min="3588" max="3588" width="18.453125" style="27" customWidth="1"/>
    <col min="3589" max="3589" width="13.7265625" style="27" customWidth="1"/>
    <col min="3590" max="3590" width="14" style="27" customWidth="1"/>
    <col min="3591" max="3840" width="8.7265625" style="27"/>
    <col min="3841" max="3841" width="0" style="27" hidden="1" customWidth="1"/>
    <col min="3842" max="3842" width="24.7265625" style="27" customWidth="1"/>
    <col min="3843" max="3843" width="18" style="27" customWidth="1"/>
    <col min="3844" max="3844" width="18.453125" style="27" customWidth="1"/>
    <col min="3845" max="3845" width="13.7265625" style="27" customWidth="1"/>
    <col min="3846" max="3846" width="14" style="27" customWidth="1"/>
    <col min="3847" max="4096" width="8.7265625" style="27"/>
    <col min="4097" max="4097" width="0" style="27" hidden="1" customWidth="1"/>
    <col min="4098" max="4098" width="24.7265625" style="27" customWidth="1"/>
    <col min="4099" max="4099" width="18" style="27" customWidth="1"/>
    <col min="4100" max="4100" width="18.453125" style="27" customWidth="1"/>
    <col min="4101" max="4101" width="13.7265625" style="27" customWidth="1"/>
    <col min="4102" max="4102" width="14" style="27" customWidth="1"/>
    <col min="4103" max="4352" width="8.7265625" style="27"/>
    <col min="4353" max="4353" width="0" style="27" hidden="1" customWidth="1"/>
    <col min="4354" max="4354" width="24.7265625" style="27" customWidth="1"/>
    <col min="4355" max="4355" width="18" style="27" customWidth="1"/>
    <col min="4356" max="4356" width="18.453125" style="27" customWidth="1"/>
    <col min="4357" max="4357" width="13.7265625" style="27" customWidth="1"/>
    <col min="4358" max="4358" width="14" style="27" customWidth="1"/>
    <col min="4359" max="4608" width="8.7265625" style="27"/>
    <col min="4609" max="4609" width="0" style="27" hidden="1" customWidth="1"/>
    <col min="4610" max="4610" width="24.7265625" style="27" customWidth="1"/>
    <col min="4611" max="4611" width="18" style="27" customWidth="1"/>
    <col min="4612" max="4612" width="18.453125" style="27" customWidth="1"/>
    <col min="4613" max="4613" width="13.7265625" style="27" customWidth="1"/>
    <col min="4614" max="4614" width="14" style="27" customWidth="1"/>
    <col min="4615" max="4864" width="8.7265625" style="27"/>
    <col min="4865" max="4865" width="0" style="27" hidden="1" customWidth="1"/>
    <col min="4866" max="4866" width="24.7265625" style="27" customWidth="1"/>
    <col min="4867" max="4867" width="18" style="27" customWidth="1"/>
    <col min="4868" max="4868" width="18.453125" style="27" customWidth="1"/>
    <col min="4869" max="4869" width="13.7265625" style="27" customWidth="1"/>
    <col min="4870" max="4870" width="14" style="27" customWidth="1"/>
    <col min="4871" max="5120" width="8.7265625" style="27"/>
    <col min="5121" max="5121" width="0" style="27" hidden="1" customWidth="1"/>
    <col min="5122" max="5122" width="24.7265625" style="27" customWidth="1"/>
    <col min="5123" max="5123" width="18" style="27" customWidth="1"/>
    <col min="5124" max="5124" width="18.453125" style="27" customWidth="1"/>
    <col min="5125" max="5125" width="13.7265625" style="27" customWidth="1"/>
    <col min="5126" max="5126" width="14" style="27" customWidth="1"/>
    <col min="5127" max="5376" width="8.7265625" style="27"/>
    <col min="5377" max="5377" width="0" style="27" hidden="1" customWidth="1"/>
    <col min="5378" max="5378" width="24.7265625" style="27" customWidth="1"/>
    <col min="5379" max="5379" width="18" style="27" customWidth="1"/>
    <col min="5380" max="5380" width="18.453125" style="27" customWidth="1"/>
    <col min="5381" max="5381" width="13.7265625" style="27" customWidth="1"/>
    <col min="5382" max="5382" width="14" style="27" customWidth="1"/>
    <col min="5383" max="5632" width="8.7265625" style="27"/>
    <col min="5633" max="5633" width="0" style="27" hidden="1" customWidth="1"/>
    <col min="5634" max="5634" width="24.7265625" style="27" customWidth="1"/>
    <col min="5635" max="5635" width="18" style="27" customWidth="1"/>
    <col min="5636" max="5636" width="18.453125" style="27" customWidth="1"/>
    <col min="5637" max="5637" width="13.7265625" style="27" customWidth="1"/>
    <col min="5638" max="5638" width="14" style="27" customWidth="1"/>
    <col min="5639" max="5888" width="8.7265625" style="27"/>
    <col min="5889" max="5889" width="0" style="27" hidden="1" customWidth="1"/>
    <col min="5890" max="5890" width="24.7265625" style="27" customWidth="1"/>
    <col min="5891" max="5891" width="18" style="27" customWidth="1"/>
    <col min="5892" max="5892" width="18.453125" style="27" customWidth="1"/>
    <col min="5893" max="5893" width="13.7265625" style="27" customWidth="1"/>
    <col min="5894" max="5894" width="14" style="27" customWidth="1"/>
    <col min="5895" max="6144" width="8.7265625" style="27"/>
    <col min="6145" max="6145" width="0" style="27" hidden="1" customWidth="1"/>
    <col min="6146" max="6146" width="24.7265625" style="27" customWidth="1"/>
    <col min="6147" max="6147" width="18" style="27" customWidth="1"/>
    <col min="6148" max="6148" width="18.453125" style="27" customWidth="1"/>
    <col min="6149" max="6149" width="13.7265625" style="27" customWidth="1"/>
    <col min="6150" max="6150" width="14" style="27" customWidth="1"/>
    <col min="6151" max="6400" width="8.7265625" style="27"/>
    <col min="6401" max="6401" width="0" style="27" hidden="1" customWidth="1"/>
    <col min="6402" max="6402" width="24.7265625" style="27" customWidth="1"/>
    <col min="6403" max="6403" width="18" style="27" customWidth="1"/>
    <col min="6404" max="6404" width="18.453125" style="27" customWidth="1"/>
    <col min="6405" max="6405" width="13.7265625" style="27" customWidth="1"/>
    <col min="6406" max="6406" width="14" style="27" customWidth="1"/>
    <col min="6407" max="6656" width="8.7265625" style="27"/>
    <col min="6657" max="6657" width="0" style="27" hidden="1" customWidth="1"/>
    <col min="6658" max="6658" width="24.7265625" style="27" customWidth="1"/>
    <col min="6659" max="6659" width="18" style="27" customWidth="1"/>
    <col min="6660" max="6660" width="18.453125" style="27" customWidth="1"/>
    <col min="6661" max="6661" width="13.7265625" style="27" customWidth="1"/>
    <col min="6662" max="6662" width="14" style="27" customWidth="1"/>
    <col min="6663" max="6912" width="8.7265625" style="27"/>
    <col min="6913" max="6913" width="0" style="27" hidden="1" customWidth="1"/>
    <col min="6914" max="6914" width="24.7265625" style="27" customWidth="1"/>
    <col min="6915" max="6915" width="18" style="27" customWidth="1"/>
    <col min="6916" max="6916" width="18.453125" style="27" customWidth="1"/>
    <col min="6917" max="6917" width="13.7265625" style="27" customWidth="1"/>
    <col min="6918" max="6918" width="14" style="27" customWidth="1"/>
    <col min="6919" max="7168" width="8.7265625" style="27"/>
    <col min="7169" max="7169" width="0" style="27" hidden="1" customWidth="1"/>
    <col min="7170" max="7170" width="24.7265625" style="27" customWidth="1"/>
    <col min="7171" max="7171" width="18" style="27" customWidth="1"/>
    <col min="7172" max="7172" width="18.453125" style="27" customWidth="1"/>
    <col min="7173" max="7173" width="13.7265625" style="27" customWidth="1"/>
    <col min="7174" max="7174" width="14" style="27" customWidth="1"/>
    <col min="7175" max="7424" width="8.7265625" style="27"/>
    <col min="7425" max="7425" width="0" style="27" hidden="1" customWidth="1"/>
    <col min="7426" max="7426" width="24.7265625" style="27" customWidth="1"/>
    <col min="7427" max="7427" width="18" style="27" customWidth="1"/>
    <col min="7428" max="7428" width="18.453125" style="27" customWidth="1"/>
    <col min="7429" max="7429" width="13.7265625" style="27" customWidth="1"/>
    <col min="7430" max="7430" width="14" style="27" customWidth="1"/>
    <col min="7431" max="7680" width="8.7265625" style="27"/>
    <col min="7681" max="7681" width="0" style="27" hidden="1" customWidth="1"/>
    <col min="7682" max="7682" width="24.7265625" style="27" customWidth="1"/>
    <col min="7683" max="7683" width="18" style="27" customWidth="1"/>
    <col min="7684" max="7684" width="18.453125" style="27" customWidth="1"/>
    <col min="7685" max="7685" width="13.7265625" style="27" customWidth="1"/>
    <col min="7686" max="7686" width="14" style="27" customWidth="1"/>
    <col min="7687" max="7936" width="8.7265625" style="27"/>
    <col min="7937" max="7937" width="0" style="27" hidden="1" customWidth="1"/>
    <col min="7938" max="7938" width="24.7265625" style="27" customWidth="1"/>
    <col min="7939" max="7939" width="18" style="27" customWidth="1"/>
    <col min="7940" max="7940" width="18.453125" style="27" customWidth="1"/>
    <col min="7941" max="7941" width="13.7265625" style="27" customWidth="1"/>
    <col min="7942" max="7942" width="14" style="27" customWidth="1"/>
    <col min="7943" max="8192" width="8.7265625" style="27"/>
    <col min="8193" max="8193" width="0" style="27" hidden="1" customWidth="1"/>
    <col min="8194" max="8194" width="24.7265625" style="27" customWidth="1"/>
    <col min="8195" max="8195" width="18" style="27" customWidth="1"/>
    <col min="8196" max="8196" width="18.453125" style="27" customWidth="1"/>
    <col min="8197" max="8197" width="13.7265625" style="27" customWidth="1"/>
    <col min="8198" max="8198" width="14" style="27" customWidth="1"/>
    <col min="8199" max="8448" width="8.7265625" style="27"/>
    <col min="8449" max="8449" width="0" style="27" hidden="1" customWidth="1"/>
    <col min="8450" max="8450" width="24.7265625" style="27" customWidth="1"/>
    <col min="8451" max="8451" width="18" style="27" customWidth="1"/>
    <col min="8452" max="8452" width="18.453125" style="27" customWidth="1"/>
    <col min="8453" max="8453" width="13.7265625" style="27" customWidth="1"/>
    <col min="8454" max="8454" width="14" style="27" customWidth="1"/>
    <col min="8455" max="8704" width="8.7265625" style="27"/>
    <col min="8705" max="8705" width="0" style="27" hidden="1" customWidth="1"/>
    <col min="8706" max="8706" width="24.7265625" style="27" customWidth="1"/>
    <col min="8707" max="8707" width="18" style="27" customWidth="1"/>
    <col min="8708" max="8708" width="18.453125" style="27" customWidth="1"/>
    <col min="8709" max="8709" width="13.7265625" style="27" customWidth="1"/>
    <col min="8710" max="8710" width="14" style="27" customWidth="1"/>
    <col min="8711" max="8960" width="8.7265625" style="27"/>
    <col min="8961" max="8961" width="0" style="27" hidden="1" customWidth="1"/>
    <col min="8962" max="8962" width="24.7265625" style="27" customWidth="1"/>
    <col min="8963" max="8963" width="18" style="27" customWidth="1"/>
    <col min="8964" max="8964" width="18.453125" style="27" customWidth="1"/>
    <col min="8965" max="8965" width="13.7265625" style="27" customWidth="1"/>
    <col min="8966" max="8966" width="14" style="27" customWidth="1"/>
    <col min="8967" max="9216" width="8.7265625" style="27"/>
    <col min="9217" max="9217" width="0" style="27" hidden="1" customWidth="1"/>
    <col min="9218" max="9218" width="24.7265625" style="27" customWidth="1"/>
    <col min="9219" max="9219" width="18" style="27" customWidth="1"/>
    <col min="9220" max="9220" width="18.453125" style="27" customWidth="1"/>
    <col min="9221" max="9221" width="13.7265625" style="27" customWidth="1"/>
    <col min="9222" max="9222" width="14" style="27" customWidth="1"/>
    <col min="9223" max="9472" width="8.7265625" style="27"/>
    <col min="9473" max="9473" width="0" style="27" hidden="1" customWidth="1"/>
    <col min="9474" max="9474" width="24.7265625" style="27" customWidth="1"/>
    <col min="9475" max="9475" width="18" style="27" customWidth="1"/>
    <col min="9476" max="9476" width="18.453125" style="27" customWidth="1"/>
    <col min="9477" max="9477" width="13.7265625" style="27" customWidth="1"/>
    <col min="9478" max="9478" width="14" style="27" customWidth="1"/>
    <col min="9479" max="9728" width="8.7265625" style="27"/>
    <col min="9729" max="9729" width="0" style="27" hidden="1" customWidth="1"/>
    <col min="9730" max="9730" width="24.7265625" style="27" customWidth="1"/>
    <col min="9731" max="9731" width="18" style="27" customWidth="1"/>
    <col min="9732" max="9732" width="18.453125" style="27" customWidth="1"/>
    <col min="9733" max="9733" width="13.7265625" style="27" customWidth="1"/>
    <col min="9734" max="9734" width="14" style="27" customWidth="1"/>
    <col min="9735" max="9984" width="8.7265625" style="27"/>
    <col min="9985" max="9985" width="0" style="27" hidden="1" customWidth="1"/>
    <col min="9986" max="9986" width="24.7265625" style="27" customWidth="1"/>
    <col min="9987" max="9987" width="18" style="27" customWidth="1"/>
    <col min="9988" max="9988" width="18.453125" style="27" customWidth="1"/>
    <col min="9989" max="9989" width="13.7265625" style="27" customWidth="1"/>
    <col min="9990" max="9990" width="14" style="27" customWidth="1"/>
    <col min="9991" max="10240" width="8.7265625" style="27"/>
    <col min="10241" max="10241" width="0" style="27" hidden="1" customWidth="1"/>
    <col min="10242" max="10242" width="24.7265625" style="27" customWidth="1"/>
    <col min="10243" max="10243" width="18" style="27" customWidth="1"/>
    <col min="10244" max="10244" width="18.453125" style="27" customWidth="1"/>
    <col min="10245" max="10245" width="13.7265625" style="27" customWidth="1"/>
    <col min="10246" max="10246" width="14" style="27" customWidth="1"/>
    <col min="10247" max="10496" width="8.7265625" style="27"/>
    <col min="10497" max="10497" width="0" style="27" hidden="1" customWidth="1"/>
    <col min="10498" max="10498" width="24.7265625" style="27" customWidth="1"/>
    <col min="10499" max="10499" width="18" style="27" customWidth="1"/>
    <col min="10500" max="10500" width="18.453125" style="27" customWidth="1"/>
    <col min="10501" max="10501" width="13.7265625" style="27" customWidth="1"/>
    <col min="10502" max="10502" width="14" style="27" customWidth="1"/>
    <col min="10503" max="10752" width="8.7265625" style="27"/>
    <col min="10753" max="10753" width="0" style="27" hidden="1" customWidth="1"/>
    <col min="10754" max="10754" width="24.7265625" style="27" customWidth="1"/>
    <col min="10755" max="10755" width="18" style="27" customWidth="1"/>
    <col min="10756" max="10756" width="18.453125" style="27" customWidth="1"/>
    <col min="10757" max="10757" width="13.7265625" style="27" customWidth="1"/>
    <col min="10758" max="10758" width="14" style="27" customWidth="1"/>
    <col min="10759" max="11008" width="8.7265625" style="27"/>
    <col min="11009" max="11009" width="0" style="27" hidden="1" customWidth="1"/>
    <col min="11010" max="11010" width="24.7265625" style="27" customWidth="1"/>
    <col min="11011" max="11011" width="18" style="27" customWidth="1"/>
    <col min="11012" max="11012" width="18.453125" style="27" customWidth="1"/>
    <col min="11013" max="11013" width="13.7265625" style="27" customWidth="1"/>
    <col min="11014" max="11014" width="14" style="27" customWidth="1"/>
    <col min="11015" max="11264" width="8.7265625" style="27"/>
    <col min="11265" max="11265" width="0" style="27" hidden="1" customWidth="1"/>
    <col min="11266" max="11266" width="24.7265625" style="27" customWidth="1"/>
    <col min="11267" max="11267" width="18" style="27" customWidth="1"/>
    <col min="11268" max="11268" width="18.453125" style="27" customWidth="1"/>
    <col min="11269" max="11269" width="13.7265625" style="27" customWidth="1"/>
    <col min="11270" max="11270" width="14" style="27" customWidth="1"/>
    <col min="11271" max="11520" width="8.7265625" style="27"/>
    <col min="11521" max="11521" width="0" style="27" hidden="1" customWidth="1"/>
    <col min="11522" max="11522" width="24.7265625" style="27" customWidth="1"/>
    <col min="11523" max="11523" width="18" style="27" customWidth="1"/>
    <col min="11524" max="11524" width="18.453125" style="27" customWidth="1"/>
    <col min="11525" max="11525" width="13.7265625" style="27" customWidth="1"/>
    <col min="11526" max="11526" width="14" style="27" customWidth="1"/>
    <col min="11527" max="11776" width="8.7265625" style="27"/>
    <col min="11777" max="11777" width="0" style="27" hidden="1" customWidth="1"/>
    <col min="11778" max="11778" width="24.7265625" style="27" customWidth="1"/>
    <col min="11779" max="11779" width="18" style="27" customWidth="1"/>
    <col min="11780" max="11780" width="18.453125" style="27" customWidth="1"/>
    <col min="11781" max="11781" width="13.7265625" style="27" customWidth="1"/>
    <col min="11782" max="11782" width="14" style="27" customWidth="1"/>
    <col min="11783" max="12032" width="8.7265625" style="27"/>
    <col min="12033" max="12033" width="0" style="27" hidden="1" customWidth="1"/>
    <col min="12034" max="12034" width="24.7265625" style="27" customWidth="1"/>
    <col min="12035" max="12035" width="18" style="27" customWidth="1"/>
    <col min="12036" max="12036" width="18.453125" style="27" customWidth="1"/>
    <col min="12037" max="12037" width="13.7265625" style="27" customWidth="1"/>
    <col min="12038" max="12038" width="14" style="27" customWidth="1"/>
    <col min="12039" max="12288" width="8.7265625" style="27"/>
    <col min="12289" max="12289" width="0" style="27" hidden="1" customWidth="1"/>
    <col min="12290" max="12290" width="24.7265625" style="27" customWidth="1"/>
    <col min="12291" max="12291" width="18" style="27" customWidth="1"/>
    <col min="12292" max="12292" width="18.453125" style="27" customWidth="1"/>
    <col min="12293" max="12293" width="13.7265625" style="27" customWidth="1"/>
    <col min="12294" max="12294" width="14" style="27" customWidth="1"/>
    <col min="12295" max="12544" width="8.7265625" style="27"/>
    <col min="12545" max="12545" width="0" style="27" hidden="1" customWidth="1"/>
    <col min="12546" max="12546" width="24.7265625" style="27" customWidth="1"/>
    <col min="12547" max="12547" width="18" style="27" customWidth="1"/>
    <col min="12548" max="12548" width="18.453125" style="27" customWidth="1"/>
    <col min="12549" max="12549" width="13.7265625" style="27" customWidth="1"/>
    <col min="12550" max="12550" width="14" style="27" customWidth="1"/>
    <col min="12551" max="12800" width="8.7265625" style="27"/>
    <col min="12801" max="12801" width="0" style="27" hidden="1" customWidth="1"/>
    <col min="12802" max="12802" width="24.7265625" style="27" customWidth="1"/>
    <col min="12803" max="12803" width="18" style="27" customWidth="1"/>
    <col min="12804" max="12804" width="18.453125" style="27" customWidth="1"/>
    <col min="12805" max="12805" width="13.7265625" style="27" customWidth="1"/>
    <col min="12806" max="12806" width="14" style="27" customWidth="1"/>
    <col min="12807" max="13056" width="8.7265625" style="27"/>
    <col min="13057" max="13057" width="0" style="27" hidden="1" customWidth="1"/>
    <col min="13058" max="13058" width="24.7265625" style="27" customWidth="1"/>
    <col min="13059" max="13059" width="18" style="27" customWidth="1"/>
    <col min="13060" max="13060" width="18.453125" style="27" customWidth="1"/>
    <col min="13061" max="13061" width="13.7265625" style="27" customWidth="1"/>
    <col min="13062" max="13062" width="14" style="27" customWidth="1"/>
    <col min="13063" max="13312" width="8.7265625" style="27"/>
    <col min="13313" max="13313" width="0" style="27" hidden="1" customWidth="1"/>
    <col min="13314" max="13314" width="24.7265625" style="27" customWidth="1"/>
    <col min="13315" max="13315" width="18" style="27" customWidth="1"/>
    <col min="13316" max="13316" width="18.453125" style="27" customWidth="1"/>
    <col min="13317" max="13317" width="13.7265625" style="27" customWidth="1"/>
    <col min="13318" max="13318" width="14" style="27" customWidth="1"/>
    <col min="13319" max="13568" width="8.7265625" style="27"/>
    <col min="13569" max="13569" width="0" style="27" hidden="1" customWidth="1"/>
    <col min="13570" max="13570" width="24.7265625" style="27" customWidth="1"/>
    <col min="13571" max="13571" width="18" style="27" customWidth="1"/>
    <col min="13572" max="13572" width="18.453125" style="27" customWidth="1"/>
    <col min="13573" max="13573" width="13.7265625" style="27" customWidth="1"/>
    <col min="13574" max="13574" width="14" style="27" customWidth="1"/>
    <col min="13575" max="13824" width="8.7265625" style="27"/>
    <col min="13825" max="13825" width="0" style="27" hidden="1" customWidth="1"/>
    <col min="13826" max="13826" width="24.7265625" style="27" customWidth="1"/>
    <col min="13827" max="13827" width="18" style="27" customWidth="1"/>
    <col min="13828" max="13828" width="18.453125" style="27" customWidth="1"/>
    <col min="13829" max="13829" width="13.7265625" style="27" customWidth="1"/>
    <col min="13830" max="13830" width="14" style="27" customWidth="1"/>
    <col min="13831" max="14080" width="8.7265625" style="27"/>
    <col min="14081" max="14081" width="0" style="27" hidden="1" customWidth="1"/>
    <col min="14082" max="14082" width="24.7265625" style="27" customWidth="1"/>
    <col min="14083" max="14083" width="18" style="27" customWidth="1"/>
    <col min="14084" max="14084" width="18.453125" style="27" customWidth="1"/>
    <col min="14085" max="14085" width="13.7265625" style="27" customWidth="1"/>
    <col min="14086" max="14086" width="14" style="27" customWidth="1"/>
    <col min="14087" max="14336" width="8.7265625" style="27"/>
    <col min="14337" max="14337" width="0" style="27" hidden="1" customWidth="1"/>
    <col min="14338" max="14338" width="24.7265625" style="27" customWidth="1"/>
    <col min="14339" max="14339" width="18" style="27" customWidth="1"/>
    <col min="14340" max="14340" width="18.453125" style="27" customWidth="1"/>
    <col min="14341" max="14341" width="13.7265625" style="27" customWidth="1"/>
    <col min="14342" max="14342" width="14" style="27" customWidth="1"/>
    <col min="14343" max="14592" width="8.7265625" style="27"/>
    <col min="14593" max="14593" width="0" style="27" hidden="1" customWidth="1"/>
    <col min="14594" max="14594" width="24.7265625" style="27" customWidth="1"/>
    <col min="14595" max="14595" width="18" style="27" customWidth="1"/>
    <col min="14596" max="14596" width="18.453125" style="27" customWidth="1"/>
    <col min="14597" max="14597" width="13.7265625" style="27" customWidth="1"/>
    <col min="14598" max="14598" width="14" style="27" customWidth="1"/>
    <col min="14599" max="14848" width="8.7265625" style="27"/>
    <col min="14849" max="14849" width="0" style="27" hidden="1" customWidth="1"/>
    <col min="14850" max="14850" width="24.7265625" style="27" customWidth="1"/>
    <col min="14851" max="14851" width="18" style="27" customWidth="1"/>
    <col min="14852" max="14852" width="18.453125" style="27" customWidth="1"/>
    <col min="14853" max="14853" width="13.7265625" style="27" customWidth="1"/>
    <col min="14854" max="14854" width="14" style="27" customWidth="1"/>
    <col min="14855" max="15104" width="8.7265625" style="27"/>
    <col min="15105" max="15105" width="0" style="27" hidden="1" customWidth="1"/>
    <col min="15106" max="15106" width="24.7265625" style="27" customWidth="1"/>
    <col min="15107" max="15107" width="18" style="27" customWidth="1"/>
    <col min="15108" max="15108" width="18.453125" style="27" customWidth="1"/>
    <col min="15109" max="15109" width="13.7265625" style="27" customWidth="1"/>
    <col min="15110" max="15110" width="14" style="27" customWidth="1"/>
    <col min="15111" max="15360" width="8.7265625" style="27"/>
    <col min="15361" max="15361" width="0" style="27" hidden="1" customWidth="1"/>
    <col min="15362" max="15362" width="24.7265625" style="27" customWidth="1"/>
    <col min="15363" max="15363" width="18" style="27" customWidth="1"/>
    <col min="15364" max="15364" width="18.453125" style="27" customWidth="1"/>
    <col min="15365" max="15365" width="13.7265625" style="27" customWidth="1"/>
    <col min="15366" max="15366" width="14" style="27" customWidth="1"/>
    <col min="15367" max="15616" width="8.7265625" style="27"/>
    <col min="15617" max="15617" width="0" style="27" hidden="1" customWidth="1"/>
    <col min="15618" max="15618" width="24.7265625" style="27" customWidth="1"/>
    <col min="15619" max="15619" width="18" style="27" customWidth="1"/>
    <col min="15620" max="15620" width="18.453125" style="27" customWidth="1"/>
    <col min="15621" max="15621" width="13.7265625" style="27" customWidth="1"/>
    <col min="15622" max="15622" width="14" style="27" customWidth="1"/>
    <col min="15623" max="15872" width="8.7265625" style="27"/>
    <col min="15873" max="15873" width="0" style="27" hidden="1" customWidth="1"/>
    <col min="15874" max="15874" width="24.7265625" style="27" customWidth="1"/>
    <col min="15875" max="15875" width="18" style="27" customWidth="1"/>
    <col min="15876" max="15876" width="18.453125" style="27" customWidth="1"/>
    <col min="15877" max="15877" width="13.7265625" style="27" customWidth="1"/>
    <col min="15878" max="15878" width="14" style="27" customWidth="1"/>
    <col min="15879" max="16128" width="8.7265625" style="27"/>
    <col min="16129" max="16129" width="0" style="27" hidden="1" customWidth="1"/>
    <col min="16130" max="16130" width="24.7265625" style="27" customWidth="1"/>
    <col min="16131" max="16131" width="18" style="27" customWidth="1"/>
    <col min="16132" max="16132" width="18.453125" style="27" customWidth="1"/>
    <col min="16133" max="16133" width="13.7265625" style="27" customWidth="1"/>
    <col min="16134" max="16134" width="14" style="27" customWidth="1"/>
    <col min="16135" max="16384" width="8.7265625" style="27"/>
  </cols>
  <sheetData>
    <row r="1" spans="1:9" ht="48.75" customHeight="1" x14ac:dyDescent="0.3">
      <c r="B1" s="224"/>
      <c r="C1" s="224"/>
      <c r="D1" s="224"/>
      <c r="E1" s="224"/>
      <c r="F1" s="224"/>
    </row>
    <row r="2" spans="1:9" ht="15.75" customHeight="1" x14ac:dyDescent="0.3">
      <c r="C2" s="226"/>
      <c r="D2" s="27" t="s">
        <v>2</v>
      </c>
      <c r="E2" s="27"/>
      <c r="F2" s="226"/>
    </row>
    <row r="3" spans="1:9" ht="40.9" customHeight="1" x14ac:dyDescent="0.3">
      <c r="A3" s="227"/>
      <c r="C3" s="274" t="s">
        <v>1</v>
      </c>
      <c r="D3" s="274" t="s">
        <v>203</v>
      </c>
      <c r="E3" s="274" t="s">
        <v>204</v>
      </c>
      <c r="F3" s="274" t="s">
        <v>205</v>
      </c>
    </row>
    <row r="4" spans="1:9" ht="23.25" customHeight="1" x14ac:dyDescent="0.3">
      <c r="A4" s="227"/>
      <c r="B4" s="228" t="s">
        <v>6</v>
      </c>
      <c r="C4" s="275">
        <f>SUM(C5,C44)</f>
        <v>966</v>
      </c>
      <c r="D4" s="275">
        <f>SUM(D5,D44)</f>
        <v>137</v>
      </c>
      <c r="E4" s="275">
        <f>SUM(E5,E44)</f>
        <v>21</v>
      </c>
      <c r="F4" s="275">
        <f>SUM(F5,F44)</f>
        <v>0</v>
      </c>
      <c r="G4" s="223"/>
      <c r="H4" s="223"/>
      <c r="I4" s="223"/>
    </row>
    <row r="5" spans="1:9" s="229" customFormat="1" ht="25.5" customHeight="1" x14ac:dyDescent="0.3">
      <c r="A5" s="230"/>
      <c r="B5" s="228" t="s">
        <v>210</v>
      </c>
      <c r="C5" s="275">
        <f>SUM(C6:C43)</f>
        <v>714</v>
      </c>
      <c r="D5" s="275">
        <f>SUM(D6:D43)</f>
        <v>107</v>
      </c>
      <c r="E5" s="275">
        <f>SUM(E6:E43)</f>
        <v>19</v>
      </c>
      <c r="F5" s="275">
        <f>SUM(F6:F43)</f>
        <v>0</v>
      </c>
      <c r="G5" s="223"/>
      <c r="H5" s="223"/>
      <c r="I5" s="223"/>
    </row>
    <row r="6" spans="1:9" ht="13" x14ac:dyDescent="0.3">
      <c r="A6" s="171">
        <v>54</v>
      </c>
      <c r="B6" s="228" t="s">
        <v>8</v>
      </c>
      <c r="C6" s="36">
        <f>SUMIFS(raw!$H$2:$H$2701,raw!$B$2:$B$2701,'(2018-19c)'!$B6,raw!$E$2:$E$2701,'(2018-19c)'!C$3,raw!$F$2:$F$2701,"Operational training")+SUMIFS(raw!$H$2:$H$2701,raw!$B$2:$B$2701,'(2018-19c)'!$B6,raw!$E$2:$E$2701,'(2018-19c)'!C$3,raw!$F$2:$F$2701, "Fitness training")</f>
        <v>19</v>
      </c>
      <c r="D6" s="36">
        <f>SUMIFS(raw!$H$2:$H$2701,raw!$B$2:$B$2701,'(2018-19c)'!$B6,raw!$E$2:$E$2701,'(2018-19c)'!D$3,raw!$F$2:$F$2701,"Operational training")+SUMIFS(raw!$H$2:$H$2701,raw!$B$2:$B$2701,'(2018-19c)'!$B6,raw!$E$2:$E$2701,'(2018-19c)'!D$3,raw!$F$2:$F$2701, "Fitness training")</f>
        <v>4</v>
      </c>
      <c r="E6" s="36">
        <f>SUMIFS(raw!$H$2:$H$2701,raw!$B$2:$B$2701,'(2018-19c)'!$B6,raw!$E$2:$E$2701,'(2018-19c)'!E$3,raw!$F$2:$F$2701,"Operational training")+SUMIFS(raw!$H$2:$H$2701,raw!$B$2:$B$2701,'(2018-19c)'!$B6,raw!$E$2:$E$2701,'(2018-19c)'!E$3,raw!$F$2:$F$2701, "Fitness training")</f>
        <v>0</v>
      </c>
      <c r="F6" s="36">
        <f>SUMIFS(raw!$H$2:$H$2701,raw!$B$2:$B$2701,'(2018-19c)'!$B6,raw!$E$2:$E$2701,'(2018-19c)'!F$3,raw!$F$2:$F$2701,"Operational training")+SUMIFS(raw!$H$2:$H$2701,raw!$B$2:$B$2701,'(2018-19c)'!$B6,raw!$E$2:$E$2701,'(2018-19c)'!F$3,raw!$F$2:$F$2701, "Fitness training")</f>
        <v>0</v>
      </c>
      <c r="G6" s="223"/>
      <c r="H6" s="223"/>
    </row>
    <row r="7" spans="1:9" ht="13" x14ac:dyDescent="0.3">
      <c r="A7" s="171">
        <v>55</v>
      </c>
      <c r="B7" s="228" t="s">
        <v>9</v>
      </c>
      <c r="C7" s="36">
        <f>SUMIFS(raw!$H$2:$H$2701,raw!$B$2:$B$2701,'(2018-19c)'!$B7,raw!$E$2:$E$2701,'(2018-19c)'!C$3,raw!$F$2:$F$2701,"Operational training")+SUMIFS(raw!$H$2:$H$2701,raw!$B$2:$B$2701,'(2018-19c)'!$B7,raw!$E$2:$E$2701,'(2018-19c)'!C$3,raw!$F$2:$F$2701, "Fitness training")</f>
        <v>27</v>
      </c>
      <c r="D7" s="36">
        <f>SUMIFS(raw!$H$2:$H$2701,raw!$B$2:$B$2701,'(2018-19c)'!$B7,raw!$E$2:$E$2701,'(2018-19c)'!D$3,raw!$F$2:$F$2701,"Operational training")+SUMIFS(raw!$H$2:$H$2701,raw!$B$2:$B$2701,'(2018-19c)'!$B7,raw!$E$2:$E$2701,'(2018-19c)'!D$3,raw!$F$2:$F$2701, "Fitness training")</f>
        <v>4</v>
      </c>
      <c r="E7" s="36">
        <f>SUMIFS(raw!$H$2:$H$2701,raw!$B$2:$B$2701,'(2018-19c)'!$B7,raw!$E$2:$E$2701,'(2018-19c)'!E$3,raw!$F$2:$F$2701,"Operational training")+SUMIFS(raw!$H$2:$H$2701,raw!$B$2:$B$2701,'(2018-19c)'!$B7,raw!$E$2:$E$2701,'(2018-19c)'!E$3,raw!$F$2:$F$2701, "Fitness training")</f>
        <v>1</v>
      </c>
      <c r="F7" s="36">
        <f>SUMIFS(raw!$H$2:$H$2701,raw!$B$2:$B$2701,'(2018-19c)'!$B7,raw!$E$2:$E$2701,'(2018-19c)'!F$3,raw!$F$2:$F$2701,"Operational training")+SUMIFS(raw!$H$2:$H$2701,raw!$B$2:$B$2701,'(2018-19c)'!$B7,raw!$E$2:$E$2701,'(2018-19c)'!F$3,raw!$F$2:$F$2701, "Fitness training")</f>
        <v>0</v>
      </c>
      <c r="G7" s="223"/>
      <c r="H7" s="223"/>
    </row>
    <row r="8" spans="1:9" ht="13" x14ac:dyDescent="0.3">
      <c r="A8" s="171">
        <v>56</v>
      </c>
      <c r="B8" s="228" t="s">
        <v>10</v>
      </c>
      <c r="C8" s="36">
        <f>SUMIFS(raw!$H$2:$H$2701,raw!$B$2:$B$2701,'(2018-19c)'!$B8,raw!$E$2:$E$2701,'(2018-19c)'!C$3,raw!$F$2:$F$2701,"Operational training")+SUMIFS(raw!$H$2:$H$2701,raw!$B$2:$B$2701,'(2018-19c)'!$B8,raw!$E$2:$E$2701,'(2018-19c)'!C$3,raw!$F$2:$F$2701, "Fitness training")</f>
        <v>18</v>
      </c>
      <c r="D8" s="36">
        <f>SUMIFS(raw!$H$2:$H$2701,raw!$B$2:$B$2701,'(2018-19c)'!$B8,raw!$E$2:$E$2701,'(2018-19c)'!D$3,raw!$F$2:$F$2701,"Operational training")+SUMIFS(raw!$H$2:$H$2701,raw!$B$2:$B$2701,'(2018-19c)'!$B8,raw!$E$2:$E$2701,'(2018-19c)'!D$3,raw!$F$2:$F$2701, "Fitness training")</f>
        <v>2</v>
      </c>
      <c r="E8" s="36">
        <f>SUMIFS(raw!$H$2:$H$2701,raw!$B$2:$B$2701,'(2018-19c)'!$B8,raw!$E$2:$E$2701,'(2018-19c)'!E$3,raw!$F$2:$F$2701,"Operational training")+SUMIFS(raw!$H$2:$H$2701,raw!$B$2:$B$2701,'(2018-19c)'!$B8,raw!$E$2:$E$2701,'(2018-19c)'!E$3,raw!$F$2:$F$2701, "Fitness training")</f>
        <v>1</v>
      </c>
      <c r="F8" s="36">
        <f>SUMIFS(raw!$H$2:$H$2701,raw!$B$2:$B$2701,'(2018-19c)'!$B8,raw!$E$2:$E$2701,'(2018-19c)'!F$3,raw!$F$2:$F$2701,"Operational training")+SUMIFS(raw!$H$2:$H$2701,raw!$B$2:$B$2701,'(2018-19c)'!$B8,raw!$E$2:$E$2701,'(2018-19c)'!F$3,raw!$F$2:$F$2701, "Fitness training")</f>
        <v>0</v>
      </c>
      <c r="G8" s="223"/>
      <c r="H8" s="223"/>
    </row>
    <row r="9" spans="1:9" ht="13" x14ac:dyDescent="0.3">
      <c r="A9" s="171">
        <v>57</v>
      </c>
      <c r="B9" s="228" t="s">
        <v>11</v>
      </c>
      <c r="C9" s="36">
        <f>SUMIFS(raw!$H$2:$H$2701,raw!$B$2:$B$2701,'(2018-19c)'!$B9,raw!$E$2:$E$2701,'(2018-19c)'!C$3,raw!$F$2:$F$2701,"Operational training")+SUMIFS(raw!$H$2:$H$2701,raw!$B$2:$B$2701,'(2018-19c)'!$B9,raw!$E$2:$E$2701,'(2018-19c)'!C$3,raw!$F$2:$F$2701, "Fitness training")</f>
        <v>19</v>
      </c>
      <c r="D9" s="36">
        <f>SUMIFS(raw!$H$2:$H$2701,raw!$B$2:$B$2701,'(2018-19c)'!$B9,raw!$E$2:$E$2701,'(2018-19c)'!D$3,raw!$F$2:$F$2701,"Operational training")+SUMIFS(raw!$H$2:$H$2701,raw!$B$2:$B$2701,'(2018-19c)'!$B9,raw!$E$2:$E$2701,'(2018-19c)'!D$3,raw!$F$2:$F$2701, "Fitness training")</f>
        <v>5</v>
      </c>
      <c r="E9" s="36">
        <f>SUMIFS(raw!$H$2:$H$2701,raw!$B$2:$B$2701,'(2018-19c)'!$B9,raw!$E$2:$E$2701,'(2018-19c)'!E$3,raw!$F$2:$F$2701,"Operational training")+SUMIFS(raw!$H$2:$H$2701,raw!$B$2:$B$2701,'(2018-19c)'!$B9,raw!$E$2:$E$2701,'(2018-19c)'!E$3,raw!$F$2:$F$2701, "Fitness training")</f>
        <v>0</v>
      </c>
      <c r="F9" s="36">
        <f>SUMIFS(raw!$H$2:$H$2701,raw!$B$2:$B$2701,'(2018-19c)'!$B9,raw!$E$2:$E$2701,'(2018-19c)'!F$3,raw!$F$2:$F$2701,"Operational training")+SUMIFS(raw!$H$2:$H$2701,raw!$B$2:$B$2701,'(2018-19c)'!$B9,raw!$E$2:$E$2701,'(2018-19c)'!F$3,raw!$F$2:$F$2701, "Fitness training")</f>
        <v>0</v>
      </c>
      <c r="G9" s="223"/>
      <c r="H9" s="223"/>
    </row>
    <row r="10" spans="1:9" ht="13" x14ac:dyDescent="0.3">
      <c r="A10" s="171">
        <v>59</v>
      </c>
      <c r="B10" s="228" t="s">
        <v>12</v>
      </c>
      <c r="C10" s="36">
        <f>SUMIFS(raw!$H$2:$H$2701,raw!$B$2:$B$2701,'(2018-19c)'!$B10,raw!$E$2:$E$2701,'(2018-19c)'!C$3,raw!$F$2:$F$2701,"Operational training")+SUMIFS(raw!$H$2:$H$2701,raw!$B$2:$B$2701,'(2018-19c)'!$B10,raw!$E$2:$E$2701,'(2018-19c)'!C$3,raw!$F$2:$F$2701, "Fitness training")</f>
        <v>19</v>
      </c>
      <c r="D10" s="36">
        <f>SUMIFS(raw!$H$2:$H$2701,raw!$B$2:$B$2701,'(2018-19c)'!$B10,raw!$E$2:$E$2701,'(2018-19c)'!D$3,raw!$F$2:$F$2701,"Operational training")+SUMIFS(raw!$H$2:$H$2701,raw!$B$2:$B$2701,'(2018-19c)'!$B10,raw!$E$2:$E$2701,'(2018-19c)'!D$3,raw!$F$2:$F$2701, "Fitness training")</f>
        <v>2</v>
      </c>
      <c r="E10" s="36">
        <f>SUMIFS(raw!$H$2:$H$2701,raw!$B$2:$B$2701,'(2018-19c)'!$B10,raw!$E$2:$E$2701,'(2018-19c)'!E$3,raw!$F$2:$F$2701,"Operational training")+SUMIFS(raw!$H$2:$H$2701,raw!$B$2:$B$2701,'(2018-19c)'!$B10,raw!$E$2:$E$2701,'(2018-19c)'!E$3,raw!$F$2:$F$2701, "Fitness training")</f>
        <v>0</v>
      </c>
      <c r="F10" s="36">
        <f>SUMIFS(raw!$H$2:$H$2701,raw!$B$2:$B$2701,'(2018-19c)'!$B10,raw!$E$2:$E$2701,'(2018-19c)'!F$3,raw!$F$2:$F$2701,"Operational training")+SUMIFS(raw!$H$2:$H$2701,raw!$B$2:$B$2701,'(2018-19c)'!$B10,raw!$E$2:$E$2701,'(2018-19c)'!F$3,raw!$F$2:$F$2701, "Fitness training")</f>
        <v>0</v>
      </c>
      <c r="G10" s="223"/>
      <c r="H10" s="223"/>
    </row>
    <row r="11" spans="1:9" ht="13" x14ac:dyDescent="0.3">
      <c r="A11" s="171">
        <v>60</v>
      </c>
      <c r="B11" s="228" t="s">
        <v>13</v>
      </c>
      <c r="C11" s="36">
        <f>SUMIFS(raw!$H$2:$H$2701,raw!$B$2:$B$2701,'(2018-19c)'!$B11,raw!$E$2:$E$2701,'(2018-19c)'!C$3,raw!$F$2:$F$2701,"Operational training")+SUMIFS(raw!$H$2:$H$2701,raw!$B$2:$B$2701,'(2018-19c)'!$B11,raw!$E$2:$E$2701,'(2018-19c)'!C$3,raw!$F$2:$F$2701, "Fitness training")</f>
        <v>7</v>
      </c>
      <c r="D11" s="36">
        <f>SUMIFS(raw!$H$2:$H$2701,raw!$B$2:$B$2701,'(2018-19c)'!$B11,raw!$E$2:$E$2701,'(2018-19c)'!D$3,raw!$F$2:$F$2701,"Operational training")+SUMIFS(raw!$H$2:$H$2701,raw!$B$2:$B$2701,'(2018-19c)'!$B11,raw!$E$2:$E$2701,'(2018-19c)'!D$3,raw!$F$2:$F$2701, "Fitness training")</f>
        <v>0</v>
      </c>
      <c r="E11" s="36">
        <f>SUMIFS(raw!$H$2:$H$2701,raw!$B$2:$B$2701,'(2018-19c)'!$B11,raw!$E$2:$E$2701,'(2018-19c)'!E$3,raw!$F$2:$F$2701,"Operational training")+SUMIFS(raw!$H$2:$H$2701,raw!$B$2:$B$2701,'(2018-19c)'!$B11,raw!$E$2:$E$2701,'(2018-19c)'!E$3,raw!$F$2:$F$2701, "Fitness training")</f>
        <v>1</v>
      </c>
      <c r="F11" s="36">
        <f>SUMIFS(raw!$H$2:$H$2701,raw!$B$2:$B$2701,'(2018-19c)'!$B11,raw!$E$2:$E$2701,'(2018-19c)'!F$3,raw!$F$2:$F$2701,"Operational training")+SUMIFS(raw!$H$2:$H$2701,raw!$B$2:$B$2701,'(2018-19c)'!$B11,raw!$E$2:$E$2701,'(2018-19c)'!F$3,raw!$F$2:$F$2701, "Fitness training")</f>
        <v>0</v>
      </c>
      <c r="G11" s="223"/>
      <c r="H11" s="223"/>
    </row>
    <row r="12" spans="1:9" ht="13" x14ac:dyDescent="0.3">
      <c r="A12" s="171">
        <v>61</v>
      </c>
      <c r="B12" s="228" t="s">
        <v>14</v>
      </c>
      <c r="C12" s="36">
        <f>SUMIFS(raw!$H$2:$H$2701,raw!$B$2:$B$2701,'(2018-19c)'!$B12,raw!$E$2:$E$2701,'(2018-19c)'!C$3,raw!$F$2:$F$2701,"Operational training")+SUMIFS(raw!$H$2:$H$2701,raw!$B$2:$B$2701,'(2018-19c)'!$B12,raw!$E$2:$E$2701,'(2018-19c)'!C$3,raw!$F$2:$F$2701, "Fitness training")</f>
        <v>4</v>
      </c>
      <c r="D12" s="36">
        <f>SUMIFS(raw!$H$2:$H$2701,raw!$B$2:$B$2701,'(2018-19c)'!$B12,raw!$E$2:$E$2701,'(2018-19c)'!D$3,raw!$F$2:$F$2701,"Operational training")+SUMIFS(raw!$H$2:$H$2701,raw!$B$2:$B$2701,'(2018-19c)'!$B12,raw!$E$2:$E$2701,'(2018-19c)'!D$3,raw!$F$2:$F$2701, "Fitness training")</f>
        <v>1</v>
      </c>
      <c r="E12" s="36">
        <f>SUMIFS(raw!$H$2:$H$2701,raw!$B$2:$B$2701,'(2018-19c)'!$B12,raw!$E$2:$E$2701,'(2018-19c)'!E$3,raw!$F$2:$F$2701,"Operational training")+SUMIFS(raw!$H$2:$H$2701,raw!$B$2:$B$2701,'(2018-19c)'!$B12,raw!$E$2:$E$2701,'(2018-19c)'!E$3,raw!$F$2:$F$2701, "Fitness training")</f>
        <v>1</v>
      </c>
      <c r="F12" s="36">
        <f>SUMIFS(raw!$H$2:$H$2701,raw!$B$2:$B$2701,'(2018-19c)'!$B12,raw!$E$2:$E$2701,'(2018-19c)'!F$3,raw!$F$2:$F$2701,"Operational training")+SUMIFS(raw!$H$2:$H$2701,raw!$B$2:$B$2701,'(2018-19c)'!$B12,raw!$E$2:$E$2701,'(2018-19c)'!F$3,raw!$F$2:$F$2701, "Fitness training")</f>
        <v>0</v>
      </c>
      <c r="G12" s="223"/>
      <c r="H12" s="223"/>
    </row>
    <row r="13" spans="1:9" ht="13" x14ac:dyDescent="0.3">
      <c r="B13" s="228" t="s">
        <v>15</v>
      </c>
      <c r="C13" s="36">
        <f>SUMIFS(raw!$H$2:$H$2701,raw!$B$2:$B$2701,'(2018-19c)'!$B13,raw!$E$2:$E$2701,'(2018-19c)'!C$3,raw!$F$2:$F$2701,"Operational training")+SUMIFS(raw!$H$2:$H$2701,raw!$B$2:$B$2701,'(2018-19c)'!$B13,raw!$E$2:$E$2701,'(2018-19c)'!C$3,raw!$F$2:$F$2701, "Fitness training")</f>
        <v>22</v>
      </c>
      <c r="D13" s="36">
        <f>SUMIFS(raw!$H$2:$H$2701,raw!$B$2:$B$2701,'(2018-19c)'!$B13,raw!$E$2:$E$2701,'(2018-19c)'!D$3,raw!$F$2:$F$2701,"Operational training")+SUMIFS(raw!$H$2:$H$2701,raw!$B$2:$B$2701,'(2018-19c)'!$B13,raw!$E$2:$E$2701,'(2018-19c)'!D$3,raw!$F$2:$F$2701, "Fitness training")</f>
        <v>2</v>
      </c>
      <c r="E13" s="36">
        <f>SUMIFS(raw!$H$2:$H$2701,raw!$B$2:$B$2701,'(2018-19c)'!$B13,raw!$E$2:$E$2701,'(2018-19c)'!E$3,raw!$F$2:$F$2701,"Operational training")+SUMIFS(raw!$H$2:$H$2701,raw!$B$2:$B$2701,'(2018-19c)'!$B13,raw!$E$2:$E$2701,'(2018-19c)'!E$3,raw!$F$2:$F$2701, "Fitness training")</f>
        <v>2</v>
      </c>
      <c r="F13" s="36">
        <f>SUMIFS(raw!$H$2:$H$2701,raw!$B$2:$B$2701,'(2018-19c)'!$B13,raw!$E$2:$E$2701,'(2018-19c)'!F$3,raw!$F$2:$F$2701,"Operational training")+SUMIFS(raw!$H$2:$H$2701,raw!$B$2:$B$2701,'(2018-19c)'!$B13,raw!$E$2:$E$2701,'(2018-19c)'!F$3,raw!$F$2:$F$2701, "Fitness training")</f>
        <v>0</v>
      </c>
      <c r="G13" s="223"/>
      <c r="H13" s="223"/>
    </row>
    <row r="14" spans="1:9" ht="13" x14ac:dyDescent="0.3">
      <c r="A14" s="171">
        <v>62</v>
      </c>
      <c r="B14" s="228" t="s">
        <v>16</v>
      </c>
      <c r="C14" s="36">
        <f>SUMIFS(raw!$H$2:$H$2701,raw!$B$2:$B$2701,'(2018-19c)'!$B14,raw!$E$2:$E$2701,'(2018-19c)'!C$3,raw!$F$2:$F$2701,"Operational training")+SUMIFS(raw!$H$2:$H$2701,raw!$B$2:$B$2701,'(2018-19c)'!$B14,raw!$E$2:$E$2701,'(2018-19c)'!C$3,raw!$F$2:$F$2701, "Fitness training")</f>
        <v>12</v>
      </c>
      <c r="D14" s="36">
        <f>SUMIFS(raw!$H$2:$H$2701,raw!$B$2:$B$2701,'(2018-19c)'!$B14,raw!$E$2:$E$2701,'(2018-19c)'!D$3,raw!$F$2:$F$2701,"Operational training")+SUMIFS(raw!$H$2:$H$2701,raw!$B$2:$B$2701,'(2018-19c)'!$B14,raw!$E$2:$E$2701,'(2018-19c)'!D$3,raw!$F$2:$F$2701, "Fitness training")</f>
        <v>1</v>
      </c>
      <c r="E14" s="36">
        <f>SUMIFS(raw!$H$2:$H$2701,raw!$B$2:$B$2701,'(2018-19c)'!$B14,raw!$E$2:$E$2701,'(2018-19c)'!E$3,raw!$F$2:$F$2701,"Operational training")+SUMIFS(raw!$H$2:$H$2701,raw!$B$2:$B$2701,'(2018-19c)'!$B14,raw!$E$2:$E$2701,'(2018-19c)'!E$3,raw!$F$2:$F$2701, "Fitness training")</f>
        <v>0</v>
      </c>
      <c r="F14" s="36">
        <f>SUMIFS(raw!$H$2:$H$2701,raw!$B$2:$B$2701,'(2018-19c)'!$B14,raw!$E$2:$E$2701,'(2018-19c)'!F$3,raw!$F$2:$F$2701,"Operational training")+SUMIFS(raw!$H$2:$H$2701,raw!$B$2:$B$2701,'(2018-19c)'!$B14,raw!$E$2:$E$2701,'(2018-19c)'!F$3,raw!$F$2:$F$2701, "Fitness training")</f>
        <v>0</v>
      </c>
      <c r="G14" s="223"/>
      <c r="H14" s="223"/>
    </row>
    <row r="15" spans="1:9" ht="13" x14ac:dyDescent="0.3">
      <c r="A15" s="171">
        <v>58</v>
      </c>
      <c r="B15" s="228" t="s">
        <v>17</v>
      </c>
      <c r="C15" s="36">
        <f>SUMIFS(raw!$H$2:$H$2701,raw!$B$2:$B$2701,'(2018-19c)'!$B15,raw!$E$2:$E$2701,'(2018-19c)'!C$3,raw!$F$2:$F$2701,"Operational training")+SUMIFS(raw!$H$2:$H$2701,raw!$B$2:$B$2701,'(2018-19c)'!$B15,raw!$E$2:$E$2701,'(2018-19c)'!C$3,raw!$F$2:$F$2701, "Fitness training")</f>
        <v>9</v>
      </c>
      <c r="D15" s="36">
        <f>SUMIFS(raw!$H$2:$H$2701,raw!$B$2:$B$2701,'(2018-19c)'!$B15,raw!$E$2:$E$2701,'(2018-19c)'!D$3,raw!$F$2:$F$2701,"Operational training")+SUMIFS(raw!$H$2:$H$2701,raw!$B$2:$B$2701,'(2018-19c)'!$B15,raw!$E$2:$E$2701,'(2018-19c)'!D$3,raw!$F$2:$F$2701, "Fitness training")</f>
        <v>1</v>
      </c>
      <c r="E15" s="36">
        <f>SUMIFS(raw!$H$2:$H$2701,raw!$B$2:$B$2701,'(2018-19c)'!$B15,raw!$E$2:$E$2701,'(2018-19c)'!E$3,raw!$F$2:$F$2701,"Operational training")+SUMIFS(raw!$H$2:$H$2701,raw!$B$2:$B$2701,'(2018-19c)'!$B15,raw!$E$2:$E$2701,'(2018-19c)'!E$3,raw!$F$2:$F$2701, "Fitness training")</f>
        <v>1</v>
      </c>
      <c r="F15" s="36">
        <f>SUMIFS(raw!$H$2:$H$2701,raw!$B$2:$B$2701,'(2018-19c)'!$B15,raw!$E$2:$E$2701,'(2018-19c)'!F$3,raw!$F$2:$F$2701,"Operational training")+SUMIFS(raw!$H$2:$H$2701,raw!$B$2:$B$2701,'(2018-19c)'!$B15,raw!$E$2:$E$2701,'(2018-19c)'!F$3,raw!$F$2:$F$2701, "Fitness training")</f>
        <v>0</v>
      </c>
      <c r="G15" s="223"/>
      <c r="H15" s="223"/>
    </row>
    <row r="16" spans="1:9" ht="13" x14ac:dyDescent="0.3">
      <c r="A16" s="171">
        <v>63</v>
      </c>
      <c r="B16" s="228" t="s">
        <v>163</v>
      </c>
      <c r="C16" s="36">
        <f>SUMIFS(raw!$H$2:$H$2701,raw!$B$2:$B$2701,'(2018-19c)'!$B16,raw!$E$2:$E$2701,'(2018-19c)'!C$3,raw!$F$2:$F$2701,"Operational training")+SUMIFS(raw!$H$2:$H$2701,raw!$B$2:$B$2701,'(2018-19c)'!$B16,raw!$E$2:$E$2701,'(2018-19c)'!C$3,raw!$F$2:$F$2701, "Fitness training")</f>
        <v>30</v>
      </c>
      <c r="D16" s="36">
        <f>SUMIFS(raw!$H$2:$H$2701,raw!$B$2:$B$2701,'(2018-19c)'!$B16,raw!$E$2:$E$2701,'(2018-19c)'!D$3,raw!$F$2:$F$2701,"Operational training")+SUMIFS(raw!$H$2:$H$2701,raw!$B$2:$B$2701,'(2018-19c)'!$B16,raw!$E$2:$E$2701,'(2018-19c)'!D$3,raw!$F$2:$F$2701, "Fitness training")</f>
        <v>5</v>
      </c>
      <c r="E16" s="36">
        <f>SUMIFS(raw!$H$2:$H$2701,raw!$B$2:$B$2701,'(2018-19c)'!$B16,raw!$E$2:$E$2701,'(2018-19c)'!E$3,raw!$F$2:$F$2701,"Operational training")+SUMIFS(raw!$H$2:$H$2701,raw!$B$2:$B$2701,'(2018-19c)'!$B16,raw!$E$2:$E$2701,'(2018-19c)'!E$3,raw!$F$2:$F$2701, "Fitness training")</f>
        <v>0</v>
      </c>
      <c r="F16" s="36">
        <f>SUMIFS(raw!$H$2:$H$2701,raw!$B$2:$B$2701,'(2018-19c)'!$B16,raw!$E$2:$E$2701,'(2018-19c)'!F$3,raw!$F$2:$F$2701,"Operational training")+SUMIFS(raw!$H$2:$H$2701,raw!$B$2:$B$2701,'(2018-19c)'!$B16,raw!$E$2:$E$2701,'(2018-19c)'!F$3,raw!$F$2:$F$2701, "Fitness training")</f>
        <v>0</v>
      </c>
      <c r="G16" s="223"/>
      <c r="H16" s="223"/>
    </row>
    <row r="17" spans="1:8" ht="13" x14ac:dyDescent="0.3">
      <c r="A17" s="171">
        <v>64</v>
      </c>
      <c r="B17" s="228" t="s">
        <v>197</v>
      </c>
      <c r="C17" s="36">
        <f>SUMIFS(raw!$H$2:$H$2701,raw!$B$2:$B$2701,'(2018-19c)'!$B17,raw!$E$2:$E$2701,'(2018-19c)'!C$3,raw!$F$2:$F$2701,"Operational training")+SUMIFS(raw!$H$2:$H$2701,raw!$B$2:$B$2701,'(2018-19c)'!$B17,raw!$E$2:$E$2701,'(2018-19c)'!C$3,raw!$F$2:$F$2701, "Fitness training")</f>
        <v>28</v>
      </c>
      <c r="D17" s="36">
        <f>SUMIFS(raw!$H$2:$H$2701,raw!$B$2:$B$2701,'(2018-19c)'!$B17,raw!$E$2:$E$2701,'(2018-19c)'!D$3,raw!$F$2:$F$2701,"Operational training")+SUMIFS(raw!$H$2:$H$2701,raw!$B$2:$B$2701,'(2018-19c)'!$B17,raw!$E$2:$E$2701,'(2018-19c)'!D$3,raw!$F$2:$F$2701, "Fitness training")</f>
        <v>5</v>
      </c>
      <c r="E17" s="36">
        <f>SUMIFS(raw!$H$2:$H$2701,raw!$B$2:$B$2701,'(2018-19c)'!$B17,raw!$E$2:$E$2701,'(2018-19c)'!E$3,raw!$F$2:$F$2701,"Operational training")+SUMIFS(raw!$H$2:$H$2701,raw!$B$2:$B$2701,'(2018-19c)'!$B17,raw!$E$2:$E$2701,'(2018-19c)'!E$3,raw!$F$2:$F$2701, "Fitness training")</f>
        <v>0</v>
      </c>
      <c r="F17" s="36">
        <f>SUMIFS(raw!$H$2:$H$2701,raw!$B$2:$B$2701,'(2018-19c)'!$B17,raw!$E$2:$E$2701,'(2018-19c)'!F$3,raw!$F$2:$F$2701,"Operational training")+SUMIFS(raw!$H$2:$H$2701,raw!$B$2:$B$2701,'(2018-19c)'!$B17,raw!$E$2:$E$2701,'(2018-19c)'!F$3,raw!$F$2:$F$2701, "Fitness training")</f>
        <v>0</v>
      </c>
      <c r="G17" s="223"/>
      <c r="H17" s="223"/>
    </row>
    <row r="18" spans="1:8" ht="13" x14ac:dyDescent="0.3">
      <c r="A18" s="171">
        <v>67</v>
      </c>
      <c r="B18" s="228" t="s">
        <v>20</v>
      </c>
      <c r="C18" s="36">
        <f>SUMIFS(raw!$H$2:$H$2701,raw!$B$2:$B$2701,'(2018-19c)'!$B18,raw!$E$2:$E$2701,'(2018-19c)'!C$3,raw!$F$2:$F$2701,"Operational training")+SUMIFS(raw!$H$2:$H$2701,raw!$B$2:$B$2701,'(2018-19c)'!$B18,raw!$E$2:$E$2701,'(2018-19c)'!C$3,raw!$F$2:$F$2701, "Fitness training")</f>
        <v>4</v>
      </c>
      <c r="D18" s="36">
        <f>SUMIFS(raw!$H$2:$H$2701,raw!$B$2:$B$2701,'(2018-19c)'!$B18,raw!$E$2:$E$2701,'(2018-19c)'!D$3,raw!$F$2:$F$2701,"Operational training")+SUMIFS(raw!$H$2:$H$2701,raw!$B$2:$B$2701,'(2018-19c)'!$B18,raw!$E$2:$E$2701,'(2018-19c)'!D$3,raw!$F$2:$F$2701, "Fitness training")</f>
        <v>1</v>
      </c>
      <c r="E18" s="36">
        <f>SUMIFS(raw!$H$2:$H$2701,raw!$B$2:$B$2701,'(2018-19c)'!$B18,raw!$E$2:$E$2701,'(2018-19c)'!E$3,raw!$F$2:$F$2701,"Operational training")+SUMIFS(raw!$H$2:$H$2701,raw!$B$2:$B$2701,'(2018-19c)'!$B18,raw!$E$2:$E$2701,'(2018-19c)'!E$3,raw!$F$2:$F$2701, "Fitness training")</f>
        <v>0</v>
      </c>
      <c r="F18" s="36">
        <f>SUMIFS(raw!$H$2:$H$2701,raw!$B$2:$B$2701,'(2018-19c)'!$B18,raw!$E$2:$E$2701,'(2018-19c)'!F$3,raw!$F$2:$F$2701,"Operational training")+SUMIFS(raw!$H$2:$H$2701,raw!$B$2:$B$2701,'(2018-19c)'!$B18,raw!$E$2:$E$2701,'(2018-19c)'!F$3,raw!$F$2:$F$2701, "Fitness training")</f>
        <v>0</v>
      </c>
      <c r="G18" s="223"/>
      <c r="H18" s="223"/>
    </row>
    <row r="19" spans="1:8" ht="13" x14ac:dyDescent="0.3">
      <c r="A19" s="171">
        <v>68</v>
      </c>
      <c r="B19" s="228" t="s">
        <v>21</v>
      </c>
      <c r="C19" s="36">
        <f>SUMIFS(raw!$H$2:$H$2701,raw!$B$2:$B$2701,'(2018-19c)'!$B19,raw!$E$2:$E$2701,'(2018-19c)'!C$3,raw!$F$2:$F$2701,"Operational training")+SUMIFS(raw!$H$2:$H$2701,raw!$B$2:$B$2701,'(2018-19c)'!$B19,raw!$E$2:$E$2701,'(2018-19c)'!C$3,raw!$F$2:$F$2701, "Fitness training")</f>
        <v>19</v>
      </c>
      <c r="D19" s="36">
        <f>SUMIFS(raw!$H$2:$H$2701,raw!$B$2:$B$2701,'(2018-19c)'!$B19,raw!$E$2:$E$2701,'(2018-19c)'!D$3,raw!$F$2:$F$2701,"Operational training")+SUMIFS(raw!$H$2:$H$2701,raw!$B$2:$B$2701,'(2018-19c)'!$B19,raw!$E$2:$E$2701,'(2018-19c)'!D$3,raw!$F$2:$F$2701, "Fitness training")</f>
        <v>0</v>
      </c>
      <c r="E19" s="36">
        <f>SUMIFS(raw!$H$2:$H$2701,raw!$B$2:$B$2701,'(2018-19c)'!$B19,raw!$E$2:$E$2701,'(2018-19c)'!E$3,raw!$F$2:$F$2701,"Operational training")+SUMIFS(raw!$H$2:$H$2701,raw!$B$2:$B$2701,'(2018-19c)'!$B19,raw!$E$2:$E$2701,'(2018-19c)'!E$3,raw!$F$2:$F$2701, "Fitness training")</f>
        <v>0</v>
      </c>
      <c r="F19" s="36">
        <f>SUMIFS(raw!$H$2:$H$2701,raw!$B$2:$B$2701,'(2018-19c)'!$B19,raw!$E$2:$E$2701,'(2018-19c)'!F$3,raw!$F$2:$F$2701,"Operational training")+SUMIFS(raw!$H$2:$H$2701,raw!$B$2:$B$2701,'(2018-19c)'!$B19,raw!$E$2:$E$2701,'(2018-19c)'!F$3,raw!$F$2:$F$2701, "Fitness training")</f>
        <v>0</v>
      </c>
      <c r="G19" s="223"/>
      <c r="H19" s="223"/>
    </row>
    <row r="20" spans="1:8" ht="13" x14ac:dyDescent="0.3">
      <c r="A20" s="171">
        <v>69</v>
      </c>
      <c r="B20" s="228" t="s">
        <v>22</v>
      </c>
      <c r="C20" s="36">
        <f>SUMIFS(raw!$H$2:$H$2701,raw!$B$2:$B$2701,'(2018-19c)'!$B20,raw!$E$2:$E$2701,'(2018-19c)'!C$3,raw!$F$2:$F$2701,"Operational training")+SUMIFS(raw!$H$2:$H$2701,raw!$B$2:$B$2701,'(2018-19c)'!$B20,raw!$E$2:$E$2701,'(2018-19c)'!C$3,raw!$F$2:$F$2701, "Fitness training")</f>
        <v>35</v>
      </c>
      <c r="D20" s="36">
        <f>SUMIFS(raw!$H$2:$H$2701,raw!$B$2:$B$2701,'(2018-19c)'!$B20,raw!$E$2:$E$2701,'(2018-19c)'!D$3,raw!$F$2:$F$2701,"Operational training")+SUMIFS(raw!$H$2:$H$2701,raw!$B$2:$B$2701,'(2018-19c)'!$B20,raw!$E$2:$E$2701,'(2018-19c)'!D$3,raw!$F$2:$F$2701, "Fitness training")</f>
        <v>9</v>
      </c>
      <c r="E20" s="36">
        <f>SUMIFS(raw!$H$2:$H$2701,raw!$B$2:$B$2701,'(2018-19c)'!$B20,raw!$E$2:$E$2701,'(2018-19c)'!E$3,raw!$F$2:$F$2701,"Operational training")+SUMIFS(raw!$H$2:$H$2701,raw!$B$2:$B$2701,'(2018-19c)'!$B20,raw!$E$2:$E$2701,'(2018-19c)'!E$3,raw!$F$2:$F$2701, "Fitness training")</f>
        <v>1</v>
      </c>
      <c r="F20" s="36">
        <f>SUMIFS(raw!$H$2:$H$2701,raw!$B$2:$B$2701,'(2018-19c)'!$B20,raw!$E$2:$E$2701,'(2018-19c)'!F$3,raw!$F$2:$F$2701,"Operational training")+SUMIFS(raw!$H$2:$H$2701,raw!$B$2:$B$2701,'(2018-19c)'!$B20,raw!$E$2:$E$2701,'(2018-19c)'!F$3,raw!$F$2:$F$2701, "Fitness training")</f>
        <v>0</v>
      </c>
      <c r="G20" s="223"/>
      <c r="H20" s="223"/>
    </row>
    <row r="21" spans="1:8" ht="13" x14ac:dyDescent="0.3">
      <c r="A21" s="171">
        <v>70</v>
      </c>
      <c r="B21" s="228" t="s">
        <v>23</v>
      </c>
      <c r="C21" s="36">
        <f>SUMIFS(raw!$H$2:$H$2701,raw!$B$2:$B$2701,'(2018-19c)'!$B21,raw!$E$2:$E$2701,'(2018-19c)'!C$3,raw!$F$2:$F$2701,"Operational training")+SUMIFS(raw!$H$2:$H$2701,raw!$B$2:$B$2701,'(2018-19c)'!$B21,raw!$E$2:$E$2701,'(2018-19c)'!C$3,raw!$F$2:$F$2701, "Fitness training")</f>
        <v>14</v>
      </c>
      <c r="D21" s="36">
        <f>SUMIFS(raw!$H$2:$H$2701,raw!$B$2:$B$2701,'(2018-19c)'!$B21,raw!$E$2:$E$2701,'(2018-19c)'!D$3,raw!$F$2:$F$2701,"Operational training")+SUMIFS(raw!$H$2:$H$2701,raw!$B$2:$B$2701,'(2018-19c)'!$B21,raw!$E$2:$E$2701,'(2018-19c)'!D$3,raw!$F$2:$F$2701, "Fitness training")</f>
        <v>0</v>
      </c>
      <c r="E21" s="36">
        <f>SUMIFS(raw!$H$2:$H$2701,raw!$B$2:$B$2701,'(2018-19c)'!$B21,raw!$E$2:$E$2701,'(2018-19c)'!E$3,raw!$F$2:$F$2701,"Operational training")+SUMIFS(raw!$H$2:$H$2701,raw!$B$2:$B$2701,'(2018-19c)'!$B21,raw!$E$2:$E$2701,'(2018-19c)'!E$3,raw!$F$2:$F$2701, "Fitness training")</f>
        <v>2</v>
      </c>
      <c r="F21" s="36">
        <f>SUMIFS(raw!$H$2:$H$2701,raw!$B$2:$B$2701,'(2018-19c)'!$B21,raw!$E$2:$E$2701,'(2018-19c)'!F$3,raw!$F$2:$F$2701,"Operational training")+SUMIFS(raw!$H$2:$H$2701,raw!$B$2:$B$2701,'(2018-19c)'!$B21,raw!$E$2:$E$2701,'(2018-19c)'!F$3,raw!$F$2:$F$2701, "Fitness training")</f>
        <v>0</v>
      </c>
      <c r="G21" s="223"/>
      <c r="H21" s="223"/>
    </row>
    <row r="22" spans="1:8" ht="13" x14ac:dyDescent="0.3">
      <c r="A22" s="171">
        <v>71</v>
      </c>
      <c r="B22" s="228" t="s">
        <v>24</v>
      </c>
      <c r="C22" s="36">
        <f>SUMIFS(raw!$H$2:$H$2701,raw!$B$2:$B$2701,'(2018-19c)'!$B22,raw!$E$2:$E$2701,'(2018-19c)'!C$3,raw!$F$2:$F$2701,"Operational training")+SUMIFS(raw!$H$2:$H$2701,raw!$B$2:$B$2701,'(2018-19c)'!$B22,raw!$E$2:$E$2701,'(2018-19c)'!C$3,raw!$F$2:$F$2701, "Fitness training")</f>
        <v>25</v>
      </c>
      <c r="D22" s="36">
        <f>SUMIFS(raw!$H$2:$H$2701,raw!$B$2:$B$2701,'(2018-19c)'!$B22,raw!$E$2:$E$2701,'(2018-19c)'!D$3,raw!$F$2:$F$2701,"Operational training")+SUMIFS(raw!$H$2:$H$2701,raw!$B$2:$B$2701,'(2018-19c)'!$B22,raw!$E$2:$E$2701,'(2018-19c)'!D$3,raw!$F$2:$F$2701, "Fitness training")</f>
        <v>4</v>
      </c>
      <c r="E22" s="36">
        <f>SUMIFS(raw!$H$2:$H$2701,raw!$B$2:$B$2701,'(2018-19c)'!$B22,raw!$E$2:$E$2701,'(2018-19c)'!E$3,raw!$F$2:$F$2701,"Operational training")+SUMIFS(raw!$H$2:$H$2701,raw!$B$2:$B$2701,'(2018-19c)'!$B22,raw!$E$2:$E$2701,'(2018-19c)'!E$3,raw!$F$2:$F$2701, "Fitness training")</f>
        <v>1</v>
      </c>
      <c r="F22" s="36">
        <f>SUMIFS(raw!$H$2:$H$2701,raw!$B$2:$B$2701,'(2018-19c)'!$B22,raw!$E$2:$E$2701,'(2018-19c)'!F$3,raw!$F$2:$F$2701,"Operational training")+SUMIFS(raw!$H$2:$H$2701,raw!$B$2:$B$2701,'(2018-19c)'!$B22,raw!$E$2:$E$2701,'(2018-19c)'!F$3,raw!$F$2:$F$2701, "Fitness training")</f>
        <v>0</v>
      </c>
      <c r="G22" s="223"/>
      <c r="H22" s="223"/>
    </row>
    <row r="23" spans="1:8" ht="13" x14ac:dyDescent="0.3">
      <c r="A23" s="171">
        <v>73</v>
      </c>
      <c r="B23" s="228" t="s">
        <v>214</v>
      </c>
      <c r="C23" s="36">
        <f>SUMIFS(raw!$H$2:$H$2701,raw!$B$2:$B$2701,'(2018-19c)'!$B23,raw!$E$2:$E$2701,'(2018-19c)'!C$3,raw!$F$2:$F$2701,"Operational training")+SUMIFS(raw!$H$2:$H$2701,raw!$B$2:$B$2701,'(2018-19c)'!$B23,raw!$E$2:$E$2701,'(2018-19c)'!C$3,raw!$F$2:$F$2701, "Fitness training")</f>
        <v>51</v>
      </c>
      <c r="D23" s="36">
        <f>SUMIFS(raw!$H$2:$H$2701,raw!$B$2:$B$2701,'(2018-19c)'!$B23,raw!$E$2:$E$2701,'(2018-19c)'!D$3,raw!$F$2:$F$2701,"Operational training")+SUMIFS(raw!$H$2:$H$2701,raw!$B$2:$B$2701,'(2018-19c)'!$B23,raw!$E$2:$E$2701,'(2018-19c)'!D$3,raw!$F$2:$F$2701, "Fitness training")</f>
        <v>7</v>
      </c>
      <c r="E23" s="36">
        <f>SUMIFS(raw!$H$2:$H$2701,raw!$B$2:$B$2701,'(2018-19c)'!$B23,raw!$E$2:$E$2701,'(2018-19c)'!E$3,raw!$F$2:$F$2701,"Operational training")+SUMIFS(raw!$H$2:$H$2701,raw!$B$2:$B$2701,'(2018-19c)'!$B23,raw!$E$2:$E$2701,'(2018-19c)'!E$3,raw!$F$2:$F$2701, "Fitness training")</f>
        <v>1</v>
      </c>
      <c r="F23" s="36">
        <f>SUMIFS(raw!$H$2:$H$2701,raw!$B$2:$B$2701,'(2018-19c)'!$B23,raw!$E$2:$E$2701,'(2018-19c)'!F$3,raw!$F$2:$F$2701,"Operational training")+SUMIFS(raw!$H$2:$H$2701,raw!$B$2:$B$2701,'(2018-19c)'!$B23,raw!$E$2:$E$2701,'(2018-19c)'!F$3,raw!$F$2:$F$2701, "Fitness training")</f>
        <v>0</v>
      </c>
      <c r="G23" s="223"/>
      <c r="H23" s="223"/>
    </row>
    <row r="24" spans="1:8" ht="13" x14ac:dyDescent="0.3">
      <c r="A24" s="171">
        <v>74</v>
      </c>
      <c r="B24" s="228" t="s">
        <v>26</v>
      </c>
      <c r="C24" s="36">
        <f>SUMIFS(raw!$H$2:$H$2701,raw!$B$2:$B$2701,'(2018-19c)'!$B24,raw!$E$2:$E$2701,'(2018-19c)'!C$3,raw!$F$2:$F$2701,"Operational training")+SUMIFS(raw!$H$2:$H$2701,raw!$B$2:$B$2701,'(2018-19c)'!$B24,raw!$E$2:$E$2701,'(2018-19c)'!C$3,raw!$F$2:$F$2701, "Fitness training")</f>
        <v>22</v>
      </c>
      <c r="D24" s="36">
        <f>SUMIFS(raw!$H$2:$H$2701,raw!$B$2:$B$2701,'(2018-19c)'!$B24,raw!$E$2:$E$2701,'(2018-19c)'!D$3,raw!$F$2:$F$2701,"Operational training")+SUMIFS(raw!$H$2:$H$2701,raw!$B$2:$B$2701,'(2018-19c)'!$B24,raw!$E$2:$E$2701,'(2018-19c)'!D$3,raw!$F$2:$F$2701, "Fitness training")</f>
        <v>8</v>
      </c>
      <c r="E24" s="36">
        <f>SUMIFS(raw!$H$2:$H$2701,raw!$B$2:$B$2701,'(2018-19c)'!$B24,raw!$E$2:$E$2701,'(2018-19c)'!E$3,raw!$F$2:$F$2701,"Operational training")+SUMIFS(raw!$H$2:$H$2701,raw!$B$2:$B$2701,'(2018-19c)'!$B24,raw!$E$2:$E$2701,'(2018-19c)'!E$3,raw!$F$2:$F$2701, "Fitness training")</f>
        <v>1</v>
      </c>
      <c r="F24" s="36">
        <f>SUMIFS(raw!$H$2:$H$2701,raw!$B$2:$B$2701,'(2018-19c)'!$B24,raw!$E$2:$E$2701,'(2018-19c)'!F$3,raw!$F$2:$F$2701,"Operational training")+SUMIFS(raw!$H$2:$H$2701,raw!$B$2:$B$2701,'(2018-19c)'!$B24,raw!$E$2:$E$2701,'(2018-19c)'!F$3,raw!$F$2:$F$2701, "Fitness training")</f>
        <v>0</v>
      </c>
      <c r="G24" s="223"/>
      <c r="H24" s="223"/>
    </row>
    <row r="25" spans="1:8" ht="13" x14ac:dyDescent="0.3">
      <c r="A25" s="171">
        <v>75</v>
      </c>
      <c r="B25" s="228" t="s">
        <v>27</v>
      </c>
      <c r="C25" s="36">
        <f>SUMIFS(raw!$H$2:$H$2701,raw!$B$2:$B$2701,'(2018-19c)'!$B25,raw!$E$2:$E$2701,'(2018-19c)'!C$3,raw!$F$2:$F$2701,"Operational training")+SUMIFS(raw!$H$2:$H$2701,raw!$B$2:$B$2701,'(2018-19c)'!$B25,raw!$E$2:$E$2701,'(2018-19c)'!C$3,raw!$F$2:$F$2701, "Fitness training")</f>
        <v>51</v>
      </c>
      <c r="D25" s="36">
        <f>SUMIFS(raw!$H$2:$H$2701,raw!$B$2:$B$2701,'(2018-19c)'!$B25,raw!$E$2:$E$2701,'(2018-19c)'!D$3,raw!$F$2:$F$2701,"Operational training")+SUMIFS(raw!$H$2:$H$2701,raw!$B$2:$B$2701,'(2018-19c)'!$B25,raw!$E$2:$E$2701,'(2018-19c)'!D$3,raw!$F$2:$F$2701, "Fitness training")</f>
        <v>5</v>
      </c>
      <c r="E25" s="36">
        <f>SUMIFS(raw!$H$2:$H$2701,raw!$B$2:$B$2701,'(2018-19c)'!$B25,raw!$E$2:$E$2701,'(2018-19c)'!E$3,raw!$F$2:$F$2701,"Operational training")+SUMIFS(raw!$H$2:$H$2701,raw!$B$2:$B$2701,'(2018-19c)'!$B25,raw!$E$2:$E$2701,'(2018-19c)'!E$3,raw!$F$2:$F$2701, "Fitness training")</f>
        <v>1</v>
      </c>
      <c r="F25" s="36">
        <f>SUMIFS(raw!$H$2:$H$2701,raw!$B$2:$B$2701,'(2018-19c)'!$B25,raw!$E$2:$E$2701,'(2018-19c)'!F$3,raw!$F$2:$F$2701,"Operational training")+SUMIFS(raw!$H$2:$H$2701,raw!$B$2:$B$2701,'(2018-19c)'!$B25,raw!$E$2:$E$2701,'(2018-19c)'!F$3,raw!$F$2:$F$2701, "Fitness training")</f>
        <v>0</v>
      </c>
      <c r="G25" s="223"/>
      <c r="H25" s="223"/>
    </row>
    <row r="26" spans="1:8" ht="13" x14ac:dyDescent="0.3">
      <c r="A26" s="171">
        <v>76</v>
      </c>
      <c r="B26" s="228" t="s">
        <v>28</v>
      </c>
      <c r="C26" s="36">
        <f>SUMIFS(raw!$H$2:$H$2701,raw!$B$2:$B$2701,'(2018-19c)'!$B26,raw!$E$2:$E$2701,'(2018-19c)'!C$3,raw!$F$2:$F$2701,"Operational training")+SUMIFS(raw!$H$2:$H$2701,raw!$B$2:$B$2701,'(2018-19c)'!$B26,raw!$E$2:$E$2701,'(2018-19c)'!C$3,raw!$F$2:$F$2701, "Fitness training")</f>
        <v>3</v>
      </c>
      <c r="D26" s="36">
        <f>SUMIFS(raw!$H$2:$H$2701,raw!$B$2:$B$2701,'(2018-19c)'!$B26,raw!$E$2:$E$2701,'(2018-19c)'!D$3,raw!$F$2:$F$2701,"Operational training")+SUMIFS(raw!$H$2:$H$2701,raw!$B$2:$B$2701,'(2018-19c)'!$B26,raw!$E$2:$E$2701,'(2018-19c)'!D$3,raw!$F$2:$F$2701, "Fitness training")</f>
        <v>0</v>
      </c>
      <c r="E26" s="36">
        <f>SUMIFS(raw!$H$2:$H$2701,raw!$B$2:$B$2701,'(2018-19c)'!$B26,raw!$E$2:$E$2701,'(2018-19c)'!E$3,raw!$F$2:$F$2701,"Operational training")+SUMIFS(raw!$H$2:$H$2701,raw!$B$2:$B$2701,'(2018-19c)'!$B26,raw!$E$2:$E$2701,'(2018-19c)'!E$3,raw!$F$2:$F$2701, "Fitness training")</f>
        <v>0</v>
      </c>
      <c r="F26" s="36">
        <f>SUMIFS(raw!$H$2:$H$2701,raw!$B$2:$B$2701,'(2018-19c)'!$B26,raw!$E$2:$E$2701,'(2018-19c)'!F$3,raw!$F$2:$F$2701,"Operational training")+SUMIFS(raw!$H$2:$H$2701,raw!$B$2:$B$2701,'(2018-19c)'!$B26,raw!$E$2:$E$2701,'(2018-19c)'!F$3,raw!$F$2:$F$2701, "Fitness training")</f>
        <v>0</v>
      </c>
      <c r="G26" s="223"/>
      <c r="H26" s="223"/>
    </row>
    <row r="27" spans="1:8" ht="13" x14ac:dyDescent="0.3">
      <c r="A27" s="171">
        <v>79</v>
      </c>
      <c r="B27" s="228" t="s">
        <v>29</v>
      </c>
      <c r="C27" s="36">
        <f>SUMIFS(raw!$H$2:$H$2701,raw!$B$2:$B$2701,'(2018-19c)'!$B27,raw!$E$2:$E$2701,'(2018-19c)'!C$3,raw!$F$2:$F$2701,"Operational training")+SUMIFS(raw!$H$2:$H$2701,raw!$B$2:$B$2701,'(2018-19c)'!$B27,raw!$E$2:$E$2701,'(2018-19c)'!C$3,raw!$F$2:$F$2701, "Fitness training")</f>
        <v>16</v>
      </c>
      <c r="D27" s="36">
        <f>SUMIFS(raw!$H$2:$H$2701,raw!$B$2:$B$2701,'(2018-19c)'!$B27,raw!$E$2:$E$2701,'(2018-19c)'!D$3,raw!$F$2:$F$2701,"Operational training")+SUMIFS(raw!$H$2:$H$2701,raw!$B$2:$B$2701,'(2018-19c)'!$B27,raw!$E$2:$E$2701,'(2018-19c)'!D$3,raw!$F$2:$F$2701, "Fitness training")</f>
        <v>0</v>
      </c>
      <c r="E27" s="36">
        <f>SUMIFS(raw!$H$2:$H$2701,raw!$B$2:$B$2701,'(2018-19c)'!$B27,raw!$E$2:$E$2701,'(2018-19c)'!E$3,raw!$F$2:$F$2701,"Operational training")+SUMIFS(raw!$H$2:$H$2701,raw!$B$2:$B$2701,'(2018-19c)'!$B27,raw!$E$2:$E$2701,'(2018-19c)'!E$3,raw!$F$2:$F$2701, "Fitness training")</f>
        <v>0</v>
      </c>
      <c r="F27" s="36">
        <f>SUMIFS(raw!$H$2:$H$2701,raw!$B$2:$B$2701,'(2018-19c)'!$B27,raw!$E$2:$E$2701,'(2018-19c)'!F$3,raw!$F$2:$F$2701,"Operational training")+SUMIFS(raw!$H$2:$H$2701,raw!$B$2:$B$2701,'(2018-19c)'!$B27,raw!$E$2:$E$2701,'(2018-19c)'!F$3,raw!$F$2:$F$2701, "Fitness training")</f>
        <v>0</v>
      </c>
      <c r="G27" s="223"/>
      <c r="H27" s="223"/>
    </row>
    <row r="28" spans="1:8" ht="13" x14ac:dyDescent="0.3">
      <c r="A28" s="171">
        <v>80</v>
      </c>
      <c r="B28" s="228" t="s">
        <v>30</v>
      </c>
      <c r="C28" s="36">
        <f>SUMIFS(raw!$H$2:$H$2701,raw!$B$2:$B$2701,'(2018-19c)'!$B28,raw!$E$2:$E$2701,'(2018-19c)'!C$3,raw!$F$2:$F$2701,"Operational training")+SUMIFS(raw!$H$2:$H$2701,raw!$B$2:$B$2701,'(2018-19c)'!$B28,raw!$E$2:$E$2701,'(2018-19c)'!C$3,raw!$F$2:$F$2701, "Fitness training")</f>
        <v>18</v>
      </c>
      <c r="D28" s="36">
        <f>SUMIFS(raw!$H$2:$H$2701,raw!$B$2:$B$2701,'(2018-19c)'!$B28,raw!$E$2:$E$2701,'(2018-19c)'!D$3,raw!$F$2:$F$2701,"Operational training")+SUMIFS(raw!$H$2:$H$2701,raw!$B$2:$B$2701,'(2018-19c)'!$B28,raw!$E$2:$E$2701,'(2018-19c)'!D$3,raw!$F$2:$F$2701, "Fitness training")</f>
        <v>4</v>
      </c>
      <c r="E28" s="36">
        <f>SUMIFS(raw!$H$2:$H$2701,raw!$B$2:$B$2701,'(2018-19c)'!$B28,raw!$E$2:$E$2701,'(2018-19c)'!E$3,raw!$F$2:$F$2701,"Operational training")+SUMIFS(raw!$H$2:$H$2701,raw!$B$2:$B$2701,'(2018-19c)'!$B28,raw!$E$2:$E$2701,'(2018-19c)'!E$3,raw!$F$2:$F$2701, "Fitness training")</f>
        <v>0</v>
      </c>
      <c r="F28" s="36">
        <f>SUMIFS(raw!$H$2:$H$2701,raw!$B$2:$B$2701,'(2018-19c)'!$B28,raw!$E$2:$E$2701,'(2018-19c)'!F$3,raw!$F$2:$F$2701,"Operational training")+SUMIFS(raw!$H$2:$H$2701,raw!$B$2:$B$2701,'(2018-19c)'!$B28,raw!$E$2:$E$2701,'(2018-19c)'!F$3,raw!$F$2:$F$2701, "Fitness training")</f>
        <v>0</v>
      </c>
      <c r="G28" s="223"/>
      <c r="H28" s="223"/>
    </row>
    <row r="29" spans="1:8" ht="13" x14ac:dyDescent="0.3">
      <c r="A29" s="171">
        <v>81</v>
      </c>
      <c r="B29" s="228" t="s">
        <v>31</v>
      </c>
      <c r="C29" s="36">
        <f>SUMIFS(raw!$H$2:$H$2701,raw!$B$2:$B$2701,'(2018-19c)'!$B29,raw!$E$2:$E$2701,'(2018-19c)'!C$3,raw!$F$2:$F$2701,"Operational training")+SUMIFS(raw!$H$2:$H$2701,raw!$B$2:$B$2701,'(2018-19c)'!$B29,raw!$E$2:$E$2701,'(2018-19c)'!C$3,raw!$F$2:$F$2701, "Fitness training")</f>
        <v>14</v>
      </c>
      <c r="D29" s="36">
        <f>SUMIFS(raw!$H$2:$H$2701,raw!$B$2:$B$2701,'(2018-19c)'!$B29,raw!$E$2:$E$2701,'(2018-19c)'!D$3,raw!$F$2:$F$2701,"Operational training")+SUMIFS(raw!$H$2:$H$2701,raw!$B$2:$B$2701,'(2018-19c)'!$B29,raw!$E$2:$E$2701,'(2018-19c)'!D$3,raw!$F$2:$F$2701, "Fitness training")</f>
        <v>4</v>
      </c>
      <c r="E29" s="36">
        <f>SUMIFS(raw!$H$2:$H$2701,raw!$B$2:$B$2701,'(2018-19c)'!$B29,raw!$E$2:$E$2701,'(2018-19c)'!E$3,raw!$F$2:$F$2701,"Operational training")+SUMIFS(raw!$H$2:$H$2701,raw!$B$2:$B$2701,'(2018-19c)'!$B29,raw!$E$2:$E$2701,'(2018-19c)'!E$3,raw!$F$2:$F$2701, "Fitness training")</f>
        <v>0</v>
      </c>
      <c r="F29" s="36">
        <f>SUMIFS(raw!$H$2:$H$2701,raw!$B$2:$B$2701,'(2018-19c)'!$B29,raw!$E$2:$E$2701,'(2018-19c)'!F$3,raw!$F$2:$F$2701,"Operational training")+SUMIFS(raw!$H$2:$H$2701,raw!$B$2:$B$2701,'(2018-19c)'!$B29,raw!$E$2:$E$2701,'(2018-19c)'!F$3,raw!$F$2:$F$2701, "Fitness training")</f>
        <v>0</v>
      </c>
      <c r="G29" s="223"/>
      <c r="H29" s="223"/>
    </row>
    <row r="30" spans="1:8" ht="13" x14ac:dyDescent="0.3">
      <c r="A30" s="171">
        <v>83</v>
      </c>
      <c r="B30" s="228" t="s">
        <v>32</v>
      </c>
      <c r="C30" s="36">
        <f>SUMIFS(raw!$H$2:$H$2701,raw!$B$2:$B$2701,'(2018-19c)'!$B30,raw!$E$2:$E$2701,'(2018-19c)'!C$3,raw!$F$2:$F$2701,"Operational training")+SUMIFS(raw!$H$2:$H$2701,raw!$B$2:$B$2701,'(2018-19c)'!$B30,raw!$E$2:$E$2701,'(2018-19c)'!C$3,raw!$F$2:$F$2701, "Fitness training")</f>
        <v>22</v>
      </c>
      <c r="D30" s="36">
        <f>SUMIFS(raw!$H$2:$H$2701,raw!$B$2:$B$2701,'(2018-19c)'!$B30,raw!$E$2:$E$2701,'(2018-19c)'!D$3,raw!$F$2:$F$2701,"Operational training")+SUMIFS(raw!$H$2:$H$2701,raw!$B$2:$B$2701,'(2018-19c)'!$B30,raw!$E$2:$E$2701,'(2018-19c)'!D$3,raw!$F$2:$F$2701, "Fitness training")</f>
        <v>1</v>
      </c>
      <c r="E30" s="36">
        <f>SUMIFS(raw!$H$2:$H$2701,raw!$B$2:$B$2701,'(2018-19c)'!$B30,raw!$E$2:$E$2701,'(2018-19c)'!E$3,raw!$F$2:$F$2701,"Operational training")+SUMIFS(raw!$H$2:$H$2701,raw!$B$2:$B$2701,'(2018-19c)'!$B30,raw!$E$2:$E$2701,'(2018-19c)'!E$3,raw!$F$2:$F$2701, "Fitness training")</f>
        <v>2</v>
      </c>
      <c r="F30" s="36">
        <f>SUMIFS(raw!$H$2:$H$2701,raw!$B$2:$B$2701,'(2018-19c)'!$B30,raw!$E$2:$E$2701,'(2018-19c)'!F$3,raw!$F$2:$F$2701,"Operational training")+SUMIFS(raw!$H$2:$H$2701,raw!$B$2:$B$2701,'(2018-19c)'!$B30,raw!$E$2:$E$2701,'(2018-19c)'!F$3,raw!$F$2:$F$2701, "Fitness training")</f>
        <v>0</v>
      </c>
      <c r="G30" s="223"/>
      <c r="H30" s="223"/>
    </row>
    <row r="31" spans="1:8" ht="13" x14ac:dyDescent="0.3">
      <c r="A31" s="171">
        <v>84</v>
      </c>
      <c r="B31" s="228" t="s">
        <v>33</v>
      </c>
      <c r="C31" s="36">
        <f>SUMIFS(raw!$H$2:$H$2701,raw!$B$2:$B$2701,'(2018-19c)'!$B31,raw!$E$2:$E$2701,'(2018-19c)'!C$3,raw!$F$2:$F$2701,"Operational training")+SUMIFS(raw!$H$2:$H$2701,raw!$B$2:$B$2701,'(2018-19c)'!$B31,raw!$E$2:$E$2701,'(2018-19c)'!C$3,raw!$F$2:$F$2701, "Fitness training")</f>
        <v>26</v>
      </c>
      <c r="D31" s="36">
        <f>SUMIFS(raw!$H$2:$H$2701,raw!$B$2:$B$2701,'(2018-19c)'!$B31,raw!$E$2:$E$2701,'(2018-19c)'!D$3,raw!$F$2:$F$2701,"Operational training")+SUMIFS(raw!$H$2:$H$2701,raw!$B$2:$B$2701,'(2018-19c)'!$B31,raw!$E$2:$E$2701,'(2018-19c)'!D$3,raw!$F$2:$F$2701, "Fitness training")</f>
        <v>2</v>
      </c>
      <c r="E31" s="36">
        <f>SUMIFS(raw!$H$2:$H$2701,raw!$B$2:$B$2701,'(2018-19c)'!$B31,raw!$E$2:$E$2701,'(2018-19c)'!E$3,raw!$F$2:$F$2701,"Operational training")+SUMIFS(raw!$H$2:$H$2701,raw!$B$2:$B$2701,'(2018-19c)'!$B31,raw!$E$2:$E$2701,'(2018-19c)'!E$3,raw!$F$2:$F$2701, "Fitness training")</f>
        <v>0</v>
      </c>
      <c r="F31" s="36">
        <f>SUMIFS(raw!$H$2:$H$2701,raw!$B$2:$B$2701,'(2018-19c)'!$B31,raw!$E$2:$E$2701,'(2018-19c)'!F$3,raw!$F$2:$F$2701,"Operational training")+SUMIFS(raw!$H$2:$H$2701,raw!$B$2:$B$2701,'(2018-19c)'!$B31,raw!$E$2:$E$2701,'(2018-19c)'!F$3,raw!$F$2:$F$2701, "Fitness training")</f>
        <v>0</v>
      </c>
      <c r="G31" s="223"/>
      <c r="H31" s="223"/>
    </row>
    <row r="32" spans="1:8" ht="13" x14ac:dyDescent="0.3">
      <c r="A32" s="171">
        <v>85</v>
      </c>
      <c r="B32" s="228" t="s">
        <v>34</v>
      </c>
      <c r="C32" s="36">
        <f>SUMIFS(raw!$H$2:$H$2701,raw!$B$2:$B$2701,'(2018-19c)'!$B32,raw!$E$2:$E$2701,'(2018-19c)'!C$3,raw!$F$2:$F$2701,"Operational training")+SUMIFS(raw!$H$2:$H$2701,raw!$B$2:$B$2701,'(2018-19c)'!$B32,raw!$E$2:$E$2701,'(2018-19c)'!C$3,raw!$F$2:$F$2701, "Fitness training")</f>
        <v>34</v>
      </c>
      <c r="D32" s="36">
        <f>SUMIFS(raw!$H$2:$H$2701,raw!$B$2:$B$2701,'(2018-19c)'!$B32,raw!$E$2:$E$2701,'(2018-19c)'!D$3,raw!$F$2:$F$2701,"Operational training")+SUMIFS(raw!$H$2:$H$2701,raw!$B$2:$B$2701,'(2018-19c)'!$B32,raw!$E$2:$E$2701,'(2018-19c)'!D$3,raw!$F$2:$F$2701, "Fitness training")</f>
        <v>8</v>
      </c>
      <c r="E32" s="36">
        <f>SUMIFS(raw!$H$2:$H$2701,raw!$B$2:$B$2701,'(2018-19c)'!$B32,raw!$E$2:$E$2701,'(2018-19c)'!E$3,raw!$F$2:$F$2701,"Operational training")+SUMIFS(raw!$H$2:$H$2701,raw!$B$2:$B$2701,'(2018-19c)'!$B32,raw!$E$2:$E$2701,'(2018-19c)'!E$3,raw!$F$2:$F$2701, "Fitness training")</f>
        <v>1</v>
      </c>
      <c r="F32" s="36">
        <f>SUMIFS(raw!$H$2:$H$2701,raw!$B$2:$B$2701,'(2018-19c)'!$B32,raw!$E$2:$E$2701,'(2018-19c)'!F$3,raw!$F$2:$F$2701,"Operational training")+SUMIFS(raw!$H$2:$H$2701,raw!$B$2:$B$2701,'(2018-19c)'!$B32,raw!$E$2:$E$2701,'(2018-19c)'!F$3,raw!$F$2:$F$2701, "Fitness training")</f>
        <v>0</v>
      </c>
      <c r="G32" s="223"/>
      <c r="H32" s="223"/>
    </row>
    <row r="33" spans="1:11" ht="14" x14ac:dyDescent="0.3">
      <c r="A33" s="171">
        <v>87</v>
      </c>
      <c r="B33" s="228" t="s">
        <v>35</v>
      </c>
      <c r="C33" s="36">
        <f>SUMIFS(raw!$H$2:$H$2701,raw!$B$2:$B$2701,'(2018-19c)'!$B33,raw!$E$2:$E$2701,'(2018-19c)'!C$3,raw!$F$2:$F$2701,"Operational training")+SUMIFS(raw!$H$2:$H$2701,raw!$B$2:$B$2701,'(2018-19c)'!$B33,raw!$E$2:$E$2701,'(2018-19c)'!C$3,raw!$F$2:$F$2701, "Fitness training")</f>
        <v>20</v>
      </c>
      <c r="D33" s="36">
        <f>SUMIFS(raw!$H$2:$H$2701,raw!$B$2:$B$2701,'(2018-19c)'!$B33,raw!$E$2:$E$2701,'(2018-19c)'!D$3,raw!$F$2:$F$2701,"Operational training")+SUMIFS(raw!$H$2:$H$2701,raw!$B$2:$B$2701,'(2018-19c)'!$B33,raw!$E$2:$E$2701,'(2018-19c)'!D$3,raw!$F$2:$F$2701, "Fitness training")</f>
        <v>1</v>
      </c>
      <c r="E33" s="36">
        <f>SUMIFS(raw!$H$2:$H$2701,raw!$B$2:$B$2701,'(2018-19c)'!$B33,raw!$E$2:$E$2701,'(2018-19c)'!E$3,raw!$F$2:$F$2701,"Operational training")+SUMIFS(raw!$H$2:$H$2701,raw!$B$2:$B$2701,'(2018-19c)'!$B33,raw!$E$2:$E$2701,'(2018-19c)'!E$3,raw!$F$2:$F$2701, "Fitness training")</f>
        <v>0</v>
      </c>
      <c r="F33" s="36">
        <f>SUMIFS(raw!$H$2:$H$2701,raw!$B$2:$B$2701,'(2018-19c)'!$B33,raw!$E$2:$E$2701,'(2018-19c)'!F$3,raw!$F$2:$F$2701,"Operational training")+SUMIFS(raw!$H$2:$H$2701,raw!$B$2:$B$2701,'(2018-19c)'!$B33,raw!$E$2:$E$2701,'(2018-19c)'!F$3,raw!$F$2:$F$2701, "Fitness training")</f>
        <v>0</v>
      </c>
      <c r="G33" s="223"/>
      <c r="H33" s="223"/>
      <c r="I33" s="11"/>
    </row>
    <row r="34" spans="1:11" ht="13" x14ac:dyDescent="0.3">
      <c r="A34" s="171">
        <v>90</v>
      </c>
      <c r="B34" s="228" t="s">
        <v>36</v>
      </c>
      <c r="C34" s="36">
        <f>SUMIFS(raw!$H$2:$H$2701,raw!$B$2:$B$2701,'(2018-19c)'!$B34,raw!$E$2:$E$2701,'(2018-19c)'!C$3,raw!$F$2:$F$2701,"Operational training")+SUMIFS(raw!$H$2:$H$2701,raw!$B$2:$B$2701,'(2018-19c)'!$B34,raw!$E$2:$E$2701,'(2018-19c)'!C$3,raw!$F$2:$F$2701, "Fitness training")</f>
        <v>7</v>
      </c>
      <c r="D34" s="36">
        <f>SUMIFS(raw!$H$2:$H$2701,raw!$B$2:$B$2701,'(2018-19c)'!$B34,raw!$E$2:$E$2701,'(2018-19c)'!D$3,raw!$F$2:$F$2701,"Operational training")+SUMIFS(raw!$H$2:$H$2701,raw!$B$2:$B$2701,'(2018-19c)'!$B34,raw!$E$2:$E$2701,'(2018-19c)'!D$3,raw!$F$2:$F$2701, "Fitness training")</f>
        <v>2</v>
      </c>
      <c r="E34" s="36">
        <f>SUMIFS(raw!$H$2:$H$2701,raw!$B$2:$B$2701,'(2018-19c)'!$B34,raw!$E$2:$E$2701,'(2018-19c)'!E$3,raw!$F$2:$F$2701,"Operational training")+SUMIFS(raw!$H$2:$H$2701,raw!$B$2:$B$2701,'(2018-19c)'!$B34,raw!$E$2:$E$2701,'(2018-19c)'!E$3,raw!$F$2:$F$2701, "Fitness training")</f>
        <v>0</v>
      </c>
      <c r="F34" s="36">
        <f>SUMIFS(raw!$H$2:$H$2701,raw!$B$2:$B$2701,'(2018-19c)'!$B34,raw!$E$2:$E$2701,'(2018-19c)'!F$3,raw!$F$2:$F$2701,"Operational training")+SUMIFS(raw!$H$2:$H$2701,raw!$B$2:$B$2701,'(2018-19c)'!$B34,raw!$E$2:$E$2701,'(2018-19c)'!F$3,raw!$F$2:$F$2701, "Fitness training")</f>
        <v>0</v>
      </c>
      <c r="G34" s="223"/>
      <c r="H34" s="223"/>
    </row>
    <row r="35" spans="1:11" ht="13" x14ac:dyDescent="0.3">
      <c r="A35" s="171">
        <v>91</v>
      </c>
      <c r="B35" s="228" t="s">
        <v>37</v>
      </c>
      <c r="C35" s="36">
        <f>SUMIFS(raw!$H$2:$H$2701,raw!$B$2:$B$2701,'(2018-19c)'!$B35,raw!$E$2:$E$2701,'(2018-19c)'!C$3,raw!$F$2:$F$2701,"Operational training")+SUMIFS(raw!$H$2:$H$2701,raw!$B$2:$B$2701,'(2018-19c)'!$B35,raw!$E$2:$E$2701,'(2018-19c)'!C$3,raw!$F$2:$F$2701, "Fitness training")</f>
        <v>18</v>
      </c>
      <c r="D35" s="36">
        <f>SUMIFS(raw!$H$2:$H$2701,raw!$B$2:$B$2701,'(2018-19c)'!$B35,raw!$E$2:$E$2701,'(2018-19c)'!D$3,raw!$F$2:$F$2701,"Operational training")+SUMIFS(raw!$H$2:$H$2701,raw!$B$2:$B$2701,'(2018-19c)'!$B35,raw!$E$2:$E$2701,'(2018-19c)'!D$3,raw!$F$2:$F$2701, "Fitness training")</f>
        <v>2</v>
      </c>
      <c r="E35" s="36">
        <f>SUMIFS(raw!$H$2:$H$2701,raw!$B$2:$B$2701,'(2018-19c)'!$B35,raw!$E$2:$E$2701,'(2018-19c)'!E$3,raw!$F$2:$F$2701,"Operational training")+SUMIFS(raw!$H$2:$H$2701,raw!$B$2:$B$2701,'(2018-19c)'!$B35,raw!$E$2:$E$2701,'(2018-19c)'!E$3,raw!$F$2:$F$2701, "Fitness training")</f>
        <v>0</v>
      </c>
      <c r="F35" s="36">
        <f>SUMIFS(raw!$H$2:$H$2701,raw!$B$2:$B$2701,'(2018-19c)'!$B35,raw!$E$2:$E$2701,'(2018-19c)'!F$3,raw!$F$2:$F$2701,"Operational training")+SUMIFS(raw!$H$2:$H$2701,raw!$B$2:$B$2701,'(2018-19c)'!$B35,raw!$E$2:$E$2701,'(2018-19c)'!F$3,raw!$F$2:$F$2701, "Fitness training")</f>
        <v>0</v>
      </c>
      <c r="G35" s="223"/>
      <c r="H35" s="223"/>
    </row>
    <row r="36" spans="1:11" ht="13" x14ac:dyDescent="0.3">
      <c r="A36" s="171">
        <v>92</v>
      </c>
      <c r="B36" s="228" t="s">
        <v>38</v>
      </c>
      <c r="C36" s="36">
        <f>SUMIFS(raw!$H$2:$H$2701,raw!$B$2:$B$2701,'(2018-19c)'!$B36,raw!$E$2:$E$2701,'(2018-19c)'!C$3,raw!$F$2:$F$2701,"Operational training")+SUMIFS(raw!$H$2:$H$2701,raw!$B$2:$B$2701,'(2018-19c)'!$B36,raw!$E$2:$E$2701,'(2018-19c)'!C$3,raw!$F$2:$F$2701, "Fitness training")</f>
        <v>22</v>
      </c>
      <c r="D36" s="36">
        <f>SUMIFS(raw!$H$2:$H$2701,raw!$B$2:$B$2701,'(2018-19c)'!$B36,raw!$E$2:$E$2701,'(2018-19c)'!D$3,raw!$F$2:$F$2701,"Operational training")+SUMIFS(raw!$H$2:$H$2701,raw!$B$2:$B$2701,'(2018-19c)'!$B36,raw!$E$2:$E$2701,'(2018-19c)'!D$3,raw!$F$2:$F$2701, "Fitness training")</f>
        <v>3</v>
      </c>
      <c r="E36" s="36">
        <f>SUMIFS(raw!$H$2:$H$2701,raw!$B$2:$B$2701,'(2018-19c)'!$B36,raw!$E$2:$E$2701,'(2018-19c)'!E$3,raw!$F$2:$F$2701,"Operational training")+SUMIFS(raw!$H$2:$H$2701,raw!$B$2:$B$2701,'(2018-19c)'!$B36,raw!$E$2:$E$2701,'(2018-19c)'!E$3,raw!$F$2:$F$2701, "Fitness training")</f>
        <v>2</v>
      </c>
      <c r="F36" s="36">
        <f>SUMIFS(raw!$H$2:$H$2701,raw!$B$2:$B$2701,'(2018-19c)'!$B36,raw!$E$2:$E$2701,'(2018-19c)'!F$3,raw!$F$2:$F$2701,"Operational training")+SUMIFS(raw!$H$2:$H$2701,raw!$B$2:$B$2701,'(2018-19c)'!$B36,raw!$E$2:$E$2701,'(2018-19c)'!F$3,raw!$F$2:$F$2701, "Fitness training")</f>
        <v>0</v>
      </c>
      <c r="G36" s="223"/>
      <c r="H36" s="223"/>
    </row>
    <row r="37" spans="1:11" ht="13" x14ac:dyDescent="0.3">
      <c r="A37" s="171">
        <v>94</v>
      </c>
      <c r="B37" s="228" t="s">
        <v>39</v>
      </c>
      <c r="C37" s="36">
        <f>SUMIFS(raw!$H$2:$H$2701,raw!$B$2:$B$2701,'(2018-19c)'!$B37,raw!$E$2:$E$2701,'(2018-19c)'!C$3,raw!$F$2:$F$2701,"Operational training")+SUMIFS(raw!$H$2:$H$2701,raw!$B$2:$B$2701,'(2018-19c)'!$B37,raw!$E$2:$E$2701,'(2018-19c)'!C$3,raw!$F$2:$F$2701, "Fitness training")</f>
        <v>6</v>
      </c>
      <c r="D37" s="36">
        <f>SUMIFS(raw!$H$2:$H$2701,raw!$B$2:$B$2701,'(2018-19c)'!$B37,raw!$E$2:$E$2701,'(2018-19c)'!D$3,raw!$F$2:$F$2701,"Operational training")+SUMIFS(raw!$H$2:$H$2701,raw!$B$2:$B$2701,'(2018-19c)'!$B37,raw!$E$2:$E$2701,'(2018-19c)'!D$3,raw!$F$2:$F$2701, "Fitness training")</f>
        <v>0</v>
      </c>
      <c r="E37" s="36">
        <f>SUMIFS(raw!$H$2:$H$2701,raw!$B$2:$B$2701,'(2018-19c)'!$B37,raw!$E$2:$E$2701,'(2018-19c)'!E$3,raw!$F$2:$F$2701,"Operational training")+SUMIFS(raw!$H$2:$H$2701,raw!$B$2:$B$2701,'(2018-19c)'!$B37,raw!$E$2:$E$2701,'(2018-19c)'!E$3,raw!$F$2:$F$2701, "Fitness training")</f>
        <v>0</v>
      </c>
      <c r="F37" s="36">
        <f>SUMIFS(raw!$H$2:$H$2701,raw!$B$2:$B$2701,'(2018-19c)'!$B37,raw!$E$2:$E$2701,'(2018-19c)'!F$3,raw!$F$2:$F$2701,"Operational training")+SUMIFS(raw!$H$2:$H$2701,raw!$B$2:$B$2701,'(2018-19c)'!$B37,raw!$E$2:$E$2701,'(2018-19c)'!F$3,raw!$F$2:$F$2701, "Fitness training")</f>
        <v>0</v>
      </c>
      <c r="G37" s="223"/>
      <c r="H37" s="223"/>
    </row>
    <row r="38" spans="1:11" ht="14" x14ac:dyDescent="0.3">
      <c r="A38" s="171">
        <v>96</v>
      </c>
      <c r="B38" s="228" t="s">
        <v>40</v>
      </c>
      <c r="C38" s="36">
        <f>SUMIFS(raw!$H$2:$H$2701,raw!$B$2:$B$2701,'(2018-19c)'!$B38,raw!$E$2:$E$2701,'(2018-19c)'!C$3,raw!$F$2:$F$2701,"Operational training")+SUMIFS(raw!$H$2:$H$2701,raw!$B$2:$B$2701,'(2018-19c)'!$B38,raw!$E$2:$E$2701,'(2018-19c)'!C$3,raw!$F$2:$F$2701, "Fitness training")</f>
        <v>18</v>
      </c>
      <c r="D38" s="36">
        <f>SUMIFS(raw!$H$2:$H$2701,raw!$B$2:$B$2701,'(2018-19c)'!$B38,raw!$E$2:$E$2701,'(2018-19c)'!D$3,raw!$F$2:$F$2701,"Operational training")+SUMIFS(raw!$H$2:$H$2701,raw!$B$2:$B$2701,'(2018-19c)'!$B38,raw!$E$2:$E$2701,'(2018-19c)'!D$3,raw!$F$2:$F$2701, "Fitness training")</f>
        <v>4</v>
      </c>
      <c r="E38" s="36">
        <f>SUMIFS(raw!$H$2:$H$2701,raw!$B$2:$B$2701,'(2018-19c)'!$B38,raw!$E$2:$E$2701,'(2018-19c)'!E$3,raw!$F$2:$F$2701,"Operational training")+SUMIFS(raw!$H$2:$H$2701,raw!$B$2:$B$2701,'(2018-19c)'!$B38,raw!$E$2:$E$2701,'(2018-19c)'!E$3,raw!$F$2:$F$2701, "Fitness training")</f>
        <v>0</v>
      </c>
      <c r="F38" s="36">
        <f>SUMIFS(raw!$H$2:$H$2701,raw!$B$2:$B$2701,'(2018-19c)'!$B38,raw!$E$2:$E$2701,'(2018-19c)'!F$3,raw!$F$2:$F$2701,"Operational training")+SUMIFS(raw!$H$2:$H$2701,raw!$B$2:$B$2701,'(2018-19c)'!$B38,raw!$E$2:$E$2701,'(2018-19c)'!F$3,raw!$F$2:$F$2701, "Fitness training")</f>
        <v>0</v>
      </c>
      <c r="G38" s="223"/>
      <c r="H38" s="223"/>
      <c r="J38" s="229"/>
    </row>
    <row r="39" spans="1:11" ht="14" x14ac:dyDescent="0.3">
      <c r="A39" s="171">
        <v>98</v>
      </c>
      <c r="B39" s="228" t="s">
        <v>41</v>
      </c>
      <c r="C39" s="36">
        <f>SUMIFS(raw!$H$2:$H$2701,raw!$B$2:$B$2701,'(2018-19c)'!$B39,raw!$E$2:$E$2701,'(2018-19c)'!C$3,raw!$F$2:$F$2701,"Operational training")+SUMIFS(raw!$H$2:$H$2701,raw!$B$2:$B$2701,'(2018-19c)'!$B39,raw!$E$2:$E$2701,'(2018-19c)'!C$3,raw!$F$2:$F$2701, "Fitness training")</f>
        <v>13</v>
      </c>
      <c r="D39" s="36">
        <f>SUMIFS(raw!$H$2:$H$2701,raw!$B$2:$B$2701,'(2018-19c)'!$B39,raw!$E$2:$E$2701,'(2018-19c)'!D$3,raw!$F$2:$F$2701,"Operational training")+SUMIFS(raw!$H$2:$H$2701,raw!$B$2:$B$2701,'(2018-19c)'!$B39,raw!$E$2:$E$2701,'(2018-19c)'!D$3,raw!$F$2:$F$2701, "Fitness training")</f>
        <v>2</v>
      </c>
      <c r="E39" s="36">
        <f>SUMIFS(raw!$H$2:$H$2701,raw!$B$2:$B$2701,'(2018-19c)'!$B39,raw!$E$2:$E$2701,'(2018-19c)'!E$3,raw!$F$2:$F$2701,"Operational training")+SUMIFS(raw!$H$2:$H$2701,raw!$B$2:$B$2701,'(2018-19c)'!$B39,raw!$E$2:$E$2701,'(2018-19c)'!E$3,raw!$F$2:$F$2701, "Fitness training")</f>
        <v>0</v>
      </c>
      <c r="F39" s="36">
        <f>SUMIFS(raw!$H$2:$H$2701,raw!$B$2:$B$2701,'(2018-19c)'!$B39,raw!$E$2:$E$2701,'(2018-19c)'!F$3,raw!$F$2:$F$2701,"Operational training")+SUMIFS(raw!$H$2:$H$2701,raw!$B$2:$B$2701,'(2018-19c)'!$B39,raw!$E$2:$E$2701,'(2018-19c)'!F$3,raw!$F$2:$F$2701, "Fitness training")</f>
        <v>0</v>
      </c>
      <c r="G39" s="223"/>
      <c r="H39" s="223"/>
      <c r="K39" s="229"/>
    </row>
    <row r="40" spans="1:11" ht="13" x14ac:dyDescent="0.3">
      <c r="A40" s="171">
        <v>72</v>
      </c>
      <c r="B40" s="228" t="s">
        <v>42</v>
      </c>
      <c r="C40" s="36">
        <f>SUMIFS(raw!$H$2:$H$2701,raw!$B$2:$B$2701,'(2018-19c)'!$B40,raw!$E$2:$E$2701,'(2018-19c)'!C$3,raw!$F$2:$F$2701,"Operational training")+SUMIFS(raw!$H$2:$H$2701,raw!$B$2:$B$2701,'(2018-19c)'!$B40,raw!$E$2:$E$2701,'(2018-19c)'!C$3,raw!$F$2:$F$2701, "Fitness training")</f>
        <v>17</v>
      </c>
      <c r="D40" s="36">
        <f>SUMIFS(raw!$H$2:$H$2701,raw!$B$2:$B$2701,'(2018-19c)'!$B40,raw!$E$2:$E$2701,'(2018-19c)'!D$3,raw!$F$2:$F$2701,"Operational training")+SUMIFS(raw!$H$2:$H$2701,raw!$B$2:$B$2701,'(2018-19c)'!$B40,raw!$E$2:$E$2701,'(2018-19c)'!D$3,raw!$F$2:$F$2701, "Fitness training")</f>
        <v>6</v>
      </c>
      <c r="E40" s="36">
        <f>SUMIFS(raw!$H$2:$H$2701,raw!$B$2:$B$2701,'(2018-19c)'!$B40,raw!$E$2:$E$2701,'(2018-19c)'!E$3,raw!$F$2:$F$2701,"Operational training")+SUMIFS(raw!$H$2:$H$2701,raw!$B$2:$B$2701,'(2018-19c)'!$B40,raw!$E$2:$E$2701,'(2018-19c)'!E$3,raw!$F$2:$F$2701, "Fitness training")</f>
        <v>0</v>
      </c>
      <c r="F40" s="36">
        <f>SUMIFS(raw!$H$2:$H$2701,raw!$B$2:$B$2701,'(2018-19c)'!$B40,raw!$E$2:$E$2701,'(2018-19c)'!F$3,raw!$F$2:$F$2701,"Operational training")+SUMIFS(raw!$H$2:$H$2701,raw!$B$2:$B$2701,'(2018-19c)'!$B40,raw!$E$2:$E$2701,'(2018-19c)'!F$3,raw!$F$2:$F$2701, "Fitness training")</f>
        <v>0</v>
      </c>
      <c r="G40" s="223"/>
      <c r="H40" s="223"/>
    </row>
    <row r="41" spans="1:11" s="229" customFormat="1" ht="14" x14ac:dyDescent="0.3">
      <c r="A41" s="230"/>
      <c r="B41" s="228" t="s">
        <v>43</v>
      </c>
      <c r="C41" s="36">
        <f>SUMIFS(raw!$H$2:$H$2701,raw!$B$2:$B$2701,'(2018-19c)'!$B41,raw!$E$2:$E$2701,'(2018-19c)'!C$3,raw!$F$2:$F$2701,"Operational training")+SUMIFS(raw!$H$2:$H$2701,raw!$B$2:$B$2701,'(2018-19c)'!$B41,raw!$E$2:$E$2701,'(2018-19c)'!C$3,raw!$F$2:$F$2701, "Fitness training")</f>
        <v>10</v>
      </c>
      <c r="D41" s="36">
        <f>SUMIFS(raw!$H$2:$H$2701,raw!$B$2:$B$2701,'(2018-19c)'!$B41,raw!$E$2:$E$2701,'(2018-19c)'!D$3,raw!$F$2:$F$2701,"Operational training")+SUMIFS(raw!$H$2:$H$2701,raw!$B$2:$B$2701,'(2018-19c)'!$B41,raw!$E$2:$E$2701,'(2018-19c)'!D$3,raw!$F$2:$F$2701, "Fitness training")</f>
        <v>0</v>
      </c>
      <c r="E41" s="36">
        <f>SUMIFS(raw!$H$2:$H$2701,raw!$B$2:$B$2701,'(2018-19c)'!$B41,raw!$E$2:$E$2701,'(2018-19c)'!E$3,raw!$F$2:$F$2701,"Operational training")+SUMIFS(raw!$H$2:$H$2701,raw!$B$2:$B$2701,'(2018-19c)'!$B41,raw!$E$2:$E$2701,'(2018-19c)'!E$3,raw!$F$2:$F$2701, "Fitness training")</f>
        <v>0</v>
      </c>
      <c r="F41" s="36">
        <f>SUMIFS(raw!$H$2:$H$2701,raw!$B$2:$B$2701,'(2018-19c)'!$B41,raw!$E$2:$E$2701,'(2018-19c)'!F$3,raw!$F$2:$F$2701,"Operational training")+SUMIFS(raw!$H$2:$H$2701,raw!$B$2:$B$2701,'(2018-19c)'!$B41,raw!$E$2:$E$2701,'(2018-19c)'!F$3,raw!$F$2:$F$2701, "Fitness training")</f>
        <v>0</v>
      </c>
      <c r="G41" s="223"/>
      <c r="H41" s="223"/>
      <c r="I41" s="11"/>
    </row>
    <row r="42" spans="1:11" ht="13" x14ac:dyDescent="0.3">
      <c r="A42" s="171">
        <v>66</v>
      </c>
      <c r="B42" s="228" t="s">
        <v>44</v>
      </c>
      <c r="C42" s="36">
        <f>SUMIFS(raw!$H$2:$H$2701,raw!$B$2:$B$2701,'(2018-19c)'!$B42,raw!$E$2:$E$2701,'(2018-19c)'!C$3,raw!$F$2:$F$2701,"Operational training")+SUMIFS(raw!$H$2:$H$2701,raw!$B$2:$B$2701,'(2018-19c)'!$B42,raw!$E$2:$E$2701,'(2018-19c)'!C$3,raw!$F$2:$F$2701, "Fitness training")</f>
        <v>15</v>
      </c>
      <c r="D42" s="36">
        <f>SUMIFS(raw!$H$2:$H$2701,raw!$B$2:$B$2701,'(2018-19c)'!$B42,raw!$E$2:$E$2701,'(2018-19c)'!D$3,raw!$F$2:$F$2701,"Operational training")+SUMIFS(raw!$H$2:$H$2701,raw!$B$2:$B$2701,'(2018-19c)'!$B42,raw!$E$2:$E$2701,'(2018-19c)'!D$3,raw!$F$2:$F$2701, "Fitness training")</f>
        <v>2</v>
      </c>
      <c r="E42" s="36">
        <f>SUMIFS(raw!$H$2:$H$2701,raw!$B$2:$B$2701,'(2018-19c)'!$B42,raw!$E$2:$E$2701,'(2018-19c)'!E$3,raw!$F$2:$F$2701,"Operational training")+SUMIFS(raw!$H$2:$H$2701,raw!$B$2:$B$2701,'(2018-19c)'!$B42,raw!$E$2:$E$2701,'(2018-19c)'!E$3,raw!$F$2:$F$2701, "Fitness training")</f>
        <v>0</v>
      </c>
      <c r="F42" s="36">
        <f>SUMIFS(raw!$H$2:$H$2701,raw!$B$2:$B$2701,'(2018-19c)'!$B42,raw!$E$2:$E$2701,'(2018-19c)'!F$3,raw!$F$2:$F$2701,"Operational training")+SUMIFS(raw!$H$2:$H$2701,raw!$B$2:$B$2701,'(2018-19c)'!$B42,raw!$E$2:$E$2701,'(2018-19c)'!F$3,raw!$F$2:$F$2701, "Fitness training")</f>
        <v>0</v>
      </c>
      <c r="G42" s="223"/>
      <c r="H42" s="223"/>
    </row>
    <row r="43" spans="1:11" ht="13" x14ac:dyDescent="0.3">
      <c r="A43" s="171">
        <v>89</v>
      </c>
      <c r="B43" s="228" t="s">
        <v>46</v>
      </c>
      <c r="C43" s="36">
        <f>SUMIFS(raw!$H$2:$H$2701,raw!$B$2:$B$2701,'(2018-19c)'!$B43,raw!$E$2:$E$2701,'(2018-19c)'!C$3,raw!$F$2:$F$2701,"Operational training")+SUMIFS(raw!$H$2:$H$2701,raw!$B$2:$B$2701,'(2018-19c)'!$B43,raw!$E$2:$E$2701,'(2018-19c)'!C$3,raw!$F$2:$F$2701, "Fitness training")</f>
        <v>0</v>
      </c>
      <c r="D43" s="36">
        <f>SUMIFS(raw!$H$2:$H$2701,raw!$B$2:$B$2701,'(2018-19c)'!$B43,raw!$E$2:$E$2701,'(2018-19c)'!D$3,raw!$F$2:$F$2701,"Operational training")+SUMIFS(raw!$H$2:$H$2701,raw!$B$2:$B$2701,'(2018-19c)'!$B43,raw!$E$2:$E$2701,'(2018-19c)'!D$3,raw!$F$2:$F$2701, "Fitness training")</f>
        <v>0</v>
      </c>
      <c r="E43" s="36">
        <f>SUMIFS(raw!$H$2:$H$2701,raw!$B$2:$B$2701,'(2018-19c)'!$B43,raw!$E$2:$E$2701,'(2018-19c)'!E$3,raw!$F$2:$F$2701,"Operational training")+SUMIFS(raw!$H$2:$H$2701,raw!$B$2:$B$2701,'(2018-19c)'!$B43,raw!$E$2:$E$2701,'(2018-19c)'!E$3,raw!$F$2:$F$2701, "Fitness training")</f>
        <v>0</v>
      </c>
      <c r="F43" s="36">
        <f>SUMIFS(raw!$H$2:$H$2701,raw!$B$2:$B$2701,'(2018-19c)'!$B43,raw!$E$2:$E$2701,'(2018-19c)'!F$3,raw!$F$2:$F$2701,"Operational training")+SUMIFS(raw!$H$2:$H$2701,raw!$B$2:$B$2701,'(2018-19c)'!$B43,raw!$E$2:$E$2701,'(2018-19c)'!F$3,raw!$F$2:$F$2701, "Fitness training")</f>
        <v>0</v>
      </c>
      <c r="G43" s="223"/>
      <c r="H43" s="223"/>
    </row>
    <row r="44" spans="1:11" ht="13" x14ac:dyDescent="0.3">
      <c r="A44" s="171">
        <v>93</v>
      </c>
      <c r="B44" s="228" t="s">
        <v>47</v>
      </c>
      <c r="C44" s="36">
        <f>SUM(C45:C51)</f>
        <v>252</v>
      </c>
      <c r="D44" s="36">
        <f t="shared" ref="D44:F44" si="0">SUM(D45:D51)</f>
        <v>30</v>
      </c>
      <c r="E44" s="36">
        <f t="shared" si="0"/>
        <v>2</v>
      </c>
      <c r="F44" s="36">
        <f t="shared" si="0"/>
        <v>0</v>
      </c>
      <c r="G44" s="223"/>
      <c r="H44" s="223"/>
    </row>
    <row r="45" spans="1:11" ht="13" x14ac:dyDescent="0.3">
      <c r="A45" s="171">
        <v>95</v>
      </c>
      <c r="B45" s="228" t="s">
        <v>48</v>
      </c>
      <c r="C45" s="36">
        <f>SUMIFS(raw!$H$2:$H$2701,raw!$B$2:$B$2701,'(2018-19c)'!$B45,raw!$E$2:$E$2701,'(2018-19c)'!C$3,raw!$F$2:$F$2701,"Operational training")+SUMIFS(raw!$H$2:$H$2701,raw!$B$2:$B$2701,'(2018-19c)'!$B45,raw!$E$2:$E$2701,'(2018-19c)'!C$3,raw!$F$2:$F$2701, "Fitness training")</f>
        <v>26</v>
      </c>
      <c r="D45" s="36">
        <f>SUMIFS(raw!$H$2:$H$2701,raw!$B$2:$B$2701,'(2018-19c)'!$B45,raw!$E$2:$E$2701,'(2018-19c)'!D$3,raw!$F$2:$F$2701,"Operational training")+SUMIFS(raw!$H$2:$H$2701,raw!$B$2:$B$2701,'(2018-19c)'!$B45,raw!$E$2:$E$2701,'(2018-19c)'!D$3,raw!$F$2:$F$2701, "Fitness training")</f>
        <v>3</v>
      </c>
      <c r="E45" s="36">
        <f>SUMIFS(raw!$H$2:$H$2701,raw!$B$2:$B$2701,'(2018-19c)'!$B45,raw!$E$2:$E$2701,'(2018-19c)'!E$3,raw!$F$2:$F$2701,"Operational training")+SUMIFS(raw!$H$2:$H$2701,raw!$B$2:$B$2701,'(2018-19c)'!$B45,raw!$E$2:$E$2701,'(2018-19c)'!E$3,raw!$F$2:$F$2701, "Fitness training")</f>
        <v>0</v>
      </c>
      <c r="F45" s="36">
        <f>SUMIFS(raw!$H$2:$H$2701,raw!$B$2:$B$2701,'(2018-19c)'!$B45,raw!$E$2:$E$2701,'(2018-19c)'!F$3,raw!$F$2:$F$2701,"Operational training")+SUMIFS(raw!$H$2:$H$2701,raw!$B$2:$B$2701,'(2018-19c)'!$B45,raw!$E$2:$E$2701,'(2018-19c)'!F$3,raw!$F$2:$F$2701, "Fitness training")</f>
        <v>0</v>
      </c>
      <c r="G45" s="223"/>
      <c r="H45" s="223"/>
    </row>
    <row r="46" spans="1:11" ht="13" x14ac:dyDescent="0.3">
      <c r="A46" s="171">
        <v>97</v>
      </c>
      <c r="B46" s="228" t="s">
        <v>49</v>
      </c>
      <c r="C46" s="36">
        <f>SUMIFS(raw!$H$2:$H$2701,raw!$B$2:$B$2701,'(2018-19c)'!$B46,raw!$E$2:$E$2701,'(2018-19c)'!C$3,raw!$F$2:$F$2701,"Operational training")+SUMIFS(raw!$H$2:$H$2701,raw!$B$2:$B$2701,'(2018-19c)'!$B46,raw!$E$2:$E$2701,'(2018-19c)'!C$3,raw!$F$2:$F$2701, "Fitness training")</f>
        <v>8</v>
      </c>
      <c r="D46" s="36">
        <f>SUMIFS(raw!$H$2:$H$2701,raw!$B$2:$B$2701,'(2018-19c)'!$B46,raw!$E$2:$E$2701,'(2018-19c)'!D$3,raw!$F$2:$F$2701,"Operational training")+SUMIFS(raw!$H$2:$H$2701,raw!$B$2:$B$2701,'(2018-19c)'!$B46,raw!$E$2:$E$2701,'(2018-19c)'!D$3,raw!$F$2:$F$2701, "Fitness training")</f>
        <v>1</v>
      </c>
      <c r="E46" s="36">
        <f>SUMIFS(raw!$H$2:$H$2701,raw!$B$2:$B$2701,'(2018-19c)'!$B46,raw!$E$2:$E$2701,'(2018-19c)'!E$3,raw!$F$2:$F$2701,"Operational training")+SUMIFS(raw!$H$2:$H$2701,raw!$B$2:$B$2701,'(2018-19c)'!$B46,raw!$E$2:$E$2701,'(2018-19c)'!E$3,raw!$F$2:$F$2701, "Fitness training")</f>
        <v>0</v>
      </c>
      <c r="F46" s="36">
        <f>SUMIFS(raw!$H$2:$H$2701,raw!$B$2:$B$2701,'(2018-19c)'!$B46,raw!$E$2:$E$2701,'(2018-19c)'!F$3,raw!$F$2:$F$2701,"Operational training")+SUMIFS(raw!$H$2:$H$2701,raw!$B$2:$B$2701,'(2018-19c)'!$B46,raw!$E$2:$E$2701,'(2018-19c)'!F$3,raw!$F$2:$F$2701, "Fitness training")</f>
        <v>0</v>
      </c>
      <c r="G46" s="223"/>
      <c r="H46" s="223"/>
    </row>
    <row r="47" spans="1:11" ht="13" x14ac:dyDescent="0.3">
      <c r="A47" s="171">
        <v>77</v>
      </c>
      <c r="B47" s="228" t="s">
        <v>50</v>
      </c>
      <c r="C47" s="36">
        <f>SUMIFS(raw!$H$2:$H$2701,raw!$B$2:$B$2701,'(2018-19c)'!$B47,raw!$E$2:$E$2701,'(2018-19c)'!C$3,raw!$F$2:$F$2701,"Operational training")+SUMIFS(raw!$H$2:$H$2701,raw!$B$2:$B$2701,'(2018-19c)'!$B47,raw!$E$2:$E$2701,'(2018-19c)'!C$3,raw!$F$2:$F$2701, "Fitness training")</f>
        <v>34</v>
      </c>
      <c r="D47" s="36">
        <f>SUMIFS(raw!$H$2:$H$2701,raw!$B$2:$B$2701,'(2018-19c)'!$B47,raw!$E$2:$E$2701,'(2018-19c)'!D$3,raw!$F$2:$F$2701,"Operational training")+SUMIFS(raw!$H$2:$H$2701,raw!$B$2:$B$2701,'(2018-19c)'!$B47,raw!$E$2:$E$2701,'(2018-19c)'!D$3,raw!$F$2:$F$2701, "Fitness training")</f>
        <v>1</v>
      </c>
      <c r="E47" s="36">
        <f>SUMIFS(raw!$H$2:$H$2701,raw!$B$2:$B$2701,'(2018-19c)'!$B47,raw!$E$2:$E$2701,'(2018-19c)'!E$3,raw!$F$2:$F$2701,"Operational training")+SUMIFS(raw!$H$2:$H$2701,raw!$B$2:$B$2701,'(2018-19c)'!$B47,raw!$E$2:$E$2701,'(2018-19c)'!E$3,raw!$F$2:$F$2701, "Fitness training")</f>
        <v>0</v>
      </c>
      <c r="F47" s="36">
        <f>SUMIFS(raw!$H$2:$H$2701,raw!$B$2:$B$2701,'(2018-19c)'!$B47,raw!$E$2:$E$2701,'(2018-19c)'!F$3,raw!$F$2:$F$2701,"Operational training")+SUMIFS(raw!$H$2:$H$2701,raw!$B$2:$B$2701,'(2018-19c)'!$B47,raw!$E$2:$E$2701,'(2018-19c)'!F$3,raw!$F$2:$F$2701, "Fitness training")</f>
        <v>0</v>
      </c>
      <c r="G47" s="223"/>
      <c r="H47" s="223"/>
    </row>
    <row r="48" spans="1:11" ht="13" x14ac:dyDescent="0.3">
      <c r="B48" s="228" t="s">
        <v>215</v>
      </c>
      <c r="C48" s="36">
        <f>SUMIFS(raw!$H$2:$H$2701,raw!$B$2:$B$2701,'(2018-19c)'!$B48,raw!$E$2:$E$2701,'(2018-19c)'!C$3,raw!$F$2:$F$2701,"Operational training")+SUMIFS(raw!$H$2:$H$2701,raw!$B$2:$B$2701,'(2018-19c)'!$B48,raw!$E$2:$E$2701,'(2018-19c)'!C$3,raw!$F$2:$F$2701, "Fitness training")</f>
        <v>9</v>
      </c>
      <c r="D48" s="36">
        <f>SUMIFS(raw!$H$2:$H$2701,raw!$B$2:$B$2701,'(2018-19c)'!$B48,raw!$E$2:$E$2701,'(2018-19c)'!D$3,raw!$F$2:$F$2701,"Operational training")+SUMIFS(raw!$H$2:$H$2701,raw!$B$2:$B$2701,'(2018-19c)'!$B48,raw!$E$2:$E$2701,'(2018-19c)'!D$3,raw!$F$2:$F$2701, "Fitness training")</f>
        <v>1</v>
      </c>
      <c r="E48" s="36">
        <f>SUMIFS(raw!$H$2:$H$2701,raw!$B$2:$B$2701,'(2018-19c)'!$B48,raw!$E$2:$E$2701,'(2018-19c)'!E$3,raw!$F$2:$F$2701,"Operational training")+SUMIFS(raw!$H$2:$H$2701,raw!$B$2:$B$2701,'(2018-19c)'!$B48,raw!$E$2:$E$2701,'(2018-19c)'!E$3,raw!$F$2:$F$2701, "Fitness training")</f>
        <v>0</v>
      </c>
      <c r="F48" s="36">
        <f>SUMIFS(raw!$H$2:$H$2701,raw!$B$2:$B$2701,'(2018-19c)'!$B48,raw!$E$2:$E$2701,'(2018-19c)'!F$3,raw!$F$2:$F$2701,"Operational training")+SUMIFS(raw!$H$2:$H$2701,raw!$B$2:$B$2701,'(2018-19c)'!$B48,raw!$E$2:$E$2701,'(2018-19c)'!F$3,raw!$F$2:$F$2701, "Fitness training")</f>
        <v>0</v>
      </c>
      <c r="G48" s="223"/>
      <c r="H48" s="223"/>
    </row>
    <row r="49" spans="2:6" ht="13.5" customHeight="1" x14ac:dyDescent="0.3">
      <c r="B49" s="171" t="s">
        <v>52</v>
      </c>
      <c r="C49" s="36">
        <f>SUMIFS(raw!$H$2:$H$2701,raw!$B$2:$B$2701,'(2018-19c)'!$B49,raw!$E$2:$E$2701,'(2018-19c)'!C$3,raw!$F$2:$F$2701,"Operational training")+SUMIFS(raw!$H$2:$H$2701,raw!$B$2:$B$2701,'(2018-19c)'!$B49,raw!$E$2:$E$2701,'(2018-19c)'!C$3,raw!$F$2:$F$2701, "Fitness training")</f>
        <v>35</v>
      </c>
      <c r="D49" s="36">
        <f>SUMIFS(raw!$H$2:$H$2701,raw!$B$2:$B$2701,'(2018-19c)'!$B49,raw!$E$2:$E$2701,'(2018-19c)'!D$3,raw!$F$2:$F$2701,"Operational training")+SUMIFS(raw!$H$2:$H$2701,raw!$B$2:$B$2701,'(2018-19c)'!$B49,raw!$E$2:$E$2701,'(2018-19c)'!D$3,raw!$F$2:$F$2701, "Fitness training")</f>
        <v>2</v>
      </c>
      <c r="E49" s="36">
        <f>SUMIFS(raw!$H$2:$H$2701,raw!$B$2:$B$2701,'(2018-19c)'!$B49,raw!$E$2:$E$2701,'(2018-19c)'!E$3,raw!$F$2:$F$2701,"Operational training")+SUMIFS(raw!$H$2:$H$2701,raw!$B$2:$B$2701,'(2018-19c)'!$B49,raw!$E$2:$E$2701,'(2018-19c)'!E$3,raw!$F$2:$F$2701, "Fitness training")</f>
        <v>1</v>
      </c>
      <c r="F49" s="36">
        <f>SUMIFS(raw!$H$2:$H$2701,raw!$B$2:$B$2701,'(2018-19c)'!$B49,raw!$E$2:$E$2701,'(2018-19c)'!F$3,raw!$F$2:$F$2701,"Operational training")+SUMIFS(raw!$H$2:$H$2701,raw!$B$2:$B$2701,'(2018-19c)'!$B49,raw!$E$2:$E$2701,'(2018-19c)'!F$3,raw!$F$2:$F$2701, "Fitness training")</f>
        <v>0</v>
      </c>
    </row>
    <row r="50" spans="2:6" ht="13.5" customHeight="1" x14ac:dyDescent="0.3">
      <c r="B50" s="233" t="s">
        <v>53</v>
      </c>
      <c r="C50" s="36">
        <f>SUMIFS(raw!$H$2:$H$2701,raw!$B$2:$B$2701,'(2018-19c)'!$B50,raw!$E$2:$E$2701,'(2018-19c)'!C$3,raw!$F$2:$F$2701,"Operational training")+SUMIFS(raw!$H$2:$H$2701,raw!$B$2:$B$2701,'(2018-19c)'!$B50,raw!$E$2:$E$2701,'(2018-19c)'!C$3,raw!$F$2:$F$2701, "Fitness training")</f>
        <v>48</v>
      </c>
      <c r="D50" s="36">
        <f>SUMIFS(raw!$H$2:$H$2701,raw!$B$2:$B$2701,'(2018-19c)'!$B50,raw!$E$2:$E$2701,'(2018-19c)'!D$3,raw!$F$2:$F$2701,"Operational training")+SUMIFS(raw!$H$2:$H$2701,raw!$B$2:$B$2701,'(2018-19c)'!$B50,raw!$E$2:$E$2701,'(2018-19c)'!D$3,raw!$F$2:$F$2701, "Fitness training")</f>
        <v>4</v>
      </c>
      <c r="E50" s="36">
        <f>SUMIFS(raw!$H$2:$H$2701,raw!$B$2:$B$2701,'(2018-19c)'!$B50,raw!$E$2:$E$2701,'(2018-19c)'!E$3,raw!$F$2:$F$2701,"Operational training")+SUMIFS(raw!$H$2:$H$2701,raw!$B$2:$B$2701,'(2018-19c)'!$B50,raw!$E$2:$E$2701,'(2018-19c)'!E$3,raw!$F$2:$F$2701, "Fitness training")</f>
        <v>1</v>
      </c>
      <c r="F50" s="36">
        <f>SUMIFS(raw!$H$2:$H$2701,raw!$B$2:$B$2701,'(2018-19c)'!$B50,raw!$E$2:$E$2701,'(2018-19c)'!F$3,raw!$F$2:$F$2701,"Operational training")+SUMIFS(raw!$H$2:$H$2701,raw!$B$2:$B$2701,'(2018-19c)'!$B50,raw!$E$2:$E$2701,'(2018-19c)'!F$3,raw!$F$2:$F$2701, "Fitness training")</f>
        <v>0</v>
      </c>
    </row>
    <row r="51" spans="2:6" ht="15" customHeight="1" x14ac:dyDescent="0.3">
      <c r="B51" s="234" t="s">
        <v>54</v>
      </c>
      <c r="C51" s="36">
        <f>SUMIFS(raw!$H$2:$H$2701,raw!$B$2:$B$2701,'(2018-19c)'!$B51,raw!$E$2:$E$2701,'(2018-19c)'!C$3,raw!$F$2:$F$2701,"Operational training")+SUMIFS(raw!$H$2:$H$2701,raw!$B$2:$B$2701,'(2018-19c)'!$B51,raw!$E$2:$E$2701,'(2018-19c)'!C$3,raw!$F$2:$F$2701, "Fitness training")</f>
        <v>92</v>
      </c>
      <c r="D51" s="36">
        <f>SUMIFS(raw!$H$2:$H$2701,raw!$B$2:$B$2701,'(2018-19c)'!$B51,raw!$E$2:$E$2701,'(2018-19c)'!D$3,raw!$F$2:$F$2701,"Operational training")+SUMIFS(raw!$H$2:$H$2701,raw!$B$2:$B$2701,'(2018-19c)'!$B51,raw!$E$2:$E$2701,'(2018-19c)'!D$3,raw!$F$2:$F$2701, "Fitness training")</f>
        <v>18</v>
      </c>
      <c r="E51" s="36">
        <f>SUMIFS(raw!$H$2:$H$2701,raw!$B$2:$B$2701,'(2018-19c)'!$B51,raw!$E$2:$E$2701,'(2018-19c)'!E$3,raw!$F$2:$F$2701,"Operational training")+SUMIFS(raw!$H$2:$H$2701,raw!$B$2:$B$2701,'(2018-19c)'!$B51,raw!$E$2:$E$2701,'(2018-19c)'!E$3,raw!$F$2:$F$2701, "Fitness training")</f>
        <v>0</v>
      </c>
      <c r="F51" s="36">
        <f>SUMIFS(raw!$H$2:$H$2701,raw!$B$2:$B$2701,'(2018-19c)'!$B51,raw!$E$2:$E$2701,'(2018-19c)'!F$3,raw!$F$2:$F$2701,"Operational training")+SUMIFS(raw!$H$2:$H$2701,raw!$B$2:$B$2701,'(2018-19c)'!$B51,raw!$E$2:$E$2701,'(2018-19c)'!F$3,raw!$F$2:$F$2701, "Fitness training")</f>
        <v>0</v>
      </c>
    </row>
    <row r="52" spans="2:6" ht="13.5" customHeight="1" x14ac:dyDescent="0.3">
      <c r="B52" s="234"/>
      <c r="C52" s="234"/>
      <c r="D52" s="234"/>
      <c r="E52" s="234"/>
      <c r="F52" s="234"/>
    </row>
    <row r="53" spans="2:6" ht="12.75" customHeight="1" x14ac:dyDescent="0.3">
      <c r="B53" s="234"/>
      <c r="C53" s="234"/>
      <c r="D53" s="234"/>
      <c r="E53" s="234"/>
      <c r="F53" s="234"/>
    </row>
    <row r="54" spans="2:6" ht="15.75" customHeight="1" x14ac:dyDescent="0.3">
      <c r="B54" s="234"/>
      <c r="C54" s="234"/>
      <c r="D54" s="234"/>
      <c r="E54" s="234"/>
      <c r="F54" s="234"/>
    </row>
    <row r="55" spans="2:6" ht="67.5" customHeight="1" x14ac:dyDescent="0.3">
      <c r="B55" s="234"/>
      <c r="C55" s="234"/>
      <c r="D55" s="234"/>
      <c r="E55" s="234"/>
      <c r="F55" s="234"/>
    </row>
    <row r="56" spans="2:6" ht="9.75" customHeight="1" x14ac:dyDescent="0.3">
      <c r="B56" s="235"/>
      <c r="C56" s="236"/>
      <c r="D56" s="236"/>
      <c r="E56" s="236"/>
      <c r="F56" s="236"/>
    </row>
    <row r="57" spans="2:6" x14ac:dyDescent="0.3">
      <c r="B57" s="232"/>
    </row>
    <row r="58" spans="2:6" ht="12.65" customHeight="1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22"/>
  </sheetPr>
  <dimension ref="B1:F64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9.26953125" style="122"/>
    <col min="2" max="2" width="24.7265625" style="122" customWidth="1"/>
    <col min="3" max="4" width="15.26953125" style="122" customWidth="1"/>
    <col min="5" max="5" width="16.54296875" style="122" customWidth="1"/>
    <col min="6" max="6" width="15" style="122" customWidth="1"/>
    <col min="7" max="257" width="9.26953125" style="122"/>
    <col min="258" max="258" width="24.7265625" style="122" customWidth="1"/>
    <col min="259" max="260" width="15.26953125" style="122" customWidth="1"/>
    <col min="261" max="261" width="16.54296875" style="122" customWidth="1"/>
    <col min="262" max="262" width="15" style="122" customWidth="1"/>
    <col min="263" max="513" width="9.26953125" style="122"/>
    <col min="514" max="514" width="24.7265625" style="122" customWidth="1"/>
    <col min="515" max="516" width="15.26953125" style="122" customWidth="1"/>
    <col min="517" max="517" width="16.54296875" style="122" customWidth="1"/>
    <col min="518" max="518" width="15" style="122" customWidth="1"/>
    <col min="519" max="769" width="9.26953125" style="122"/>
    <col min="770" max="770" width="24.7265625" style="122" customWidth="1"/>
    <col min="771" max="772" width="15.26953125" style="122" customWidth="1"/>
    <col min="773" max="773" width="16.54296875" style="122" customWidth="1"/>
    <col min="774" max="774" width="15" style="122" customWidth="1"/>
    <col min="775" max="1025" width="9.26953125" style="122"/>
    <col min="1026" max="1026" width="24.7265625" style="122" customWidth="1"/>
    <col min="1027" max="1028" width="15.26953125" style="122" customWidth="1"/>
    <col min="1029" max="1029" width="16.54296875" style="122" customWidth="1"/>
    <col min="1030" max="1030" width="15" style="122" customWidth="1"/>
    <col min="1031" max="1281" width="9.26953125" style="122"/>
    <col min="1282" max="1282" width="24.7265625" style="122" customWidth="1"/>
    <col min="1283" max="1284" width="15.26953125" style="122" customWidth="1"/>
    <col min="1285" max="1285" width="16.54296875" style="122" customWidth="1"/>
    <col min="1286" max="1286" width="15" style="122" customWidth="1"/>
    <col min="1287" max="1537" width="9.26953125" style="122"/>
    <col min="1538" max="1538" width="24.7265625" style="122" customWidth="1"/>
    <col min="1539" max="1540" width="15.26953125" style="122" customWidth="1"/>
    <col min="1541" max="1541" width="16.54296875" style="122" customWidth="1"/>
    <col min="1542" max="1542" width="15" style="122" customWidth="1"/>
    <col min="1543" max="1793" width="9.26953125" style="122"/>
    <col min="1794" max="1794" width="24.7265625" style="122" customWidth="1"/>
    <col min="1795" max="1796" width="15.26953125" style="122" customWidth="1"/>
    <col min="1797" max="1797" width="16.54296875" style="122" customWidth="1"/>
    <col min="1798" max="1798" width="15" style="122" customWidth="1"/>
    <col min="1799" max="2049" width="9.26953125" style="122"/>
    <col min="2050" max="2050" width="24.7265625" style="122" customWidth="1"/>
    <col min="2051" max="2052" width="15.26953125" style="122" customWidth="1"/>
    <col min="2053" max="2053" width="16.54296875" style="122" customWidth="1"/>
    <col min="2054" max="2054" width="15" style="122" customWidth="1"/>
    <col min="2055" max="2305" width="9.26953125" style="122"/>
    <col min="2306" max="2306" width="24.7265625" style="122" customWidth="1"/>
    <col min="2307" max="2308" width="15.26953125" style="122" customWidth="1"/>
    <col min="2309" max="2309" width="16.54296875" style="122" customWidth="1"/>
    <col min="2310" max="2310" width="15" style="122" customWidth="1"/>
    <col min="2311" max="2561" width="9.26953125" style="122"/>
    <col min="2562" max="2562" width="24.7265625" style="122" customWidth="1"/>
    <col min="2563" max="2564" width="15.26953125" style="122" customWidth="1"/>
    <col min="2565" max="2565" width="16.54296875" style="122" customWidth="1"/>
    <col min="2566" max="2566" width="15" style="122" customWidth="1"/>
    <col min="2567" max="2817" width="9.26953125" style="122"/>
    <col min="2818" max="2818" width="24.7265625" style="122" customWidth="1"/>
    <col min="2819" max="2820" width="15.26953125" style="122" customWidth="1"/>
    <col min="2821" max="2821" width="16.54296875" style="122" customWidth="1"/>
    <col min="2822" max="2822" width="15" style="122" customWidth="1"/>
    <col min="2823" max="3073" width="9.26953125" style="122"/>
    <col min="3074" max="3074" width="24.7265625" style="122" customWidth="1"/>
    <col min="3075" max="3076" width="15.26953125" style="122" customWidth="1"/>
    <col min="3077" max="3077" width="16.54296875" style="122" customWidth="1"/>
    <col min="3078" max="3078" width="15" style="122" customWidth="1"/>
    <col min="3079" max="3329" width="9.26953125" style="122"/>
    <col min="3330" max="3330" width="24.7265625" style="122" customWidth="1"/>
    <col min="3331" max="3332" width="15.26953125" style="122" customWidth="1"/>
    <col min="3333" max="3333" width="16.54296875" style="122" customWidth="1"/>
    <col min="3334" max="3334" width="15" style="122" customWidth="1"/>
    <col min="3335" max="3585" width="9.26953125" style="122"/>
    <col min="3586" max="3586" width="24.7265625" style="122" customWidth="1"/>
    <col min="3587" max="3588" width="15.26953125" style="122" customWidth="1"/>
    <col min="3589" max="3589" width="16.54296875" style="122" customWidth="1"/>
    <col min="3590" max="3590" width="15" style="122" customWidth="1"/>
    <col min="3591" max="3841" width="9.26953125" style="122"/>
    <col min="3842" max="3842" width="24.7265625" style="122" customWidth="1"/>
    <col min="3843" max="3844" width="15.26953125" style="122" customWidth="1"/>
    <col min="3845" max="3845" width="16.54296875" style="122" customWidth="1"/>
    <col min="3846" max="3846" width="15" style="122" customWidth="1"/>
    <col min="3847" max="4097" width="9.26953125" style="122"/>
    <col min="4098" max="4098" width="24.7265625" style="122" customWidth="1"/>
    <col min="4099" max="4100" width="15.26953125" style="122" customWidth="1"/>
    <col min="4101" max="4101" width="16.54296875" style="122" customWidth="1"/>
    <col min="4102" max="4102" width="15" style="122" customWidth="1"/>
    <col min="4103" max="4353" width="9.26953125" style="122"/>
    <col min="4354" max="4354" width="24.7265625" style="122" customWidth="1"/>
    <col min="4355" max="4356" width="15.26953125" style="122" customWidth="1"/>
    <col min="4357" max="4357" width="16.54296875" style="122" customWidth="1"/>
    <col min="4358" max="4358" width="15" style="122" customWidth="1"/>
    <col min="4359" max="4609" width="9.26953125" style="122"/>
    <col min="4610" max="4610" width="24.7265625" style="122" customWidth="1"/>
    <col min="4611" max="4612" width="15.26953125" style="122" customWidth="1"/>
    <col min="4613" max="4613" width="16.54296875" style="122" customWidth="1"/>
    <col min="4614" max="4614" width="15" style="122" customWidth="1"/>
    <col min="4615" max="4865" width="9.26953125" style="122"/>
    <col min="4866" max="4866" width="24.7265625" style="122" customWidth="1"/>
    <col min="4867" max="4868" width="15.26953125" style="122" customWidth="1"/>
    <col min="4869" max="4869" width="16.54296875" style="122" customWidth="1"/>
    <col min="4870" max="4870" width="15" style="122" customWidth="1"/>
    <col min="4871" max="5121" width="9.26953125" style="122"/>
    <col min="5122" max="5122" width="24.7265625" style="122" customWidth="1"/>
    <col min="5123" max="5124" width="15.26953125" style="122" customWidth="1"/>
    <col min="5125" max="5125" width="16.54296875" style="122" customWidth="1"/>
    <col min="5126" max="5126" width="15" style="122" customWidth="1"/>
    <col min="5127" max="5377" width="9.26953125" style="122"/>
    <col min="5378" max="5378" width="24.7265625" style="122" customWidth="1"/>
    <col min="5379" max="5380" width="15.26953125" style="122" customWidth="1"/>
    <col min="5381" max="5381" width="16.54296875" style="122" customWidth="1"/>
    <col min="5382" max="5382" width="15" style="122" customWidth="1"/>
    <col min="5383" max="5633" width="9.26953125" style="122"/>
    <col min="5634" max="5634" width="24.7265625" style="122" customWidth="1"/>
    <col min="5635" max="5636" width="15.26953125" style="122" customWidth="1"/>
    <col min="5637" max="5637" width="16.54296875" style="122" customWidth="1"/>
    <col min="5638" max="5638" width="15" style="122" customWidth="1"/>
    <col min="5639" max="5889" width="9.26953125" style="122"/>
    <col min="5890" max="5890" width="24.7265625" style="122" customWidth="1"/>
    <col min="5891" max="5892" width="15.26953125" style="122" customWidth="1"/>
    <col min="5893" max="5893" width="16.54296875" style="122" customWidth="1"/>
    <col min="5894" max="5894" width="15" style="122" customWidth="1"/>
    <col min="5895" max="6145" width="9.26953125" style="122"/>
    <col min="6146" max="6146" width="24.7265625" style="122" customWidth="1"/>
    <col min="6147" max="6148" width="15.26953125" style="122" customWidth="1"/>
    <col min="6149" max="6149" width="16.54296875" style="122" customWidth="1"/>
    <col min="6150" max="6150" width="15" style="122" customWidth="1"/>
    <col min="6151" max="6401" width="9.26953125" style="122"/>
    <col min="6402" max="6402" width="24.7265625" style="122" customWidth="1"/>
    <col min="6403" max="6404" width="15.26953125" style="122" customWidth="1"/>
    <col min="6405" max="6405" width="16.54296875" style="122" customWidth="1"/>
    <col min="6406" max="6406" width="15" style="122" customWidth="1"/>
    <col min="6407" max="6657" width="9.26953125" style="122"/>
    <col min="6658" max="6658" width="24.7265625" style="122" customWidth="1"/>
    <col min="6659" max="6660" width="15.26953125" style="122" customWidth="1"/>
    <col min="6661" max="6661" width="16.54296875" style="122" customWidth="1"/>
    <col min="6662" max="6662" width="15" style="122" customWidth="1"/>
    <col min="6663" max="6913" width="9.26953125" style="122"/>
    <col min="6914" max="6914" width="24.7265625" style="122" customWidth="1"/>
    <col min="6915" max="6916" width="15.26953125" style="122" customWidth="1"/>
    <col min="6917" max="6917" width="16.54296875" style="122" customWidth="1"/>
    <col min="6918" max="6918" width="15" style="122" customWidth="1"/>
    <col min="6919" max="7169" width="9.26953125" style="122"/>
    <col min="7170" max="7170" width="24.7265625" style="122" customWidth="1"/>
    <col min="7171" max="7172" width="15.26953125" style="122" customWidth="1"/>
    <col min="7173" max="7173" width="16.54296875" style="122" customWidth="1"/>
    <col min="7174" max="7174" width="15" style="122" customWidth="1"/>
    <col min="7175" max="7425" width="9.26953125" style="122"/>
    <col min="7426" max="7426" width="24.7265625" style="122" customWidth="1"/>
    <col min="7427" max="7428" width="15.26953125" style="122" customWidth="1"/>
    <col min="7429" max="7429" width="16.54296875" style="122" customWidth="1"/>
    <col min="7430" max="7430" width="15" style="122" customWidth="1"/>
    <col min="7431" max="7681" width="9.26953125" style="122"/>
    <col min="7682" max="7682" width="24.7265625" style="122" customWidth="1"/>
    <col min="7683" max="7684" width="15.26953125" style="122" customWidth="1"/>
    <col min="7685" max="7685" width="16.54296875" style="122" customWidth="1"/>
    <col min="7686" max="7686" width="15" style="122" customWidth="1"/>
    <col min="7687" max="7937" width="9.26953125" style="122"/>
    <col min="7938" max="7938" width="24.7265625" style="122" customWidth="1"/>
    <col min="7939" max="7940" width="15.26953125" style="122" customWidth="1"/>
    <col min="7941" max="7941" width="16.54296875" style="122" customWidth="1"/>
    <col min="7942" max="7942" width="15" style="122" customWidth="1"/>
    <col min="7943" max="8193" width="9.26953125" style="122"/>
    <col min="8194" max="8194" width="24.7265625" style="122" customWidth="1"/>
    <col min="8195" max="8196" width="15.26953125" style="122" customWidth="1"/>
    <col min="8197" max="8197" width="16.54296875" style="122" customWidth="1"/>
    <col min="8198" max="8198" width="15" style="122" customWidth="1"/>
    <col min="8199" max="8449" width="9.26953125" style="122"/>
    <col min="8450" max="8450" width="24.7265625" style="122" customWidth="1"/>
    <col min="8451" max="8452" width="15.26953125" style="122" customWidth="1"/>
    <col min="8453" max="8453" width="16.54296875" style="122" customWidth="1"/>
    <col min="8454" max="8454" width="15" style="122" customWidth="1"/>
    <col min="8455" max="8705" width="9.26953125" style="122"/>
    <col min="8706" max="8706" width="24.7265625" style="122" customWidth="1"/>
    <col min="8707" max="8708" width="15.26953125" style="122" customWidth="1"/>
    <col min="8709" max="8709" width="16.54296875" style="122" customWidth="1"/>
    <col min="8710" max="8710" width="15" style="122" customWidth="1"/>
    <col min="8711" max="8961" width="9.26953125" style="122"/>
    <col min="8962" max="8962" width="24.7265625" style="122" customWidth="1"/>
    <col min="8963" max="8964" width="15.26953125" style="122" customWidth="1"/>
    <col min="8965" max="8965" width="16.54296875" style="122" customWidth="1"/>
    <col min="8966" max="8966" width="15" style="122" customWidth="1"/>
    <col min="8967" max="9217" width="9.26953125" style="122"/>
    <col min="9218" max="9218" width="24.7265625" style="122" customWidth="1"/>
    <col min="9219" max="9220" width="15.26953125" style="122" customWidth="1"/>
    <col min="9221" max="9221" width="16.54296875" style="122" customWidth="1"/>
    <col min="9222" max="9222" width="15" style="122" customWidth="1"/>
    <col min="9223" max="9473" width="9.26953125" style="122"/>
    <col min="9474" max="9474" width="24.7265625" style="122" customWidth="1"/>
    <col min="9475" max="9476" width="15.26953125" style="122" customWidth="1"/>
    <col min="9477" max="9477" width="16.54296875" style="122" customWidth="1"/>
    <col min="9478" max="9478" width="15" style="122" customWidth="1"/>
    <col min="9479" max="9729" width="9.26953125" style="122"/>
    <col min="9730" max="9730" width="24.7265625" style="122" customWidth="1"/>
    <col min="9731" max="9732" width="15.26953125" style="122" customWidth="1"/>
    <col min="9733" max="9733" width="16.54296875" style="122" customWidth="1"/>
    <col min="9734" max="9734" width="15" style="122" customWidth="1"/>
    <col min="9735" max="9985" width="9.26953125" style="122"/>
    <col min="9986" max="9986" width="24.7265625" style="122" customWidth="1"/>
    <col min="9987" max="9988" width="15.26953125" style="122" customWidth="1"/>
    <col min="9989" max="9989" width="16.54296875" style="122" customWidth="1"/>
    <col min="9990" max="9990" width="15" style="122" customWidth="1"/>
    <col min="9991" max="10241" width="9.26953125" style="122"/>
    <col min="10242" max="10242" width="24.7265625" style="122" customWidth="1"/>
    <col min="10243" max="10244" width="15.26953125" style="122" customWidth="1"/>
    <col min="10245" max="10245" width="16.54296875" style="122" customWidth="1"/>
    <col min="10246" max="10246" width="15" style="122" customWidth="1"/>
    <col min="10247" max="10497" width="9.26953125" style="122"/>
    <col min="10498" max="10498" width="24.7265625" style="122" customWidth="1"/>
    <col min="10499" max="10500" width="15.26953125" style="122" customWidth="1"/>
    <col min="10501" max="10501" width="16.54296875" style="122" customWidth="1"/>
    <col min="10502" max="10502" width="15" style="122" customWidth="1"/>
    <col min="10503" max="10753" width="9.26953125" style="122"/>
    <col min="10754" max="10754" width="24.7265625" style="122" customWidth="1"/>
    <col min="10755" max="10756" width="15.26953125" style="122" customWidth="1"/>
    <col min="10757" max="10757" width="16.54296875" style="122" customWidth="1"/>
    <col min="10758" max="10758" width="15" style="122" customWidth="1"/>
    <col min="10759" max="11009" width="9.26953125" style="122"/>
    <col min="11010" max="11010" width="24.7265625" style="122" customWidth="1"/>
    <col min="11011" max="11012" width="15.26953125" style="122" customWidth="1"/>
    <col min="11013" max="11013" width="16.54296875" style="122" customWidth="1"/>
    <col min="11014" max="11014" width="15" style="122" customWidth="1"/>
    <col min="11015" max="11265" width="9.26953125" style="122"/>
    <col min="11266" max="11266" width="24.7265625" style="122" customWidth="1"/>
    <col min="11267" max="11268" width="15.26953125" style="122" customWidth="1"/>
    <col min="11269" max="11269" width="16.54296875" style="122" customWidth="1"/>
    <col min="11270" max="11270" width="15" style="122" customWidth="1"/>
    <col min="11271" max="11521" width="9.26953125" style="122"/>
    <col min="11522" max="11522" width="24.7265625" style="122" customWidth="1"/>
    <col min="11523" max="11524" width="15.26953125" style="122" customWidth="1"/>
    <col min="11525" max="11525" width="16.54296875" style="122" customWidth="1"/>
    <col min="11526" max="11526" width="15" style="122" customWidth="1"/>
    <col min="11527" max="11777" width="9.26953125" style="122"/>
    <col min="11778" max="11778" width="24.7265625" style="122" customWidth="1"/>
    <col min="11779" max="11780" width="15.26953125" style="122" customWidth="1"/>
    <col min="11781" max="11781" width="16.54296875" style="122" customWidth="1"/>
    <col min="11782" max="11782" width="15" style="122" customWidth="1"/>
    <col min="11783" max="12033" width="9.26953125" style="122"/>
    <col min="12034" max="12034" width="24.7265625" style="122" customWidth="1"/>
    <col min="12035" max="12036" width="15.26953125" style="122" customWidth="1"/>
    <col min="12037" max="12037" width="16.54296875" style="122" customWidth="1"/>
    <col min="12038" max="12038" width="15" style="122" customWidth="1"/>
    <col min="12039" max="12289" width="9.26953125" style="122"/>
    <col min="12290" max="12290" width="24.7265625" style="122" customWidth="1"/>
    <col min="12291" max="12292" width="15.26953125" style="122" customWidth="1"/>
    <col min="12293" max="12293" width="16.54296875" style="122" customWidth="1"/>
    <col min="12294" max="12294" width="15" style="122" customWidth="1"/>
    <col min="12295" max="12545" width="9.26953125" style="122"/>
    <col min="12546" max="12546" width="24.7265625" style="122" customWidth="1"/>
    <col min="12547" max="12548" width="15.26953125" style="122" customWidth="1"/>
    <col min="12549" max="12549" width="16.54296875" style="122" customWidth="1"/>
    <col min="12550" max="12550" width="15" style="122" customWidth="1"/>
    <col min="12551" max="12801" width="9.26953125" style="122"/>
    <col min="12802" max="12802" width="24.7265625" style="122" customWidth="1"/>
    <col min="12803" max="12804" width="15.26953125" style="122" customWidth="1"/>
    <col min="12805" max="12805" width="16.54296875" style="122" customWidth="1"/>
    <col min="12806" max="12806" width="15" style="122" customWidth="1"/>
    <col min="12807" max="13057" width="9.26953125" style="122"/>
    <col min="13058" max="13058" width="24.7265625" style="122" customWidth="1"/>
    <col min="13059" max="13060" width="15.26953125" style="122" customWidth="1"/>
    <col min="13061" max="13061" width="16.54296875" style="122" customWidth="1"/>
    <col min="13062" max="13062" width="15" style="122" customWidth="1"/>
    <col min="13063" max="13313" width="9.26953125" style="122"/>
    <col min="13314" max="13314" width="24.7265625" style="122" customWidth="1"/>
    <col min="13315" max="13316" width="15.26953125" style="122" customWidth="1"/>
    <col min="13317" max="13317" width="16.54296875" style="122" customWidth="1"/>
    <col min="13318" max="13318" width="15" style="122" customWidth="1"/>
    <col min="13319" max="13569" width="9.26953125" style="122"/>
    <col min="13570" max="13570" width="24.7265625" style="122" customWidth="1"/>
    <col min="13571" max="13572" width="15.26953125" style="122" customWidth="1"/>
    <col min="13573" max="13573" width="16.54296875" style="122" customWidth="1"/>
    <col min="13574" max="13574" width="15" style="122" customWidth="1"/>
    <col min="13575" max="13825" width="9.26953125" style="122"/>
    <col min="13826" max="13826" width="24.7265625" style="122" customWidth="1"/>
    <col min="13827" max="13828" width="15.26953125" style="122" customWidth="1"/>
    <col min="13829" max="13829" width="16.54296875" style="122" customWidth="1"/>
    <col min="13830" max="13830" width="15" style="122" customWidth="1"/>
    <col min="13831" max="14081" width="9.26953125" style="122"/>
    <col min="14082" max="14082" width="24.7265625" style="122" customWidth="1"/>
    <col min="14083" max="14084" width="15.26953125" style="122" customWidth="1"/>
    <col min="14085" max="14085" width="16.54296875" style="122" customWidth="1"/>
    <col min="14086" max="14086" width="15" style="122" customWidth="1"/>
    <col min="14087" max="14337" width="9.26953125" style="122"/>
    <col min="14338" max="14338" width="24.7265625" style="122" customWidth="1"/>
    <col min="14339" max="14340" width="15.26953125" style="122" customWidth="1"/>
    <col min="14341" max="14341" width="16.54296875" style="122" customWidth="1"/>
    <col min="14342" max="14342" width="15" style="122" customWidth="1"/>
    <col min="14343" max="14593" width="9.26953125" style="122"/>
    <col min="14594" max="14594" width="24.7265625" style="122" customWidth="1"/>
    <col min="14595" max="14596" width="15.26953125" style="122" customWidth="1"/>
    <col min="14597" max="14597" width="16.54296875" style="122" customWidth="1"/>
    <col min="14598" max="14598" width="15" style="122" customWidth="1"/>
    <col min="14599" max="14849" width="9.26953125" style="122"/>
    <col min="14850" max="14850" width="24.7265625" style="122" customWidth="1"/>
    <col min="14851" max="14852" width="15.26953125" style="122" customWidth="1"/>
    <col min="14853" max="14853" width="16.54296875" style="122" customWidth="1"/>
    <col min="14854" max="14854" width="15" style="122" customWidth="1"/>
    <col min="14855" max="15105" width="9.26953125" style="122"/>
    <col min="15106" max="15106" width="24.7265625" style="122" customWidth="1"/>
    <col min="15107" max="15108" width="15.26953125" style="122" customWidth="1"/>
    <col min="15109" max="15109" width="16.54296875" style="122" customWidth="1"/>
    <col min="15110" max="15110" width="15" style="122" customWidth="1"/>
    <col min="15111" max="15361" width="9.26953125" style="122"/>
    <col min="15362" max="15362" width="24.7265625" style="122" customWidth="1"/>
    <col min="15363" max="15364" width="15.26953125" style="122" customWidth="1"/>
    <col min="15365" max="15365" width="16.54296875" style="122" customWidth="1"/>
    <col min="15366" max="15366" width="15" style="122" customWidth="1"/>
    <col min="15367" max="15617" width="9.26953125" style="122"/>
    <col min="15618" max="15618" width="24.7265625" style="122" customWidth="1"/>
    <col min="15619" max="15620" width="15.26953125" style="122" customWidth="1"/>
    <col min="15621" max="15621" width="16.54296875" style="122" customWidth="1"/>
    <col min="15622" max="15622" width="15" style="122" customWidth="1"/>
    <col min="15623" max="15873" width="9.26953125" style="122"/>
    <col min="15874" max="15874" width="24.7265625" style="122" customWidth="1"/>
    <col min="15875" max="15876" width="15.26953125" style="122" customWidth="1"/>
    <col min="15877" max="15877" width="16.54296875" style="122" customWidth="1"/>
    <col min="15878" max="15878" width="15" style="122" customWidth="1"/>
    <col min="15879" max="16129" width="9.26953125" style="122"/>
    <col min="16130" max="16130" width="24.7265625" style="122" customWidth="1"/>
    <col min="16131" max="16132" width="15.26953125" style="122" customWidth="1"/>
    <col min="16133" max="16133" width="16.54296875" style="122" customWidth="1"/>
    <col min="16134" max="16134" width="15" style="122" customWidth="1"/>
    <col min="16135" max="16384" width="9.26953125" style="122"/>
  </cols>
  <sheetData>
    <row r="1" spans="2:6" ht="50.25" customHeight="1" x14ac:dyDescent="0.3">
      <c r="B1" s="286" t="s">
        <v>115</v>
      </c>
      <c r="C1" s="286"/>
      <c r="D1" s="286"/>
      <c r="E1" s="286"/>
      <c r="F1" s="286"/>
    </row>
    <row r="2" spans="2:6" ht="15.75" customHeight="1" x14ac:dyDescent="0.3">
      <c r="B2" s="287"/>
      <c r="C2" s="297" t="s">
        <v>1</v>
      </c>
      <c r="D2" s="294" t="s">
        <v>2</v>
      </c>
      <c r="E2" s="294"/>
      <c r="F2" s="297" t="s">
        <v>5</v>
      </c>
    </row>
    <row r="3" spans="2:6" ht="39" customHeight="1" x14ac:dyDescent="0.3">
      <c r="B3" s="287"/>
      <c r="C3" s="289"/>
      <c r="D3" s="143" t="s">
        <v>3</v>
      </c>
      <c r="E3" s="143" t="s">
        <v>105</v>
      </c>
      <c r="F3" s="289"/>
    </row>
    <row r="4" spans="2:6" ht="28.5" customHeight="1" x14ac:dyDescent="0.3">
      <c r="B4" s="127" t="s">
        <v>6</v>
      </c>
      <c r="C4" s="159">
        <v>1060</v>
      </c>
      <c r="D4" s="159">
        <v>191</v>
      </c>
      <c r="E4" s="159">
        <v>25</v>
      </c>
      <c r="F4" s="159">
        <v>1</v>
      </c>
    </row>
    <row r="5" spans="2:6" s="152" customFormat="1" ht="26.25" customHeight="1" x14ac:dyDescent="0.3">
      <c r="B5" s="127" t="s">
        <v>7</v>
      </c>
      <c r="C5" s="146">
        <v>656</v>
      </c>
      <c r="D5" s="146">
        <v>101</v>
      </c>
      <c r="E5" s="146">
        <v>15</v>
      </c>
      <c r="F5" s="146">
        <v>1</v>
      </c>
    </row>
    <row r="6" spans="2:6" x14ac:dyDescent="0.3">
      <c r="B6" s="122" t="s">
        <v>8</v>
      </c>
      <c r="C6" s="147">
        <v>25</v>
      </c>
      <c r="D6" s="147">
        <v>3</v>
      </c>
      <c r="E6" s="147">
        <v>0</v>
      </c>
      <c r="F6" s="147">
        <v>0</v>
      </c>
    </row>
    <row r="7" spans="2:6" x14ac:dyDescent="0.3">
      <c r="B7" s="122" t="s">
        <v>9</v>
      </c>
      <c r="C7" s="147">
        <v>22</v>
      </c>
      <c r="D7" s="147">
        <v>5</v>
      </c>
      <c r="E7" s="147">
        <v>0</v>
      </c>
      <c r="F7" s="147">
        <v>0</v>
      </c>
    </row>
    <row r="8" spans="2:6" x14ac:dyDescent="0.3">
      <c r="B8" s="122" t="s">
        <v>10</v>
      </c>
      <c r="C8" s="147">
        <v>34</v>
      </c>
      <c r="D8" s="147">
        <v>1</v>
      </c>
      <c r="E8" s="147">
        <v>0</v>
      </c>
      <c r="F8" s="147">
        <v>0</v>
      </c>
    </row>
    <row r="9" spans="2:6" x14ac:dyDescent="0.3">
      <c r="B9" s="122" t="s">
        <v>11</v>
      </c>
      <c r="C9" s="147">
        <v>20</v>
      </c>
      <c r="D9" s="147">
        <v>2</v>
      </c>
      <c r="E9" s="147">
        <v>0</v>
      </c>
      <c r="F9" s="147">
        <v>0</v>
      </c>
    </row>
    <row r="10" spans="2:6" x14ac:dyDescent="0.3">
      <c r="B10" s="122" t="s">
        <v>12</v>
      </c>
      <c r="C10" s="147">
        <v>33</v>
      </c>
      <c r="D10" s="147">
        <v>5</v>
      </c>
      <c r="E10" s="147">
        <v>0</v>
      </c>
      <c r="F10" s="147">
        <v>0</v>
      </c>
    </row>
    <row r="11" spans="2:6" x14ac:dyDescent="0.3">
      <c r="B11" s="122" t="s">
        <v>13</v>
      </c>
      <c r="C11" s="147">
        <v>2</v>
      </c>
      <c r="D11" s="147">
        <v>0</v>
      </c>
      <c r="E11" s="147">
        <v>0</v>
      </c>
      <c r="F11" s="147">
        <v>0</v>
      </c>
    </row>
    <row r="12" spans="2:6" x14ac:dyDescent="0.3">
      <c r="B12" s="122" t="s">
        <v>14</v>
      </c>
      <c r="C12" s="147">
        <v>10</v>
      </c>
      <c r="D12" s="147">
        <v>1</v>
      </c>
      <c r="E12" s="147">
        <v>0</v>
      </c>
      <c r="F12" s="147">
        <v>0</v>
      </c>
    </row>
    <row r="13" spans="2:6" x14ac:dyDescent="0.3">
      <c r="B13" s="122" t="s">
        <v>15</v>
      </c>
      <c r="C13" s="147">
        <v>7</v>
      </c>
      <c r="D13" s="147">
        <v>0</v>
      </c>
      <c r="E13" s="147">
        <v>0</v>
      </c>
      <c r="F13" s="147">
        <v>0</v>
      </c>
    </row>
    <row r="14" spans="2:6" x14ac:dyDescent="0.3">
      <c r="B14" s="122" t="s">
        <v>16</v>
      </c>
      <c r="C14" s="147">
        <v>10</v>
      </c>
      <c r="D14" s="147">
        <v>1</v>
      </c>
      <c r="E14" s="147">
        <v>0</v>
      </c>
      <c r="F14" s="147">
        <v>1</v>
      </c>
    </row>
    <row r="15" spans="2:6" x14ac:dyDescent="0.3">
      <c r="B15" s="122" t="s">
        <v>17</v>
      </c>
      <c r="C15" s="147">
        <v>14</v>
      </c>
      <c r="D15" s="147">
        <v>3</v>
      </c>
      <c r="E15" s="147">
        <v>0</v>
      </c>
      <c r="F15" s="147">
        <v>0</v>
      </c>
    </row>
    <row r="16" spans="2:6" x14ac:dyDescent="0.3">
      <c r="B16" s="149" t="s">
        <v>18</v>
      </c>
      <c r="C16" s="147">
        <v>31</v>
      </c>
      <c r="D16" s="147">
        <v>6</v>
      </c>
      <c r="E16" s="147">
        <v>0</v>
      </c>
      <c r="F16" s="147">
        <v>0</v>
      </c>
    </row>
    <row r="17" spans="2:6" s="181" customFormat="1" x14ac:dyDescent="0.3">
      <c r="B17" s="130" t="s">
        <v>122</v>
      </c>
      <c r="C17" s="163">
        <v>28</v>
      </c>
      <c r="D17" s="163">
        <v>3</v>
      </c>
      <c r="E17" s="163">
        <v>1</v>
      </c>
      <c r="F17" s="163">
        <v>0</v>
      </c>
    </row>
    <row r="18" spans="2:6" x14ac:dyDescent="0.3">
      <c r="B18" s="122" t="s">
        <v>20</v>
      </c>
      <c r="C18" s="147">
        <v>12</v>
      </c>
      <c r="D18" s="147">
        <v>1</v>
      </c>
      <c r="E18" s="147">
        <v>0</v>
      </c>
      <c r="F18" s="147">
        <v>0</v>
      </c>
    </row>
    <row r="19" spans="2:6" x14ac:dyDescent="0.3">
      <c r="B19" s="122" t="s">
        <v>21</v>
      </c>
      <c r="C19" s="147">
        <v>27</v>
      </c>
      <c r="D19" s="147">
        <v>4</v>
      </c>
      <c r="E19" s="147">
        <v>1</v>
      </c>
      <c r="F19" s="147">
        <v>0</v>
      </c>
    </row>
    <row r="20" spans="2:6" x14ac:dyDescent="0.3">
      <c r="B20" s="122" t="s">
        <v>22</v>
      </c>
      <c r="C20" s="147">
        <v>35</v>
      </c>
      <c r="D20" s="147">
        <v>10</v>
      </c>
      <c r="E20" s="147">
        <v>0</v>
      </c>
      <c r="F20" s="147">
        <v>0</v>
      </c>
    </row>
    <row r="21" spans="2:6" x14ac:dyDescent="0.3">
      <c r="B21" s="122" t="s">
        <v>23</v>
      </c>
      <c r="C21" s="147">
        <v>12</v>
      </c>
      <c r="D21" s="147">
        <v>1</v>
      </c>
      <c r="E21" s="147">
        <v>0</v>
      </c>
      <c r="F21" s="147">
        <v>0</v>
      </c>
    </row>
    <row r="22" spans="2:6" ht="14.5" x14ac:dyDescent="0.3">
      <c r="B22" s="122" t="s">
        <v>106</v>
      </c>
      <c r="C22" s="147">
        <v>18</v>
      </c>
      <c r="D22" s="147">
        <v>2</v>
      </c>
      <c r="E22" s="147">
        <v>2</v>
      </c>
      <c r="F22" s="147">
        <v>0</v>
      </c>
    </row>
    <row r="23" spans="2:6" x14ac:dyDescent="0.3">
      <c r="B23" s="122" t="s">
        <v>25</v>
      </c>
      <c r="C23" s="147">
        <v>20</v>
      </c>
      <c r="D23" s="147">
        <v>3</v>
      </c>
      <c r="E23" s="147">
        <v>1</v>
      </c>
      <c r="F23" s="147">
        <v>0</v>
      </c>
    </row>
    <row r="24" spans="2:6" x14ac:dyDescent="0.3">
      <c r="B24" s="122" t="s">
        <v>26</v>
      </c>
      <c r="C24" s="147">
        <v>20</v>
      </c>
      <c r="D24" s="147">
        <v>3</v>
      </c>
      <c r="E24" s="147">
        <v>2</v>
      </c>
      <c r="F24" s="147">
        <v>0</v>
      </c>
    </row>
    <row r="25" spans="2:6" x14ac:dyDescent="0.3">
      <c r="B25" s="122" t="s">
        <v>27</v>
      </c>
      <c r="C25" s="147">
        <v>22</v>
      </c>
      <c r="D25" s="147">
        <v>4</v>
      </c>
      <c r="E25" s="147">
        <v>0</v>
      </c>
      <c r="F25" s="147">
        <v>0</v>
      </c>
    </row>
    <row r="26" spans="2:6" x14ac:dyDescent="0.3">
      <c r="B26" s="150" t="s">
        <v>28</v>
      </c>
      <c r="C26" s="147">
        <v>1</v>
      </c>
      <c r="D26" s="147">
        <v>0</v>
      </c>
      <c r="E26" s="147">
        <v>0</v>
      </c>
      <c r="F26" s="147">
        <v>0</v>
      </c>
    </row>
    <row r="27" spans="2:6" x14ac:dyDescent="0.3">
      <c r="B27" s="122" t="s">
        <v>29</v>
      </c>
      <c r="C27" s="147">
        <v>20</v>
      </c>
      <c r="D27" s="147">
        <v>3</v>
      </c>
      <c r="E27" s="147">
        <v>0</v>
      </c>
      <c r="F27" s="147">
        <v>0</v>
      </c>
    </row>
    <row r="28" spans="2:6" x14ac:dyDescent="0.3">
      <c r="B28" s="122" t="s">
        <v>30</v>
      </c>
      <c r="C28" s="147">
        <v>23</v>
      </c>
      <c r="D28" s="147">
        <v>6</v>
      </c>
      <c r="E28" s="147">
        <v>0</v>
      </c>
      <c r="F28" s="147">
        <v>0</v>
      </c>
    </row>
    <row r="29" spans="2:6" x14ac:dyDescent="0.3">
      <c r="B29" s="122" t="s">
        <v>31</v>
      </c>
      <c r="C29" s="147">
        <v>8</v>
      </c>
      <c r="D29" s="147">
        <v>1</v>
      </c>
      <c r="E29" s="147">
        <v>0</v>
      </c>
      <c r="F29" s="147">
        <v>0</v>
      </c>
    </row>
    <row r="30" spans="2:6" x14ac:dyDescent="0.3">
      <c r="B30" s="122" t="s">
        <v>32</v>
      </c>
      <c r="C30" s="147">
        <v>6</v>
      </c>
      <c r="D30" s="147">
        <v>3</v>
      </c>
      <c r="E30" s="147">
        <v>0</v>
      </c>
      <c r="F30" s="147">
        <v>0</v>
      </c>
    </row>
    <row r="31" spans="2:6" x14ac:dyDescent="0.3">
      <c r="B31" s="122" t="s">
        <v>33</v>
      </c>
      <c r="C31" s="147">
        <v>19</v>
      </c>
      <c r="D31" s="147">
        <v>2</v>
      </c>
      <c r="E31" s="147">
        <v>0</v>
      </c>
      <c r="F31" s="147">
        <v>0</v>
      </c>
    </row>
    <row r="32" spans="2:6" x14ac:dyDescent="0.3">
      <c r="B32" s="122" t="s">
        <v>34</v>
      </c>
      <c r="C32" s="147">
        <v>15</v>
      </c>
      <c r="D32" s="147">
        <v>1</v>
      </c>
      <c r="E32" s="147">
        <v>0</v>
      </c>
      <c r="F32" s="147">
        <v>0</v>
      </c>
    </row>
    <row r="33" spans="2:6" x14ac:dyDescent="0.3">
      <c r="B33" s="122" t="s">
        <v>35</v>
      </c>
      <c r="C33" s="147">
        <v>27</v>
      </c>
      <c r="D33" s="147">
        <v>4</v>
      </c>
      <c r="E33" s="147">
        <v>0</v>
      </c>
      <c r="F33" s="147">
        <v>0</v>
      </c>
    </row>
    <row r="34" spans="2:6" x14ac:dyDescent="0.3">
      <c r="B34" s="122" t="s">
        <v>36</v>
      </c>
      <c r="C34" s="147">
        <v>10</v>
      </c>
      <c r="D34" s="147">
        <v>5</v>
      </c>
      <c r="E34" s="147">
        <v>5</v>
      </c>
      <c r="F34" s="147">
        <v>0</v>
      </c>
    </row>
    <row r="35" spans="2:6" x14ac:dyDescent="0.3">
      <c r="B35" s="122" t="s">
        <v>37</v>
      </c>
      <c r="C35" s="147">
        <v>15</v>
      </c>
      <c r="D35" s="147">
        <v>6</v>
      </c>
      <c r="E35" s="147">
        <v>0</v>
      </c>
      <c r="F35" s="147">
        <v>0</v>
      </c>
    </row>
    <row r="36" spans="2:6" x14ac:dyDescent="0.3">
      <c r="B36" s="122" t="s">
        <v>38</v>
      </c>
      <c r="C36" s="147">
        <v>7</v>
      </c>
      <c r="D36" s="147">
        <v>1</v>
      </c>
      <c r="E36" s="147">
        <v>0</v>
      </c>
      <c r="F36" s="147">
        <v>0</v>
      </c>
    </row>
    <row r="37" spans="2:6" x14ac:dyDescent="0.3">
      <c r="B37" s="122" t="s">
        <v>39</v>
      </c>
      <c r="C37" s="147">
        <v>13</v>
      </c>
      <c r="D37" s="147">
        <v>0</v>
      </c>
      <c r="E37" s="147">
        <v>1</v>
      </c>
      <c r="F37" s="147">
        <v>0</v>
      </c>
    </row>
    <row r="38" spans="2:6" x14ac:dyDescent="0.3">
      <c r="B38" s="122" t="s">
        <v>40</v>
      </c>
      <c r="C38" s="147">
        <v>20</v>
      </c>
      <c r="D38" s="147">
        <v>1</v>
      </c>
      <c r="E38" s="147">
        <v>0</v>
      </c>
      <c r="F38" s="147">
        <v>0</v>
      </c>
    </row>
    <row r="39" spans="2:6" x14ac:dyDescent="0.3">
      <c r="B39" s="122" t="s">
        <v>41</v>
      </c>
      <c r="C39" s="147">
        <v>14</v>
      </c>
      <c r="D39" s="147">
        <v>3</v>
      </c>
      <c r="E39" s="147">
        <v>1</v>
      </c>
      <c r="F39" s="147">
        <v>0</v>
      </c>
    </row>
    <row r="40" spans="2:6" x14ac:dyDescent="0.3">
      <c r="B40" s="122" t="s">
        <v>42</v>
      </c>
      <c r="C40" s="147">
        <v>29</v>
      </c>
      <c r="D40" s="147">
        <v>2</v>
      </c>
      <c r="E40" s="147">
        <v>1</v>
      </c>
      <c r="F40" s="147">
        <v>0</v>
      </c>
    </row>
    <row r="41" spans="2:6" x14ac:dyDescent="0.3">
      <c r="B41" s="122" t="s">
        <v>43</v>
      </c>
      <c r="C41" s="147">
        <v>7</v>
      </c>
      <c r="D41" s="147">
        <v>3</v>
      </c>
      <c r="E41" s="147">
        <v>0</v>
      </c>
      <c r="F41" s="147">
        <v>0</v>
      </c>
    </row>
    <row r="42" spans="2:6" x14ac:dyDescent="0.3">
      <c r="B42" s="122" t="s">
        <v>44</v>
      </c>
      <c r="C42" s="147">
        <v>20</v>
      </c>
      <c r="D42" s="147">
        <v>2</v>
      </c>
      <c r="E42" s="147">
        <v>0</v>
      </c>
      <c r="F42" s="147">
        <v>0</v>
      </c>
    </row>
    <row r="43" spans="2:6" x14ac:dyDescent="0.3">
      <c r="B43" s="150" t="s">
        <v>46</v>
      </c>
      <c r="C43" s="147">
        <v>0</v>
      </c>
      <c r="D43" s="147">
        <v>0</v>
      </c>
      <c r="E43" s="147">
        <v>0</v>
      </c>
      <c r="F43" s="147">
        <v>0</v>
      </c>
    </row>
    <row r="44" spans="2:6" s="152" customFormat="1" ht="26.25" customHeight="1" x14ac:dyDescent="0.3">
      <c r="B44" s="127" t="s">
        <v>47</v>
      </c>
      <c r="C44" s="146">
        <v>404</v>
      </c>
      <c r="D44" s="146">
        <v>90</v>
      </c>
      <c r="E44" s="146">
        <v>10</v>
      </c>
      <c r="F44" s="146">
        <v>0</v>
      </c>
    </row>
    <row r="45" spans="2:6" x14ac:dyDescent="0.3">
      <c r="B45" s="122" t="s">
        <v>48</v>
      </c>
      <c r="C45" s="147">
        <v>24</v>
      </c>
      <c r="D45" s="147">
        <v>6</v>
      </c>
      <c r="E45" s="147">
        <v>0</v>
      </c>
      <c r="F45" s="147">
        <v>0</v>
      </c>
    </row>
    <row r="46" spans="2:6" x14ac:dyDescent="0.3">
      <c r="B46" s="122" t="s">
        <v>49</v>
      </c>
      <c r="C46" s="148">
        <v>28</v>
      </c>
      <c r="D46" s="148">
        <v>1</v>
      </c>
      <c r="E46" s="148">
        <v>0</v>
      </c>
      <c r="F46" s="148">
        <v>0</v>
      </c>
    </row>
    <row r="47" spans="2:6" x14ac:dyDescent="0.3">
      <c r="B47" s="122" t="s">
        <v>50</v>
      </c>
      <c r="C47" s="148">
        <v>43</v>
      </c>
      <c r="D47" s="148">
        <v>8</v>
      </c>
      <c r="E47" s="148">
        <v>0</v>
      </c>
      <c r="F47" s="148">
        <v>0</v>
      </c>
    </row>
    <row r="48" spans="2:6" x14ac:dyDescent="0.3">
      <c r="B48" s="122" t="s">
        <v>51</v>
      </c>
      <c r="C48" s="148">
        <v>11</v>
      </c>
      <c r="D48" s="148">
        <v>1</v>
      </c>
      <c r="E48" s="148">
        <v>1</v>
      </c>
      <c r="F48" s="148">
        <v>0</v>
      </c>
    </row>
    <row r="49" spans="2:6" x14ac:dyDescent="0.3">
      <c r="B49" s="122" t="s">
        <v>52</v>
      </c>
      <c r="C49" s="148">
        <v>59</v>
      </c>
      <c r="D49" s="148">
        <v>7</v>
      </c>
      <c r="E49" s="148">
        <v>0</v>
      </c>
      <c r="F49" s="148">
        <v>0</v>
      </c>
    </row>
    <row r="50" spans="2:6" x14ac:dyDescent="0.3">
      <c r="B50" s="122" t="s">
        <v>53</v>
      </c>
      <c r="C50" s="148">
        <v>57</v>
      </c>
      <c r="D50" s="148">
        <v>2</v>
      </c>
      <c r="E50" s="148">
        <v>1</v>
      </c>
      <c r="F50" s="148">
        <v>0</v>
      </c>
    </row>
    <row r="51" spans="2:6" x14ac:dyDescent="0.3">
      <c r="B51" s="154" t="s">
        <v>54</v>
      </c>
      <c r="C51" s="156">
        <v>182</v>
      </c>
      <c r="D51" s="156">
        <v>65</v>
      </c>
      <c r="E51" s="156">
        <v>8</v>
      </c>
      <c r="F51" s="156">
        <v>0</v>
      </c>
    </row>
    <row r="52" spans="2:6" x14ac:dyDescent="0.3">
      <c r="C52" s="139"/>
      <c r="D52" s="139"/>
      <c r="E52" s="139"/>
      <c r="F52" s="139"/>
    </row>
    <row r="53" spans="2:6" x14ac:dyDescent="0.3">
      <c r="B53" s="12" t="s">
        <v>55</v>
      </c>
    </row>
    <row r="54" spans="2:6" ht="13.5" customHeight="1" x14ac:dyDescent="0.3">
      <c r="B54" s="122" t="s">
        <v>107</v>
      </c>
    </row>
    <row r="55" spans="2:6" ht="31.5" customHeight="1" x14ac:dyDescent="0.3">
      <c r="B55" s="291" t="s">
        <v>116</v>
      </c>
      <c r="C55" s="292"/>
      <c r="D55" s="292"/>
      <c r="E55" s="292"/>
      <c r="F55" s="292"/>
    </row>
    <row r="56" spans="2:6" ht="15" customHeight="1" x14ac:dyDescent="0.3">
      <c r="B56" s="292"/>
      <c r="C56" s="292"/>
      <c r="D56" s="292"/>
      <c r="E56" s="292"/>
      <c r="F56" s="292"/>
    </row>
    <row r="57" spans="2:6" ht="13.5" customHeight="1" x14ac:dyDescent="0.3">
      <c r="B57" s="292"/>
      <c r="C57" s="292"/>
      <c r="D57" s="292"/>
      <c r="E57" s="292"/>
      <c r="F57" s="292"/>
    </row>
    <row r="58" spans="2:6" ht="12.75" customHeight="1" x14ac:dyDescent="0.3">
      <c r="B58" s="292"/>
      <c r="C58" s="292"/>
      <c r="D58" s="292"/>
      <c r="E58" s="292"/>
      <c r="F58" s="292"/>
    </row>
    <row r="59" spans="2:6" ht="15.75" customHeight="1" x14ac:dyDescent="0.3">
      <c r="B59" s="292"/>
      <c r="C59" s="292"/>
      <c r="D59" s="292"/>
      <c r="E59" s="292"/>
      <c r="F59" s="292"/>
    </row>
    <row r="60" spans="2:6" ht="39" customHeight="1" x14ac:dyDescent="0.3">
      <c r="B60" s="292"/>
      <c r="C60" s="292"/>
      <c r="D60" s="292"/>
      <c r="E60" s="292"/>
      <c r="F60" s="292"/>
    </row>
    <row r="61" spans="2:6" ht="15" customHeight="1" x14ac:dyDescent="0.3">
      <c r="B61" s="57"/>
      <c r="C61" s="57"/>
      <c r="D61" s="57"/>
      <c r="E61" s="57"/>
      <c r="F61" s="57"/>
    </row>
    <row r="62" spans="2:6" x14ac:dyDescent="0.3">
      <c r="B62" s="138" t="s">
        <v>109</v>
      </c>
    </row>
    <row r="64" spans="2:6" x14ac:dyDescent="0.3">
      <c r="B64" s="141"/>
    </row>
  </sheetData>
  <mergeCells count="6">
    <mergeCell ref="B55:F60"/>
    <mergeCell ref="B1:F1"/>
    <mergeCell ref="B2:B3"/>
    <mergeCell ref="C2:C3"/>
    <mergeCell ref="D2:E2"/>
    <mergeCell ref="F2:F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7D3A2-A13F-41B1-995C-A20E1D0FFB49}">
  <sheetPr codeName="Sheet49">
    <tabColor rgb="FFFF0000"/>
  </sheetPr>
  <dimension ref="A1:K59"/>
  <sheetViews>
    <sheetView workbookViewId="0">
      <selection activeCell="A4" sqref="A2:J4"/>
    </sheetView>
  </sheetViews>
  <sheetFormatPr defaultRowHeight="12.5" x14ac:dyDescent="0.3"/>
  <cols>
    <col min="1" max="1" width="3.26953125" style="1" customWidth="1"/>
    <col min="2" max="2" width="24.7265625" style="216" customWidth="1"/>
    <col min="3" max="3" width="18" style="52" customWidth="1"/>
    <col min="4" max="4" width="18.453125" style="52" customWidth="1"/>
    <col min="5" max="5" width="13.7265625" style="52" customWidth="1"/>
    <col min="6" max="6" width="14" style="52" customWidth="1"/>
    <col min="7" max="256" width="8.7265625" style="216"/>
    <col min="257" max="257" width="0" style="216" hidden="1" customWidth="1"/>
    <col min="258" max="258" width="24.7265625" style="216" customWidth="1"/>
    <col min="259" max="259" width="18" style="216" customWidth="1"/>
    <col min="260" max="260" width="18.453125" style="216" customWidth="1"/>
    <col min="261" max="261" width="13.7265625" style="216" customWidth="1"/>
    <col min="262" max="262" width="14" style="216" customWidth="1"/>
    <col min="263" max="512" width="8.7265625" style="216"/>
    <col min="513" max="513" width="0" style="216" hidden="1" customWidth="1"/>
    <col min="514" max="514" width="24.7265625" style="216" customWidth="1"/>
    <col min="515" max="515" width="18" style="216" customWidth="1"/>
    <col min="516" max="516" width="18.453125" style="216" customWidth="1"/>
    <col min="517" max="517" width="13.7265625" style="216" customWidth="1"/>
    <col min="518" max="518" width="14" style="216" customWidth="1"/>
    <col min="519" max="768" width="8.7265625" style="216"/>
    <col min="769" max="769" width="0" style="216" hidden="1" customWidth="1"/>
    <col min="770" max="770" width="24.7265625" style="216" customWidth="1"/>
    <col min="771" max="771" width="18" style="216" customWidth="1"/>
    <col min="772" max="772" width="18.453125" style="216" customWidth="1"/>
    <col min="773" max="773" width="13.7265625" style="216" customWidth="1"/>
    <col min="774" max="774" width="14" style="216" customWidth="1"/>
    <col min="775" max="1024" width="8.7265625" style="216"/>
    <col min="1025" max="1025" width="0" style="216" hidden="1" customWidth="1"/>
    <col min="1026" max="1026" width="24.7265625" style="216" customWidth="1"/>
    <col min="1027" max="1027" width="18" style="216" customWidth="1"/>
    <col min="1028" max="1028" width="18.453125" style="216" customWidth="1"/>
    <col min="1029" max="1029" width="13.7265625" style="216" customWidth="1"/>
    <col min="1030" max="1030" width="14" style="216" customWidth="1"/>
    <col min="1031" max="1280" width="8.7265625" style="216"/>
    <col min="1281" max="1281" width="0" style="216" hidden="1" customWidth="1"/>
    <col min="1282" max="1282" width="24.7265625" style="216" customWidth="1"/>
    <col min="1283" max="1283" width="18" style="216" customWidth="1"/>
    <col min="1284" max="1284" width="18.453125" style="216" customWidth="1"/>
    <col min="1285" max="1285" width="13.7265625" style="216" customWidth="1"/>
    <col min="1286" max="1286" width="14" style="216" customWidth="1"/>
    <col min="1287" max="1536" width="8.7265625" style="216"/>
    <col min="1537" max="1537" width="0" style="216" hidden="1" customWidth="1"/>
    <col min="1538" max="1538" width="24.7265625" style="216" customWidth="1"/>
    <col min="1539" max="1539" width="18" style="216" customWidth="1"/>
    <col min="1540" max="1540" width="18.453125" style="216" customWidth="1"/>
    <col min="1541" max="1541" width="13.7265625" style="216" customWidth="1"/>
    <col min="1542" max="1542" width="14" style="216" customWidth="1"/>
    <col min="1543" max="1792" width="8.7265625" style="216"/>
    <col min="1793" max="1793" width="0" style="216" hidden="1" customWidth="1"/>
    <col min="1794" max="1794" width="24.7265625" style="216" customWidth="1"/>
    <col min="1795" max="1795" width="18" style="216" customWidth="1"/>
    <col min="1796" max="1796" width="18.453125" style="216" customWidth="1"/>
    <col min="1797" max="1797" width="13.7265625" style="216" customWidth="1"/>
    <col min="1798" max="1798" width="14" style="216" customWidth="1"/>
    <col min="1799" max="2048" width="8.7265625" style="216"/>
    <col min="2049" max="2049" width="0" style="216" hidden="1" customWidth="1"/>
    <col min="2050" max="2050" width="24.7265625" style="216" customWidth="1"/>
    <col min="2051" max="2051" width="18" style="216" customWidth="1"/>
    <col min="2052" max="2052" width="18.453125" style="216" customWidth="1"/>
    <col min="2053" max="2053" width="13.7265625" style="216" customWidth="1"/>
    <col min="2054" max="2054" width="14" style="216" customWidth="1"/>
    <col min="2055" max="2304" width="8.7265625" style="216"/>
    <col min="2305" max="2305" width="0" style="216" hidden="1" customWidth="1"/>
    <col min="2306" max="2306" width="24.7265625" style="216" customWidth="1"/>
    <col min="2307" max="2307" width="18" style="216" customWidth="1"/>
    <col min="2308" max="2308" width="18.453125" style="216" customWidth="1"/>
    <col min="2309" max="2309" width="13.7265625" style="216" customWidth="1"/>
    <col min="2310" max="2310" width="14" style="216" customWidth="1"/>
    <col min="2311" max="2560" width="8.7265625" style="216"/>
    <col min="2561" max="2561" width="0" style="216" hidden="1" customWidth="1"/>
    <col min="2562" max="2562" width="24.7265625" style="216" customWidth="1"/>
    <col min="2563" max="2563" width="18" style="216" customWidth="1"/>
    <col min="2564" max="2564" width="18.453125" style="216" customWidth="1"/>
    <col min="2565" max="2565" width="13.7265625" style="216" customWidth="1"/>
    <col min="2566" max="2566" width="14" style="216" customWidth="1"/>
    <col min="2567" max="2816" width="8.7265625" style="216"/>
    <col min="2817" max="2817" width="0" style="216" hidden="1" customWidth="1"/>
    <col min="2818" max="2818" width="24.7265625" style="216" customWidth="1"/>
    <col min="2819" max="2819" width="18" style="216" customWidth="1"/>
    <col min="2820" max="2820" width="18.453125" style="216" customWidth="1"/>
    <col min="2821" max="2821" width="13.7265625" style="216" customWidth="1"/>
    <col min="2822" max="2822" width="14" style="216" customWidth="1"/>
    <col min="2823" max="3072" width="8.7265625" style="216"/>
    <col min="3073" max="3073" width="0" style="216" hidden="1" customWidth="1"/>
    <col min="3074" max="3074" width="24.7265625" style="216" customWidth="1"/>
    <col min="3075" max="3075" width="18" style="216" customWidth="1"/>
    <col min="3076" max="3076" width="18.453125" style="216" customWidth="1"/>
    <col min="3077" max="3077" width="13.7265625" style="216" customWidth="1"/>
    <col min="3078" max="3078" width="14" style="216" customWidth="1"/>
    <col min="3079" max="3328" width="8.7265625" style="216"/>
    <col min="3329" max="3329" width="0" style="216" hidden="1" customWidth="1"/>
    <col min="3330" max="3330" width="24.7265625" style="216" customWidth="1"/>
    <col min="3331" max="3331" width="18" style="216" customWidth="1"/>
    <col min="3332" max="3332" width="18.453125" style="216" customWidth="1"/>
    <col min="3333" max="3333" width="13.7265625" style="216" customWidth="1"/>
    <col min="3334" max="3334" width="14" style="216" customWidth="1"/>
    <col min="3335" max="3584" width="8.7265625" style="216"/>
    <col min="3585" max="3585" width="0" style="216" hidden="1" customWidth="1"/>
    <col min="3586" max="3586" width="24.7265625" style="216" customWidth="1"/>
    <col min="3587" max="3587" width="18" style="216" customWidth="1"/>
    <col min="3588" max="3588" width="18.453125" style="216" customWidth="1"/>
    <col min="3589" max="3589" width="13.7265625" style="216" customWidth="1"/>
    <col min="3590" max="3590" width="14" style="216" customWidth="1"/>
    <col min="3591" max="3840" width="8.7265625" style="216"/>
    <col min="3841" max="3841" width="0" style="216" hidden="1" customWidth="1"/>
    <col min="3842" max="3842" width="24.7265625" style="216" customWidth="1"/>
    <col min="3843" max="3843" width="18" style="216" customWidth="1"/>
    <col min="3844" max="3844" width="18.453125" style="216" customWidth="1"/>
    <col min="3845" max="3845" width="13.7265625" style="216" customWidth="1"/>
    <col min="3846" max="3846" width="14" style="216" customWidth="1"/>
    <col min="3847" max="4096" width="8.7265625" style="216"/>
    <col min="4097" max="4097" width="0" style="216" hidden="1" customWidth="1"/>
    <col min="4098" max="4098" width="24.7265625" style="216" customWidth="1"/>
    <col min="4099" max="4099" width="18" style="216" customWidth="1"/>
    <col min="4100" max="4100" width="18.453125" style="216" customWidth="1"/>
    <col min="4101" max="4101" width="13.7265625" style="216" customWidth="1"/>
    <col min="4102" max="4102" width="14" style="216" customWidth="1"/>
    <col min="4103" max="4352" width="8.7265625" style="216"/>
    <col min="4353" max="4353" width="0" style="216" hidden="1" customWidth="1"/>
    <col min="4354" max="4354" width="24.7265625" style="216" customWidth="1"/>
    <col min="4355" max="4355" width="18" style="216" customWidth="1"/>
    <col min="4356" max="4356" width="18.453125" style="216" customWidth="1"/>
    <col min="4357" max="4357" width="13.7265625" style="216" customWidth="1"/>
    <col min="4358" max="4358" width="14" style="216" customWidth="1"/>
    <col min="4359" max="4608" width="8.7265625" style="216"/>
    <col min="4609" max="4609" width="0" style="216" hidden="1" customWidth="1"/>
    <col min="4610" max="4610" width="24.7265625" style="216" customWidth="1"/>
    <col min="4611" max="4611" width="18" style="216" customWidth="1"/>
    <col min="4612" max="4612" width="18.453125" style="216" customWidth="1"/>
    <col min="4613" max="4613" width="13.7265625" style="216" customWidth="1"/>
    <col min="4614" max="4614" width="14" style="216" customWidth="1"/>
    <col min="4615" max="4864" width="8.7265625" style="216"/>
    <col min="4865" max="4865" width="0" style="216" hidden="1" customWidth="1"/>
    <col min="4866" max="4866" width="24.7265625" style="216" customWidth="1"/>
    <col min="4867" max="4867" width="18" style="216" customWidth="1"/>
    <col min="4868" max="4868" width="18.453125" style="216" customWidth="1"/>
    <col min="4869" max="4869" width="13.7265625" style="216" customWidth="1"/>
    <col min="4870" max="4870" width="14" style="216" customWidth="1"/>
    <col min="4871" max="5120" width="8.7265625" style="216"/>
    <col min="5121" max="5121" width="0" style="216" hidden="1" customWidth="1"/>
    <col min="5122" max="5122" width="24.7265625" style="216" customWidth="1"/>
    <col min="5123" max="5123" width="18" style="216" customWidth="1"/>
    <col min="5124" max="5124" width="18.453125" style="216" customWidth="1"/>
    <col min="5125" max="5125" width="13.7265625" style="216" customWidth="1"/>
    <col min="5126" max="5126" width="14" style="216" customWidth="1"/>
    <col min="5127" max="5376" width="8.7265625" style="216"/>
    <col min="5377" max="5377" width="0" style="216" hidden="1" customWidth="1"/>
    <col min="5378" max="5378" width="24.7265625" style="216" customWidth="1"/>
    <col min="5379" max="5379" width="18" style="216" customWidth="1"/>
    <col min="5380" max="5380" width="18.453125" style="216" customWidth="1"/>
    <col min="5381" max="5381" width="13.7265625" style="216" customWidth="1"/>
    <col min="5382" max="5382" width="14" style="216" customWidth="1"/>
    <col min="5383" max="5632" width="8.7265625" style="216"/>
    <col min="5633" max="5633" width="0" style="216" hidden="1" customWidth="1"/>
    <col min="5634" max="5634" width="24.7265625" style="216" customWidth="1"/>
    <col min="5635" max="5635" width="18" style="216" customWidth="1"/>
    <col min="5636" max="5636" width="18.453125" style="216" customWidth="1"/>
    <col min="5637" max="5637" width="13.7265625" style="216" customWidth="1"/>
    <col min="5638" max="5638" width="14" style="216" customWidth="1"/>
    <col min="5639" max="5888" width="8.7265625" style="216"/>
    <col min="5889" max="5889" width="0" style="216" hidden="1" customWidth="1"/>
    <col min="5890" max="5890" width="24.7265625" style="216" customWidth="1"/>
    <col min="5891" max="5891" width="18" style="216" customWidth="1"/>
    <col min="5892" max="5892" width="18.453125" style="216" customWidth="1"/>
    <col min="5893" max="5893" width="13.7265625" style="216" customWidth="1"/>
    <col min="5894" max="5894" width="14" style="216" customWidth="1"/>
    <col min="5895" max="6144" width="8.7265625" style="216"/>
    <col min="6145" max="6145" width="0" style="216" hidden="1" customWidth="1"/>
    <col min="6146" max="6146" width="24.7265625" style="216" customWidth="1"/>
    <col min="6147" max="6147" width="18" style="216" customWidth="1"/>
    <col min="6148" max="6148" width="18.453125" style="216" customWidth="1"/>
    <col min="6149" max="6149" width="13.7265625" style="216" customWidth="1"/>
    <col min="6150" max="6150" width="14" style="216" customWidth="1"/>
    <col min="6151" max="6400" width="8.7265625" style="216"/>
    <col min="6401" max="6401" width="0" style="216" hidden="1" customWidth="1"/>
    <col min="6402" max="6402" width="24.7265625" style="216" customWidth="1"/>
    <col min="6403" max="6403" width="18" style="216" customWidth="1"/>
    <col min="6404" max="6404" width="18.453125" style="216" customWidth="1"/>
    <col min="6405" max="6405" width="13.7265625" style="216" customWidth="1"/>
    <col min="6406" max="6406" width="14" style="216" customWidth="1"/>
    <col min="6407" max="6656" width="8.7265625" style="216"/>
    <col min="6657" max="6657" width="0" style="216" hidden="1" customWidth="1"/>
    <col min="6658" max="6658" width="24.7265625" style="216" customWidth="1"/>
    <col min="6659" max="6659" width="18" style="216" customWidth="1"/>
    <col min="6660" max="6660" width="18.453125" style="216" customWidth="1"/>
    <col min="6661" max="6661" width="13.7265625" style="216" customWidth="1"/>
    <col min="6662" max="6662" width="14" style="216" customWidth="1"/>
    <col min="6663" max="6912" width="8.7265625" style="216"/>
    <col min="6913" max="6913" width="0" style="216" hidden="1" customWidth="1"/>
    <col min="6914" max="6914" width="24.7265625" style="216" customWidth="1"/>
    <col min="6915" max="6915" width="18" style="216" customWidth="1"/>
    <col min="6916" max="6916" width="18.453125" style="216" customWidth="1"/>
    <col min="6917" max="6917" width="13.7265625" style="216" customWidth="1"/>
    <col min="6918" max="6918" width="14" style="216" customWidth="1"/>
    <col min="6919" max="7168" width="8.7265625" style="216"/>
    <col min="7169" max="7169" width="0" style="216" hidden="1" customWidth="1"/>
    <col min="7170" max="7170" width="24.7265625" style="216" customWidth="1"/>
    <col min="7171" max="7171" width="18" style="216" customWidth="1"/>
    <col min="7172" max="7172" width="18.453125" style="216" customWidth="1"/>
    <col min="7173" max="7173" width="13.7265625" style="216" customWidth="1"/>
    <col min="7174" max="7174" width="14" style="216" customWidth="1"/>
    <col min="7175" max="7424" width="8.7265625" style="216"/>
    <col min="7425" max="7425" width="0" style="216" hidden="1" customWidth="1"/>
    <col min="7426" max="7426" width="24.7265625" style="216" customWidth="1"/>
    <col min="7427" max="7427" width="18" style="216" customWidth="1"/>
    <col min="7428" max="7428" width="18.453125" style="216" customWidth="1"/>
    <col min="7429" max="7429" width="13.7265625" style="216" customWidth="1"/>
    <col min="7430" max="7430" width="14" style="216" customWidth="1"/>
    <col min="7431" max="7680" width="8.7265625" style="216"/>
    <col min="7681" max="7681" width="0" style="216" hidden="1" customWidth="1"/>
    <col min="7682" max="7682" width="24.7265625" style="216" customWidth="1"/>
    <col min="7683" max="7683" width="18" style="216" customWidth="1"/>
    <col min="7684" max="7684" width="18.453125" style="216" customWidth="1"/>
    <col min="7685" max="7685" width="13.7265625" style="216" customWidth="1"/>
    <col min="7686" max="7686" width="14" style="216" customWidth="1"/>
    <col min="7687" max="7936" width="8.7265625" style="216"/>
    <col min="7937" max="7937" width="0" style="216" hidden="1" customWidth="1"/>
    <col min="7938" max="7938" width="24.7265625" style="216" customWidth="1"/>
    <col min="7939" max="7939" width="18" style="216" customWidth="1"/>
    <col min="7940" max="7940" width="18.453125" style="216" customWidth="1"/>
    <col min="7941" max="7941" width="13.7265625" style="216" customWidth="1"/>
    <col min="7942" max="7942" width="14" style="216" customWidth="1"/>
    <col min="7943" max="8192" width="8.7265625" style="216"/>
    <col min="8193" max="8193" width="0" style="216" hidden="1" customWidth="1"/>
    <col min="8194" max="8194" width="24.7265625" style="216" customWidth="1"/>
    <col min="8195" max="8195" width="18" style="216" customWidth="1"/>
    <col min="8196" max="8196" width="18.453125" style="216" customWidth="1"/>
    <col min="8197" max="8197" width="13.7265625" style="216" customWidth="1"/>
    <col min="8198" max="8198" width="14" style="216" customWidth="1"/>
    <col min="8199" max="8448" width="8.7265625" style="216"/>
    <col min="8449" max="8449" width="0" style="216" hidden="1" customWidth="1"/>
    <col min="8450" max="8450" width="24.7265625" style="216" customWidth="1"/>
    <col min="8451" max="8451" width="18" style="216" customWidth="1"/>
    <col min="8452" max="8452" width="18.453125" style="216" customWidth="1"/>
    <col min="8453" max="8453" width="13.7265625" style="216" customWidth="1"/>
    <col min="8454" max="8454" width="14" style="216" customWidth="1"/>
    <col min="8455" max="8704" width="8.7265625" style="216"/>
    <col min="8705" max="8705" width="0" style="216" hidden="1" customWidth="1"/>
    <col min="8706" max="8706" width="24.7265625" style="216" customWidth="1"/>
    <col min="8707" max="8707" width="18" style="216" customWidth="1"/>
    <col min="8708" max="8708" width="18.453125" style="216" customWidth="1"/>
    <col min="8709" max="8709" width="13.7265625" style="216" customWidth="1"/>
    <col min="8710" max="8710" width="14" style="216" customWidth="1"/>
    <col min="8711" max="8960" width="8.7265625" style="216"/>
    <col min="8961" max="8961" width="0" style="216" hidden="1" customWidth="1"/>
    <col min="8962" max="8962" width="24.7265625" style="216" customWidth="1"/>
    <col min="8963" max="8963" width="18" style="216" customWidth="1"/>
    <col min="8964" max="8964" width="18.453125" style="216" customWidth="1"/>
    <col min="8965" max="8965" width="13.7265625" style="216" customWidth="1"/>
    <col min="8966" max="8966" width="14" style="216" customWidth="1"/>
    <col min="8967" max="9216" width="8.7265625" style="216"/>
    <col min="9217" max="9217" width="0" style="216" hidden="1" customWidth="1"/>
    <col min="9218" max="9218" width="24.7265625" style="216" customWidth="1"/>
    <col min="9219" max="9219" width="18" style="216" customWidth="1"/>
    <col min="9220" max="9220" width="18.453125" style="216" customWidth="1"/>
    <col min="9221" max="9221" width="13.7265625" style="216" customWidth="1"/>
    <col min="9222" max="9222" width="14" style="216" customWidth="1"/>
    <col min="9223" max="9472" width="8.7265625" style="216"/>
    <col min="9473" max="9473" width="0" style="216" hidden="1" customWidth="1"/>
    <col min="9474" max="9474" width="24.7265625" style="216" customWidth="1"/>
    <col min="9475" max="9475" width="18" style="216" customWidth="1"/>
    <col min="9476" max="9476" width="18.453125" style="216" customWidth="1"/>
    <col min="9477" max="9477" width="13.7265625" style="216" customWidth="1"/>
    <col min="9478" max="9478" width="14" style="216" customWidth="1"/>
    <col min="9479" max="9728" width="8.7265625" style="216"/>
    <col min="9729" max="9729" width="0" style="216" hidden="1" customWidth="1"/>
    <col min="9730" max="9730" width="24.7265625" style="216" customWidth="1"/>
    <col min="9731" max="9731" width="18" style="216" customWidth="1"/>
    <col min="9732" max="9732" width="18.453125" style="216" customWidth="1"/>
    <col min="9733" max="9733" width="13.7265625" style="216" customWidth="1"/>
    <col min="9734" max="9734" width="14" style="216" customWidth="1"/>
    <col min="9735" max="9984" width="8.7265625" style="216"/>
    <col min="9985" max="9985" width="0" style="216" hidden="1" customWidth="1"/>
    <col min="9986" max="9986" width="24.7265625" style="216" customWidth="1"/>
    <col min="9987" max="9987" width="18" style="216" customWidth="1"/>
    <col min="9988" max="9988" width="18.453125" style="216" customWidth="1"/>
    <col min="9989" max="9989" width="13.7265625" style="216" customWidth="1"/>
    <col min="9990" max="9990" width="14" style="216" customWidth="1"/>
    <col min="9991" max="10240" width="8.7265625" style="216"/>
    <col min="10241" max="10241" width="0" style="216" hidden="1" customWidth="1"/>
    <col min="10242" max="10242" width="24.7265625" style="216" customWidth="1"/>
    <col min="10243" max="10243" width="18" style="216" customWidth="1"/>
    <col min="10244" max="10244" width="18.453125" style="216" customWidth="1"/>
    <col min="10245" max="10245" width="13.7265625" style="216" customWidth="1"/>
    <col min="10246" max="10246" width="14" style="216" customWidth="1"/>
    <col min="10247" max="10496" width="8.7265625" style="216"/>
    <col min="10497" max="10497" width="0" style="216" hidden="1" customWidth="1"/>
    <col min="10498" max="10498" width="24.7265625" style="216" customWidth="1"/>
    <col min="10499" max="10499" width="18" style="216" customWidth="1"/>
    <col min="10500" max="10500" width="18.453125" style="216" customWidth="1"/>
    <col min="10501" max="10501" width="13.7265625" style="216" customWidth="1"/>
    <col min="10502" max="10502" width="14" style="216" customWidth="1"/>
    <col min="10503" max="10752" width="8.7265625" style="216"/>
    <col min="10753" max="10753" width="0" style="216" hidden="1" customWidth="1"/>
    <col min="10754" max="10754" width="24.7265625" style="216" customWidth="1"/>
    <col min="10755" max="10755" width="18" style="216" customWidth="1"/>
    <col min="10756" max="10756" width="18.453125" style="216" customWidth="1"/>
    <col min="10757" max="10757" width="13.7265625" style="216" customWidth="1"/>
    <col min="10758" max="10758" width="14" style="216" customWidth="1"/>
    <col min="10759" max="11008" width="8.7265625" style="216"/>
    <col min="11009" max="11009" width="0" style="216" hidden="1" customWidth="1"/>
    <col min="11010" max="11010" width="24.7265625" style="216" customWidth="1"/>
    <col min="11011" max="11011" width="18" style="216" customWidth="1"/>
    <col min="11012" max="11012" width="18.453125" style="216" customWidth="1"/>
    <col min="11013" max="11013" width="13.7265625" style="216" customWidth="1"/>
    <col min="11014" max="11014" width="14" style="216" customWidth="1"/>
    <col min="11015" max="11264" width="8.7265625" style="216"/>
    <col min="11265" max="11265" width="0" style="216" hidden="1" customWidth="1"/>
    <col min="11266" max="11266" width="24.7265625" style="216" customWidth="1"/>
    <col min="11267" max="11267" width="18" style="216" customWidth="1"/>
    <col min="11268" max="11268" width="18.453125" style="216" customWidth="1"/>
    <col min="11269" max="11269" width="13.7265625" style="216" customWidth="1"/>
    <col min="11270" max="11270" width="14" style="216" customWidth="1"/>
    <col min="11271" max="11520" width="8.7265625" style="216"/>
    <col min="11521" max="11521" width="0" style="216" hidden="1" customWidth="1"/>
    <col min="11522" max="11522" width="24.7265625" style="216" customWidth="1"/>
    <col min="11523" max="11523" width="18" style="216" customWidth="1"/>
    <col min="11524" max="11524" width="18.453125" style="216" customWidth="1"/>
    <col min="11525" max="11525" width="13.7265625" style="216" customWidth="1"/>
    <col min="11526" max="11526" width="14" style="216" customWidth="1"/>
    <col min="11527" max="11776" width="8.7265625" style="216"/>
    <col min="11777" max="11777" width="0" style="216" hidden="1" customWidth="1"/>
    <col min="11778" max="11778" width="24.7265625" style="216" customWidth="1"/>
    <col min="11779" max="11779" width="18" style="216" customWidth="1"/>
    <col min="11780" max="11780" width="18.453125" style="216" customWidth="1"/>
    <col min="11781" max="11781" width="13.7265625" style="216" customWidth="1"/>
    <col min="11782" max="11782" width="14" style="216" customWidth="1"/>
    <col min="11783" max="12032" width="8.7265625" style="216"/>
    <col min="12033" max="12033" width="0" style="216" hidden="1" customWidth="1"/>
    <col min="12034" max="12034" width="24.7265625" style="216" customWidth="1"/>
    <col min="12035" max="12035" width="18" style="216" customWidth="1"/>
    <col min="12036" max="12036" width="18.453125" style="216" customWidth="1"/>
    <col min="12037" max="12037" width="13.7265625" style="216" customWidth="1"/>
    <col min="12038" max="12038" width="14" style="216" customWidth="1"/>
    <col min="12039" max="12288" width="8.7265625" style="216"/>
    <col min="12289" max="12289" width="0" style="216" hidden="1" customWidth="1"/>
    <col min="12290" max="12290" width="24.7265625" style="216" customWidth="1"/>
    <col min="12291" max="12291" width="18" style="216" customWidth="1"/>
    <col min="12292" max="12292" width="18.453125" style="216" customWidth="1"/>
    <col min="12293" max="12293" width="13.7265625" style="216" customWidth="1"/>
    <col min="12294" max="12294" width="14" style="216" customWidth="1"/>
    <col min="12295" max="12544" width="8.7265625" style="216"/>
    <col min="12545" max="12545" width="0" style="216" hidden="1" customWidth="1"/>
    <col min="12546" max="12546" width="24.7265625" style="216" customWidth="1"/>
    <col min="12547" max="12547" width="18" style="216" customWidth="1"/>
    <col min="12548" max="12548" width="18.453125" style="216" customWidth="1"/>
    <col min="12549" max="12549" width="13.7265625" style="216" customWidth="1"/>
    <col min="12550" max="12550" width="14" style="216" customWidth="1"/>
    <col min="12551" max="12800" width="8.7265625" style="216"/>
    <col min="12801" max="12801" width="0" style="216" hidden="1" customWidth="1"/>
    <col min="12802" max="12802" width="24.7265625" style="216" customWidth="1"/>
    <col min="12803" max="12803" width="18" style="216" customWidth="1"/>
    <col min="12804" max="12804" width="18.453125" style="216" customWidth="1"/>
    <col min="12805" max="12805" width="13.7265625" style="216" customWidth="1"/>
    <col min="12806" max="12806" width="14" style="216" customWidth="1"/>
    <col min="12807" max="13056" width="8.7265625" style="216"/>
    <col min="13057" max="13057" width="0" style="216" hidden="1" customWidth="1"/>
    <col min="13058" max="13058" width="24.7265625" style="216" customWidth="1"/>
    <col min="13059" max="13059" width="18" style="216" customWidth="1"/>
    <col min="13060" max="13060" width="18.453125" style="216" customWidth="1"/>
    <col min="13061" max="13061" width="13.7265625" style="216" customWidth="1"/>
    <col min="13062" max="13062" width="14" style="216" customWidth="1"/>
    <col min="13063" max="13312" width="8.7265625" style="216"/>
    <col min="13313" max="13313" width="0" style="216" hidden="1" customWidth="1"/>
    <col min="13314" max="13314" width="24.7265625" style="216" customWidth="1"/>
    <col min="13315" max="13315" width="18" style="216" customWidth="1"/>
    <col min="13316" max="13316" width="18.453125" style="216" customWidth="1"/>
    <col min="13317" max="13317" width="13.7265625" style="216" customWidth="1"/>
    <col min="13318" max="13318" width="14" style="216" customWidth="1"/>
    <col min="13319" max="13568" width="8.7265625" style="216"/>
    <col min="13569" max="13569" width="0" style="216" hidden="1" customWidth="1"/>
    <col min="13570" max="13570" width="24.7265625" style="216" customWidth="1"/>
    <col min="13571" max="13571" width="18" style="216" customWidth="1"/>
    <col min="13572" max="13572" width="18.453125" style="216" customWidth="1"/>
    <col min="13573" max="13573" width="13.7265625" style="216" customWidth="1"/>
    <col min="13574" max="13574" width="14" style="216" customWidth="1"/>
    <col min="13575" max="13824" width="8.7265625" style="216"/>
    <col min="13825" max="13825" width="0" style="216" hidden="1" customWidth="1"/>
    <col min="13826" max="13826" width="24.7265625" style="216" customWidth="1"/>
    <col min="13827" max="13827" width="18" style="216" customWidth="1"/>
    <col min="13828" max="13828" width="18.453125" style="216" customWidth="1"/>
    <col min="13829" max="13829" width="13.7265625" style="216" customWidth="1"/>
    <col min="13830" max="13830" width="14" style="216" customWidth="1"/>
    <col min="13831" max="14080" width="8.7265625" style="216"/>
    <col min="14081" max="14081" width="0" style="216" hidden="1" customWidth="1"/>
    <col min="14082" max="14082" width="24.7265625" style="216" customWidth="1"/>
    <col min="14083" max="14083" width="18" style="216" customWidth="1"/>
    <col min="14084" max="14084" width="18.453125" style="216" customWidth="1"/>
    <col min="14085" max="14085" width="13.7265625" style="216" customWidth="1"/>
    <col min="14086" max="14086" width="14" style="216" customWidth="1"/>
    <col min="14087" max="14336" width="8.7265625" style="216"/>
    <col min="14337" max="14337" width="0" style="216" hidden="1" customWidth="1"/>
    <col min="14338" max="14338" width="24.7265625" style="216" customWidth="1"/>
    <col min="14339" max="14339" width="18" style="216" customWidth="1"/>
    <col min="14340" max="14340" width="18.453125" style="216" customWidth="1"/>
    <col min="14341" max="14341" width="13.7265625" style="216" customWidth="1"/>
    <col min="14342" max="14342" width="14" style="216" customWidth="1"/>
    <col min="14343" max="14592" width="8.7265625" style="216"/>
    <col min="14593" max="14593" width="0" style="216" hidden="1" customWidth="1"/>
    <col min="14594" max="14594" width="24.7265625" style="216" customWidth="1"/>
    <col min="14595" max="14595" width="18" style="216" customWidth="1"/>
    <col min="14596" max="14596" width="18.453125" style="216" customWidth="1"/>
    <col min="14597" max="14597" width="13.7265625" style="216" customWidth="1"/>
    <col min="14598" max="14598" width="14" style="216" customWidth="1"/>
    <col min="14599" max="14848" width="8.7265625" style="216"/>
    <col min="14849" max="14849" width="0" style="216" hidden="1" customWidth="1"/>
    <col min="14850" max="14850" width="24.7265625" style="216" customWidth="1"/>
    <col min="14851" max="14851" width="18" style="216" customWidth="1"/>
    <col min="14852" max="14852" width="18.453125" style="216" customWidth="1"/>
    <col min="14853" max="14853" width="13.7265625" style="216" customWidth="1"/>
    <col min="14854" max="14854" width="14" style="216" customWidth="1"/>
    <col min="14855" max="15104" width="8.7265625" style="216"/>
    <col min="15105" max="15105" width="0" style="216" hidden="1" customWidth="1"/>
    <col min="15106" max="15106" width="24.7265625" style="216" customWidth="1"/>
    <col min="15107" max="15107" width="18" style="216" customWidth="1"/>
    <col min="15108" max="15108" width="18.453125" style="216" customWidth="1"/>
    <col min="15109" max="15109" width="13.7265625" style="216" customWidth="1"/>
    <col min="15110" max="15110" width="14" style="216" customWidth="1"/>
    <col min="15111" max="15360" width="8.7265625" style="216"/>
    <col min="15361" max="15361" width="0" style="216" hidden="1" customWidth="1"/>
    <col min="15362" max="15362" width="24.7265625" style="216" customWidth="1"/>
    <col min="15363" max="15363" width="18" style="216" customWidth="1"/>
    <col min="15364" max="15364" width="18.453125" style="216" customWidth="1"/>
    <col min="15365" max="15365" width="13.7265625" style="216" customWidth="1"/>
    <col min="15366" max="15366" width="14" style="216" customWidth="1"/>
    <col min="15367" max="15616" width="8.7265625" style="216"/>
    <col min="15617" max="15617" width="0" style="216" hidden="1" customWidth="1"/>
    <col min="15618" max="15618" width="24.7265625" style="216" customWidth="1"/>
    <col min="15619" max="15619" width="18" style="216" customWidth="1"/>
    <col min="15620" max="15620" width="18.453125" style="216" customWidth="1"/>
    <col min="15621" max="15621" width="13.7265625" style="216" customWidth="1"/>
    <col min="15622" max="15622" width="14" style="216" customWidth="1"/>
    <col min="15623" max="15872" width="8.7265625" style="216"/>
    <col min="15873" max="15873" width="0" style="216" hidden="1" customWidth="1"/>
    <col min="15874" max="15874" width="24.7265625" style="216" customWidth="1"/>
    <col min="15875" max="15875" width="18" style="216" customWidth="1"/>
    <col min="15876" max="15876" width="18.453125" style="216" customWidth="1"/>
    <col min="15877" max="15877" width="13.7265625" style="216" customWidth="1"/>
    <col min="15878" max="15878" width="14" style="216" customWidth="1"/>
    <col min="15879" max="16128" width="8.7265625" style="216"/>
    <col min="16129" max="16129" width="0" style="216" hidden="1" customWidth="1"/>
    <col min="16130" max="16130" width="24.7265625" style="216" customWidth="1"/>
    <col min="16131" max="16131" width="18" style="216" customWidth="1"/>
    <col min="16132" max="16132" width="18.453125" style="216" customWidth="1"/>
    <col min="16133" max="16133" width="13.7265625" style="216" customWidth="1"/>
    <col min="16134" max="16134" width="14" style="216" customWidth="1"/>
    <col min="16135" max="16384" width="8.7265625" style="216"/>
  </cols>
  <sheetData>
    <row r="1" spans="1:9" ht="48.75" customHeight="1" x14ac:dyDescent="0.3">
      <c r="B1" s="224"/>
      <c r="C1" s="224"/>
      <c r="D1" s="274" t="s">
        <v>209</v>
      </c>
      <c r="E1" s="224"/>
      <c r="F1" s="224"/>
    </row>
    <row r="2" spans="1:9" ht="15.75" customHeight="1" x14ac:dyDescent="0.3">
      <c r="C2" s="225"/>
      <c r="D2" s="216" t="s">
        <v>2</v>
      </c>
      <c r="E2" s="216"/>
      <c r="F2" s="225"/>
    </row>
    <row r="3" spans="1:9" ht="43.15" customHeight="1" x14ac:dyDescent="0.3">
      <c r="A3" s="4"/>
      <c r="C3" s="274" t="s">
        <v>1</v>
      </c>
      <c r="D3" s="274" t="s">
        <v>203</v>
      </c>
      <c r="E3" s="274" t="s">
        <v>204</v>
      </c>
      <c r="F3" s="274" t="s">
        <v>205</v>
      </c>
    </row>
    <row r="4" spans="1:9" ht="23.25" customHeight="1" x14ac:dyDescent="0.3">
      <c r="A4" s="4"/>
      <c r="B4" s="223" t="s">
        <v>6</v>
      </c>
      <c r="C4" s="275">
        <f>SUM(C5,C44)</f>
        <v>551</v>
      </c>
      <c r="D4" s="275">
        <f>SUM(D5,D44)</f>
        <v>39</v>
      </c>
      <c r="E4" s="275">
        <f>SUM(E5,E44)</f>
        <v>5</v>
      </c>
      <c r="F4" s="275">
        <f>SUM(F5,F44)</f>
        <v>0</v>
      </c>
      <c r="G4" s="223"/>
      <c r="H4" s="223"/>
      <c r="I4" s="223"/>
    </row>
    <row r="5" spans="1:9" s="11" customFormat="1" ht="25.5" customHeight="1" x14ac:dyDescent="0.3">
      <c r="A5" s="50"/>
      <c r="B5" s="223" t="s">
        <v>210</v>
      </c>
      <c r="C5" s="275">
        <f>SUM(C6:C43)</f>
        <v>344</v>
      </c>
      <c r="D5" s="275">
        <f>SUM(D6:D43)</f>
        <v>23</v>
      </c>
      <c r="E5" s="275">
        <f>SUM(E6:E43)</f>
        <v>2</v>
      </c>
      <c r="F5" s="275">
        <f>SUM(F6:F43)</f>
        <v>0</v>
      </c>
      <c r="G5" s="223"/>
      <c r="H5" s="223"/>
      <c r="I5" s="223"/>
    </row>
    <row r="6" spans="1:9" ht="13" x14ac:dyDescent="0.3">
      <c r="B6" s="223" t="s">
        <v>8</v>
      </c>
      <c r="C6" s="37">
        <f>SUMIFS(raw!$H$2:$H$2701,raw!$B$2:$B$2701,'(2018-19d)'!$B6,raw!$E$2:$E$2701,'(2018-19d)'!C$3,raw!$F$2:$F$2701,'(2018-19d)'!$D$1)</f>
        <v>20</v>
      </c>
      <c r="D6" s="37">
        <f>SUMIFS(raw!$H$2:$H$2701,raw!$B$2:$B$2701,'(2018-19d)'!$B6,raw!$E$2:$E$2701,'(2018-19d)'!D$3,raw!$F$2:$F$2701,'(2018-19d)'!$D$1)</f>
        <v>0</v>
      </c>
      <c r="E6" s="37">
        <f>SUMIFS(raw!$H$2:$H$2701,raw!$B$2:$B$2701,'(2018-19d)'!$B6,raw!$E$2:$E$2701,'(2018-19d)'!E$3,raw!$F$2:$F$2701,'(2018-19d)'!$D$1)</f>
        <v>0</v>
      </c>
      <c r="F6" s="37">
        <f>SUMIFS(raw!$H$2:$H$2701,raw!$B$2:$B$2701,'(2018-19d)'!$B6,raw!$E$2:$E$2701,'(2018-19d)'!F$3,raw!$F$2:$F$2701,'(2018-19d)'!$D$1)</f>
        <v>0</v>
      </c>
      <c r="G6" s="223"/>
      <c r="H6" s="223"/>
    </row>
    <row r="7" spans="1:9" ht="13" x14ac:dyDescent="0.3">
      <c r="B7" s="223" t="s">
        <v>9</v>
      </c>
      <c r="C7" s="37">
        <f>SUMIFS(raw!$H$2:$H$2701,raw!$B$2:$B$2701,'(2018-19d)'!$B7,raw!$E$2:$E$2701,'(2018-19d)'!C$3,raw!$F$2:$F$2701,'(2018-19d)'!$D$1)</f>
        <v>10</v>
      </c>
      <c r="D7" s="37">
        <f>SUMIFS(raw!$H$2:$H$2701,raw!$B$2:$B$2701,'(2018-19d)'!$B7,raw!$E$2:$E$2701,'(2018-19d)'!D$3,raw!$F$2:$F$2701,'(2018-19d)'!$D$1)</f>
        <v>0</v>
      </c>
      <c r="E7" s="37">
        <f>SUMIFS(raw!$H$2:$H$2701,raw!$B$2:$B$2701,'(2018-19d)'!$B7,raw!$E$2:$E$2701,'(2018-19d)'!E$3,raw!$F$2:$F$2701,'(2018-19d)'!$D$1)</f>
        <v>0</v>
      </c>
      <c r="F7" s="37">
        <f>SUMIFS(raw!$H$2:$H$2701,raw!$B$2:$B$2701,'(2018-19d)'!$B7,raw!$E$2:$E$2701,'(2018-19d)'!F$3,raw!$F$2:$F$2701,'(2018-19d)'!$D$1)</f>
        <v>0</v>
      </c>
      <c r="G7" s="223"/>
      <c r="H7" s="223"/>
    </row>
    <row r="8" spans="1:9" ht="13" x14ac:dyDescent="0.3">
      <c r="B8" s="223" t="s">
        <v>10</v>
      </c>
      <c r="C8" s="37">
        <f>SUMIFS(raw!$H$2:$H$2701,raw!$B$2:$B$2701,'(2018-19d)'!$B8,raw!$E$2:$E$2701,'(2018-19d)'!C$3,raw!$F$2:$F$2701,'(2018-19d)'!$D$1)</f>
        <v>12</v>
      </c>
      <c r="D8" s="37">
        <f>SUMIFS(raw!$H$2:$H$2701,raw!$B$2:$B$2701,'(2018-19d)'!$B8,raw!$E$2:$E$2701,'(2018-19d)'!D$3,raw!$F$2:$F$2701,'(2018-19d)'!$D$1)</f>
        <v>0</v>
      </c>
      <c r="E8" s="37">
        <f>SUMIFS(raw!$H$2:$H$2701,raw!$B$2:$B$2701,'(2018-19d)'!$B8,raw!$E$2:$E$2701,'(2018-19d)'!E$3,raw!$F$2:$F$2701,'(2018-19d)'!$D$1)</f>
        <v>0</v>
      </c>
      <c r="F8" s="37">
        <f>SUMIFS(raw!$H$2:$H$2701,raw!$B$2:$B$2701,'(2018-19d)'!$B8,raw!$E$2:$E$2701,'(2018-19d)'!F$3,raw!$F$2:$F$2701,'(2018-19d)'!$D$1)</f>
        <v>0</v>
      </c>
      <c r="G8" s="223"/>
      <c r="H8" s="223"/>
    </row>
    <row r="9" spans="1:9" ht="13" x14ac:dyDescent="0.3">
      <c r="B9" s="223" t="s">
        <v>11</v>
      </c>
      <c r="C9" s="37">
        <f>SUMIFS(raw!$H$2:$H$2701,raw!$B$2:$B$2701,'(2018-19d)'!$B9,raw!$E$2:$E$2701,'(2018-19d)'!C$3,raw!$F$2:$F$2701,'(2018-19d)'!$D$1)</f>
        <v>10</v>
      </c>
      <c r="D9" s="37">
        <f>SUMIFS(raw!$H$2:$H$2701,raw!$B$2:$B$2701,'(2018-19d)'!$B9,raw!$E$2:$E$2701,'(2018-19d)'!D$3,raw!$F$2:$F$2701,'(2018-19d)'!$D$1)</f>
        <v>1</v>
      </c>
      <c r="E9" s="37">
        <f>SUMIFS(raw!$H$2:$H$2701,raw!$B$2:$B$2701,'(2018-19d)'!$B9,raw!$E$2:$E$2701,'(2018-19d)'!E$3,raw!$F$2:$F$2701,'(2018-19d)'!$D$1)</f>
        <v>0</v>
      </c>
      <c r="F9" s="37">
        <f>SUMIFS(raw!$H$2:$H$2701,raw!$B$2:$B$2701,'(2018-19d)'!$B9,raw!$E$2:$E$2701,'(2018-19d)'!F$3,raw!$F$2:$F$2701,'(2018-19d)'!$D$1)</f>
        <v>0</v>
      </c>
      <c r="G9" s="223"/>
      <c r="H9" s="223"/>
    </row>
    <row r="10" spans="1:9" ht="13" x14ac:dyDescent="0.3">
      <c r="B10" s="223" t="s">
        <v>12</v>
      </c>
      <c r="C10" s="37">
        <f>SUMIFS(raw!$H$2:$H$2701,raw!$B$2:$B$2701,'(2018-19d)'!$B10,raw!$E$2:$E$2701,'(2018-19d)'!C$3,raw!$F$2:$F$2701,'(2018-19d)'!$D$1)</f>
        <v>15</v>
      </c>
      <c r="D10" s="37">
        <f>SUMIFS(raw!$H$2:$H$2701,raw!$B$2:$B$2701,'(2018-19d)'!$B10,raw!$E$2:$E$2701,'(2018-19d)'!D$3,raw!$F$2:$F$2701,'(2018-19d)'!$D$1)</f>
        <v>0</v>
      </c>
      <c r="E10" s="37">
        <f>SUMIFS(raw!$H$2:$H$2701,raw!$B$2:$B$2701,'(2018-19d)'!$B10,raw!$E$2:$E$2701,'(2018-19d)'!E$3,raw!$F$2:$F$2701,'(2018-19d)'!$D$1)</f>
        <v>0</v>
      </c>
      <c r="F10" s="37">
        <f>SUMIFS(raw!$H$2:$H$2701,raw!$B$2:$B$2701,'(2018-19d)'!$B10,raw!$E$2:$E$2701,'(2018-19d)'!F$3,raw!$F$2:$F$2701,'(2018-19d)'!$D$1)</f>
        <v>0</v>
      </c>
      <c r="G10" s="223"/>
      <c r="H10" s="223"/>
    </row>
    <row r="11" spans="1:9" ht="13" x14ac:dyDescent="0.3">
      <c r="B11" s="223" t="s">
        <v>13</v>
      </c>
      <c r="C11" s="37">
        <f>SUMIFS(raw!$H$2:$H$2701,raw!$B$2:$B$2701,'(2018-19d)'!$B11,raw!$E$2:$E$2701,'(2018-19d)'!C$3,raw!$F$2:$F$2701,'(2018-19d)'!$D$1)</f>
        <v>16</v>
      </c>
      <c r="D11" s="37">
        <f>SUMIFS(raw!$H$2:$H$2701,raw!$B$2:$B$2701,'(2018-19d)'!$B11,raw!$E$2:$E$2701,'(2018-19d)'!D$3,raw!$F$2:$F$2701,'(2018-19d)'!$D$1)</f>
        <v>0</v>
      </c>
      <c r="E11" s="37">
        <f>SUMIFS(raw!$H$2:$H$2701,raw!$B$2:$B$2701,'(2018-19d)'!$B11,raw!$E$2:$E$2701,'(2018-19d)'!E$3,raw!$F$2:$F$2701,'(2018-19d)'!$D$1)</f>
        <v>1</v>
      </c>
      <c r="F11" s="37">
        <f>SUMIFS(raw!$H$2:$H$2701,raw!$B$2:$B$2701,'(2018-19d)'!$B11,raw!$E$2:$E$2701,'(2018-19d)'!F$3,raw!$F$2:$F$2701,'(2018-19d)'!$D$1)</f>
        <v>0</v>
      </c>
      <c r="G11" s="223"/>
      <c r="H11" s="223"/>
    </row>
    <row r="12" spans="1:9" ht="13" x14ac:dyDescent="0.3">
      <c r="B12" s="223" t="s">
        <v>14</v>
      </c>
      <c r="C12" s="37">
        <f>SUMIFS(raw!$H$2:$H$2701,raw!$B$2:$B$2701,'(2018-19d)'!$B12,raw!$E$2:$E$2701,'(2018-19d)'!C$3,raw!$F$2:$F$2701,'(2018-19d)'!$D$1)</f>
        <v>5</v>
      </c>
      <c r="D12" s="37">
        <f>SUMIFS(raw!$H$2:$H$2701,raw!$B$2:$B$2701,'(2018-19d)'!$B12,raw!$E$2:$E$2701,'(2018-19d)'!D$3,raw!$F$2:$F$2701,'(2018-19d)'!$D$1)</f>
        <v>0</v>
      </c>
      <c r="E12" s="37">
        <f>SUMIFS(raw!$H$2:$H$2701,raw!$B$2:$B$2701,'(2018-19d)'!$B12,raw!$E$2:$E$2701,'(2018-19d)'!E$3,raw!$F$2:$F$2701,'(2018-19d)'!$D$1)</f>
        <v>0</v>
      </c>
      <c r="F12" s="37">
        <f>SUMIFS(raw!$H$2:$H$2701,raw!$B$2:$B$2701,'(2018-19d)'!$B12,raw!$E$2:$E$2701,'(2018-19d)'!F$3,raw!$F$2:$F$2701,'(2018-19d)'!$D$1)</f>
        <v>0</v>
      </c>
      <c r="G12" s="223"/>
      <c r="H12" s="223"/>
    </row>
    <row r="13" spans="1:9" ht="13" x14ac:dyDescent="0.3">
      <c r="B13" s="223" t="s">
        <v>15</v>
      </c>
      <c r="C13" s="37">
        <f>SUMIFS(raw!$H$2:$H$2701,raw!$B$2:$B$2701,'(2018-19d)'!$B13,raw!$E$2:$E$2701,'(2018-19d)'!C$3,raw!$F$2:$F$2701,'(2018-19d)'!$D$1)</f>
        <v>11</v>
      </c>
      <c r="D13" s="37">
        <f>SUMIFS(raw!$H$2:$H$2701,raw!$B$2:$B$2701,'(2018-19d)'!$B13,raw!$E$2:$E$2701,'(2018-19d)'!D$3,raw!$F$2:$F$2701,'(2018-19d)'!$D$1)</f>
        <v>1</v>
      </c>
      <c r="E13" s="37">
        <f>SUMIFS(raw!$H$2:$H$2701,raw!$B$2:$B$2701,'(2018-19d)'!$B13,raw!$E$2:$E$2701,'(2018-19d)'!E$3,raw!$F$2:$F$2701,'(2018-19d)'!$D$1)</f>
        <v>1</v>
      </c>
      <c r="F13" s="37">
        <f>SUMIFS(raw!$H$2:$H$2701,raw!$B$2:$B$2701,'(2018-19d)'!$B13,raw!$E$2:$E$2701,'(2018-19d)'!F$3,raw!$F$2:$F$2701,'(2018-19d)'!$D$1)</f>
        <v>0</v>
      </c>
      <c r="G13" s="223"/>
      <c r="H13" s="223"/>
    </row>
    <row r="14" spans="1:9" ht="13" x14ac:dyDescent="0.3">
      <c r="B14" s="223" t="s">
        <v>16</v>
      </c>
      <c r="C14" s="37">
        <f>SUMIFS(raw!$H$2:$H$2701,raw!$B$2:$B$2701,'(2018-19d)'!$B14,raw!$E$2:$E$2701,'(2018-19d)'!C$3,raw!$F$2:$F$2701,'(2018-19d)'!$D$1)</f>
        <v>6</v>
      </c>
      <c r="D14" s="37">
        <f>SUMIFS(raw!$H$2:$H$2701,raw!$B$2:$B$2701,'(2018-19d)'!$B14,raw!$E$2:$E$2701,'(2018-19d)'!D$3,raw!$F$2:$F$2701,'(2018-19d)'!$D$1)</f>
        <v>0</v>
      </c>
      <c r="E14" s="37">
        <f>SUMIFS(raw!$H$2:$H$2701,raw!$B$2:$B$2701,'(2018-19d)'!$B14,raw!$E$2:$E$2701,'(2018-19d)'!E$3,raw!$F$2:$F$2701,'(2018-19d)'!$D$1)</f>
        <v>0</v>
      </c>
      <c r="F14" s="37">
        <f>SUMIFS(raw!$H$2:$H$2701,raw!$B$2:$B$2701,'(2018-19d)'!$B14,raw!$E$2:$E$2701,'(2018-19d)'!F$3,raw!$F$2:$F$2701,'(2018-19d)'!$D$1)</f>
        <v>0</v>
      </c>
      <c r="G14" s="223"/>
      <c r="H14" s="223"/>
    </row>
    <row r="15" spans="1:9" ht="13" x14ac:dyDescent="0.3">
      <c r="B15" s="223" t="s">
        <v>17</v>
      </c>
      <c r="C15" s="37">
        <f>SUMIFS(raw!$H$2:$H$2701,raw!$B$2:$B$2701,'(2018-19d)'!$B15,raw!$E$2:$E$2701,'(2018-19d)'!C$3,raw!$F$2:$F$2701,'(2018-19d)'!$D$1)</f>
        <v>10</v>
      </c>
      <c r="D15" s="37">
        <f>SUMIFS(raw!$H$2:$H$2701,raw!$B$2:$B$2701,'(2018-19d)'!$B15,raw!$E$2:$E$2701,'(2018-19d)'!D$3,raw!$F$2:$F$2701,'(2018-19d)'!$D$1)</f>
        <v>1</v>
      </c>
      <c r="E15" s="37">
        <f>SUMIFS(raw!$H$2:$H$2701,raw!$B$2:$B$2701,'(2018-19d)'!$B15,raw!$E$2:$E$2701,'(2018-19d)'!E$3,raw!$F$2:$F$2701,'(2018-19d)'!$D$1)</f>
        <v>0</v>
      </c>
      <c r="F15" s="37">
        <f>SUMIFS(raw!$H$2:$H$2701,raw!$B$2:$B$2701,'(2018-19d)'!$B15,raw!$E$2:$E$2701,'(2018-19d)'!F$3,raw!$F$2:$F$2701,'(2018-19d)'!$D$1)</f>
        <v>0</v>
      </c>
      <c r="G15" s="223"/>
      <c r="H15" s="223"/>
    </row>
    <row r="16" spans="1:9" ht="13" x14ac:dyDescent="0.3">
      <c r="B16" s="223" t="s">
        <v>163</v>
      </c>
      <c r="C16" s="37">
        <f>SUMIFS(raw!$H$2:$H$2701,raw!$B$2:$B$2701,'(2018-19d)'!$B16,raw!$E$2:$E$2701,'(2018-19d)'!C$3,raw!$F$2:$F$2701,'(2018-19d)'!$D$1)</f>
        <v>4</v>
      </c>
      <c r="D16" s="37">
        <f>SUMIFS(raw!$H$2:$H$2701,raw!$B$2:$B$2701,'(2018-19d)'!$B16,raw!$E$2:$E$2701,'(2018-19d)'!D$3,raw!$F$2:$F$2701,'(2018-19d)'!$D$1)</f>
        <v>1</v>
      </c>
      <c r="E16" s="37">
        <f>SUMIFS(raw!$H$2:$H$2701,raw!$B$2:$B$2701,'(2018-19d)'!$B16,raw!$E$2:$E$2701,'(2018-19d)'!E$3,raw!$F$2:$F$2701,'(2018-19d)'!$D$1)</f>
        <v>0</v>
      </c>
      <c r="F16" s="37">
        <f>SUMIFS(raw!$H$2:$H$2701,raw!$B$2:$B$2701,'(2018-19d)'!$B16,raw!$E$2:$E$2701,'(2018-19d)'!F$3,raw!$F$2:$F$2701,'(2018-19d)'!$D$1)</f>
        <v>0</v>
      </c>
      <c r="G16" s="223"/>
      <c r="H16" s="223"/>
    </row>
    <row r="17" spans="2:8" ht="13" x14ac:dyDescent="0.3">
      <c r="B17" s="223" t="s">
        <v>197</v>
      </c>
      <c r="C17" s="37">
        <f>SUMIFS(raw!$H$2:$H$2701,raw!$B$2:$B$2701,'(2018-19d)'!$B17,raw!$E$2:$E$2701,'(2018-19d)'!C$3,raw!$F$2:$F$2701,'(2018-19d)'!$D$1)</f>
        <v>10</v>
      </c>
      <c r="D17" s="37">
        <f>SUMIFS(raw!$H$2:$H$2701,raw!$B$2:$B$2701,'(2018-19d)'!$B17,raw!$E$2:$E$2701,'(2018-19d)'!D$3,raw!$F$2:$F$2701,'(2018-19d)'!$D$1)</f>
        <v>0</v>
      </c>
      <c r="E17" s="37">
        <f>SUMIFS(raw!$H$2:$H$2701,raw!$B$2:$B$2701,'(2018-19d)'!$B17,raw!$E$2:$E$2701,'(2018-19d)'!E$3,raw!$F$2:$F$2701,'(2018-19d)'!$D$1)</f>
        <v>0</v>
      </c>
      <c r="F17" s="37">
        <f>SUMIFS(raw!$H$2:$H$2701,raw!$B$2:$B$2701,'(2018-19d)'!$B17,raw!$E$2:$E$2701,'(2018-19d)'!F$3,raw!$F$2:$F$2701,'(2018-19d)'!$D$1)</f>
        <v>0</v>
      </c>
      <c r="G17" s="223"/>
      <c r="H17" s="223"/>
    </row>
    <row r="18" spans="2:8" ht="13" x14ac:dyDescent="0.3">
      <c r="B18" s="223" t="s">
        <v>20</v>
      </c>
      <c r="C18" s="37">
        <f>SUMIFS(raw!$H$2:$H$2701,raw!$B$2:$B$2701,'(2018-19d)'!$B18,raw!$E$2:$E$2701,'(2018-19d)'!C$3,raw!$F$2:$F$2701,'(2018-19d)'!$D$1)</f>
        <v>5</v>
      </c>
      <c r="D18" s="37">
        <f>SUMIFS(raw!$H$2:$H$2701,raw!$B$2:$B$2701,'(2018-19d)'!$B18,raw!$E$2:$E$2701,'(2018-19d)'!D$3,raw!$F$2:$F$2701,'(2018-19d)'!$D$1)</f>
        <v>0</v>
      </c>
      <c r="E18" s="37">
        <f>SUMIFS(raw!$H$2:$H$2701,raw!$B$2:$B$2701,'(2018-19d)'!$B18,raw!$E$2:$E$2701,'(2018-19d)'!E$3,raw!$F$2:$F$2701,'(2018-19d)'!$D$1)</f>
        <v>0</v>
      </c>
      <c r="F18" s="37">
        <f>SUMIFS(raw!$H$2:$H$2701,raw!$B$2:$B$2701,'(2018-19d)'!$B18,raw!$E$2:$E$2701,'(2018-19d)'!F$3,raw!$F$2:$F$2701,'(2018-19d)'!$D$1)</f>
        <v>0</v>
      </c>
      <c r="G18" s="223"/>
      <c r="H18" s="223"/>
    </row>
    <row r="19" spans="2:8" ht="13" x14ac:dyDescent="0.3">
      <c r="B19" s="223" t="s">
        <v>21</v>
      </c>
      <c r="C19" s="37">
        <f>SUMIFS(raw!$H$2:$H$2701,raw!$B$2:$B$2701,'(2018-19d)'!$B19,raw!$E$2:$E$2701,'(2018-19d)'!C$3,raw!$F$2:$F$2701,'(2018-19d)'!$D$1)</f>
        <v>12</v>
      </c>
      <c r="D19" s="37">
        <f>SUMIFS(raw!$H$2:$H$2701,raw!$B$2:$B$2701,'(2018-19d)'!$B19,raw!$E$2:$E$2701,'(2018-19d)'!D$3,raw!$F$2:$F$2701,'(2018-19d)'!$D$1)</f>
        <v>3</v>
      </c>
      <c r="E19" s="37">
        <f>SUMIFS(raw!$H$2:$H$2701,raw!$B$2:$B$2701,'(2018-19d)'!$B19,raw!$E$2:$E$2701,'(2018-19d)'!E$3,raw!$F$2:$F$2701,'(2018-19d)'!$D$1)</f>
        <v>0</v>
      </c>
      <c r="F19" s="37">
        <f>SUMIFS(raw!$H$2:$H$2701,raw!$B$2:$B$2701,'(2018-19d)'!$B19,raw!$E$2:$E$2701,'(2018-19d)'!F$3,raw!$F$2:$F$2701,'(2018-19d)'!$D$1)</f>
        <v>0</v>
      </c>
      <c r="G19" s="223"/>
      <c r="H19" s="223"/>
    </row>
    <row r="20" spans="2:8" ht="13" x14ac:dyDescent="0.3">
      <c r="B20" s="223" t="s">
        <v>22</v>
      </c>
      <c r="C20" s="37">
        <f>SUMIFS(raw!$H$2:$H$2701,raw!$B$2:$B$2701,'(2018-19d)'!$B20,raw!$E$2:$E$2701,'(2018-19d)'!C$3,raw!$F$2:$F$2701,'(2018-19d)'!$D$1)</f>
        <v>20</v>
      </c>
      <c r="D20" s="37">
        <f>SUMIFS(raw!$H$2:$H$2701,raw!$B$2:$B$2701,'(2018-19d)'!$B20,raw!$E$2:$E$2701,'(2018-19d)'!D$3,raw!$F$2:$F$2701,'(2018-19d)'!$D$1)</f>
        <v>1</v>
      </c>
      <c r="E20" s="37">
        <f>SUMIFS(raw!$H$2:$H$2701,raw!$B$2:$B$2701,'(2018-19d)'!$B20,raw!$E$2:$E$2701,'(2018-19d)'!E$3,raw!$F$2:$F$2701,'(2018-19d)'!$D$1)</f>
        <v>0</v>
      </c>
      <c r="F20" s="37">
        <f>SUMIFS(raw!$H$2:$H$2701,raw!$B$2:$B$2701,'(2018-19d)'!$B20,raw!$E$2:$E$2701,'(2018-19d)'!F$3,raw!$F$2:$F$2701,'(2018-19d)'!$D$1)</f>
        <v>0</v>
      </c>
      <c r="G20" s="223"/>
      <c r="H20" s="223"/>
    </row>
    <row r="21" spans="2:8" ht="13" x14ac:dyDescent="0.3">
      <c r="B21" s="223" t="s">
        <v>23</v>
      </c>
      <c r="C21" s="37">
        <f>SUMIFS(raw!$H$2:$H$2701,raw!$B$2:$B$2701,'(2018-19d)'!$B21,raw!$E$2:$E$2701,'(2018-19d)'!C$3,raw!$F$2:$F$2701,'(2018-19d)'!$D$1)</f>
        <v>9</v>
      </c>
      <c r="D21" s="37">
        <f>SUMIFS(raw!$H$2:$H$2701,raw!$B$2:$B$2701,'(2018-19d)'!$B21,raw!$E$2:$E$2701,'(2018-19d)'!D$3,raw!$F$2:$F$2701,'(2018-19d)'!$D$1)</f>
        <v>0</v>
      </c>
      <c r="E21" s="37">
        <f>SUMIFS(raw!$H$2:$H$2701,raw!$B$2:$B$2701,'(2018-19d)'!$B21,raw!$E$2:$E$2701,'(2018-19d)'!E$3,raw!$F$2:$F$2701,'(2018-19d)'!$D$1)</f>
        <v>0</v>
      </c>
      <c r="F21" s="37">
        <f>SUMIFS(raw!$H$2:$H$2701,raw!$B$2:$B$2701,'(2018-19d)'!$B21,raw!$E$2:$E$2701,'(2018-19d)'!F$3,raw!$F$2:$F$2701,'(2018-19d)'!$D$1)</f>
        <v>0</v>
      </c>
      <c r="G21" s="223"/>
      <c r="H21" s="223"/>
    </row>
    <row r="22" spans="2:8" ht="13" x14ac:dyDescent="0.3">
      <c r="B22" s="223" t="s">
        <v>24</v>
      </c>
      <c r="C22" s="37">
        <f>SUMIFS(raw!$H$2:$H$2701,raw!$B$2:$B$2701,'(2018-19d)'!$B22,raw!$E$2:$E$2701,'(2018-19d)'!C$3,raw!$F$2:$F$2701,'(2018-19d)'!$D$1)</f>
        <v>4</v>
      </c>
      <c r="D22" s="37">
        <f>SUMIFS(raw!$H$2:$H$2701,raw!$B$2:$B$2701,'(2018-19d)'!$B22,raw!$E$2:$E$2701,'(2018-19d)'!D$3,raw!$F$2:$F$2701,'(2018-19d)'!$D$1)</f>
        <v>2</v>
      </c>
      <c r="E22" s="37">
        <f>SUMIFS(raw!$H$2:$H$2701,raw!$B$2:$B$2701,'(2018-19d)'!$B22,raw!$E$2:$E$2701,'(2018-19d)'!E$3,raw!$F$2:$F$2701,'(2018-19d)'!$D$1)</f>
        <v>0</v>
      </c>
      <c r="F22" s="37">
        <f>SUMIFS(raw!$H$2:$H$2701,raw!$B$2:$B$2701,'(2018-19d)'!$B22,raw!$E$2:$E$2701,'(2018-19d)'!F$3,raw!$F$2:$F$2701,'(2018-19d)'!$D$1)</f>
        <v>0</v>
      </c>
      <c r="G22" s="223"/>
      <c r="H22" s="223"/>
    </row>
    <row r="23" spans="2:8" ht="13" x14ac:dyDescent="0.3">
      <c r="B23" s="223" t="s">
        <v>214</v>
      </c>
      <c r="C23" s="37">
        <f>SUMIFS(raw!$H$2:$H$2701,raw!$B$2:$B$2701,'(2018-19d)'!$B23,raw!$E$2:$E$2701,'(2018-19d)'!C$3,raw!$F$2:$F$2701,'(2018-19d)'!$D$1)</f>
        <v>8</v>
      </c>
      <c r="D23" s="37">
        <f>SUMIFS(raw!$H$2:$H$2701,raw!$B$2:$B$2701,'(2018-19d)'!$B23,raw!$E$2:$E$2701,'(2018-19d)'!D$3,raw!$F$2:$F$2701,'(2018-19d)'!$D$1)</f>
        <v>0</v>
      </c>
      <c r="E23" s="37">
        <f>SUMIFS(raw!$H$2:$H$2701,raw!$B$2:$B$2701,'(2018-19d)'!$B23,raw!$E$2:$E$2701,'(2018-19d)'!E$3,raw!$F$2:$F$2701,'(2018-19d)'!$D$1)</f>
        <v>0</v>
      </c>
      <c r="F23" s="37">
        <f>SUMIFS(raw!$H$2:$H$2701,raw!$B$2:$B$2701,'(2018-19d)'!$B23,raw!$E$2:$E$2701,'(2018-19d)'!F$3,raw!$F$2:$F$2701,'(2018-19d)'!$D$1)</f>
        <v>0</v>
      </c>
      <c r="G23" s="223"/>
      <c r="H23" s="223"/>
    </row>
    <row r="24" spans="2:8" ht="13" x14ac:dyDescent="0.3">
      <c r="B24" s="223" t="s">
        <v>26</v>
      </c>
      <c r="C24" s="37">
        <f>SUMIFS(raw!$H$2:$H$2701,raw!$B$2:$B$2701,'(2018-19d)'!$B24,raw!$E$2:$E$2701,'(2018-19d)'!C$3,raw!$F$2:$F$2701,'(2018-19d)'!$D$1)</f>
        <v>4</v>
      </c>
      <c r="D24" s="37">
        <f>SUMIFS(raw!$H$2:$H$2701,raw!$B$2:$B$2701,'(2018-19d)'!$B24,raw!$E$2:$E$2701,'(2018-19d)'!D$3,raw!$F$2:$F$2701,'(2018-19d)'!$D$1)</f>
        <v>0</v>
      </c>
      <c r="E24" s="37">
        <f>SUMIFS(raw!$H$2:$H$2701,raw!$B$2:$B$2701,'(2018-19d)'!$B24,raw!$E$2:$E$2701,'(2018-19d)'!E$3,raw!$F$2:$F$2701,'(2018-19d)'!$D$1)</f>
        <v>0</v>
      </c>
      <c r="F24" s="37">
        <f>SUMIFS(raw!$H$2:$H$2701,raw!$B$2:$B$2701,'(2018-19d)'!$B24,raw!$E$2:$E$2701,'(2018-19d)'!F$3,raw!$F$2:$F$2701,'(2018-19d)'!$D$1)</f>
        <v>0</v>
      </c>
      <c r="G24" s="223"/>
      <c r="H24" s="223"/>
    </row>
    <row r="25" spans="2:8" ht="13" x14ac:dyDescent="0.3">
      <c r="B25" s="223" t="s">
        <v>27</v>
      </c>
      <c r="C25" s="37">
        <f>SUMIFS(raw!$H$2:$H$2701,raw!$B$2:$B$2701,'(2018-19d)'!$B25,raw!$E$2:$E$2701,'(2018-19d)'!C$3,raw!$F$2:$F$2701,'(2018-19d)'!$D$1)</f>
        <v>11</v>
      </c>
      <c r="D25" s="37">
        <f>SUMIFS(raw!$H$2:$H$2701,raw!$B$2:$B$2701,'(2018-19d)'!$B25,raw!$E$2:$E$2701,'(2018-19d)'!D$3,raw!$F$2:$F$2701,'(2018-19d)'!$D$1)</f>
        <v>1</v>
      </c>
      <c r="E25" s="37">
        <f>SUMIFS(raw!$H$2:$H$2701,raw!$B$2:$B$2701,'(2018-19d)'!$B25,raw!$E$2:$E$2701,'(2018-19d)'!E$3,raw!$F$2:$F$2701,'(2018-19d)'!$D$1)</f>
        <v>0</v>
      </c>
      <c r="F25" s="37">
        <f>SUMIFS(raw!$H$2:$H$2701,raw!$B$2:$B$2701,'(2018-19d)'!$B25,raw!$E$2:$E$2701,'(2018-19d)'!F$3,raw!$F$2:$F$2701,'(2018-19d)'!$D$1)</f>
        <v>0</v>
      </c>
      <c r="G25" s="223"/>
      <c r="H25" s="223"/>
    </row>
    <row r="26" spans="2:8" ht="13" x14ac:dyDescent="0.3">
      <c r="B26" s="223" t="s">
        <v>28</v>
      </c>
      <c r="C26" s="37">
        <f>SUMIFS(raw!$H$2:$H$2701,raw!$B$2:$B$2701,'(2018-19d)'!$B26,raw!$E$2:$E$2701,'(2018-19d)'!C$3,raw!$F$2:$F$2701,'(2018-19d)'!$D$1)</f>
        <v>2</v>
      </c>
      <c r="D26" s="37">
        <f>SUMIFS(raw!$H$2:$H$2701,raw!$B$2:$B$2701,'(2018-19d)'!$B26,raw!$E$2:$E$2701,'(2018-19d)'!D$3,raw!$F$2:$F$2701,'(2018-19d)'!$D$1)</f>
        <v>0</v>
      </c>
      <c r="E26" s="37">
        <f>SUMIFS(raw!$H$2:$H$2701,raw!$B$2:$B$2701,'(2018-19d)'!$B26,raw!$E$2:$E$2701,'(2018-19d)'!E$3,raw!$F$2:$F$2701,'(2018-19d)'!$D$1)</f>
        <v>0</v>
      </c>
      <c r="F26" s="37">
        <f>SUMIFS(raw!$H$2:$H$2701,raw!$B$2:$B$2701,'(2018-19d)'!$B26,raw!$E$2:$E$2701,'(2018-19d)'!F$3,raw!$F$2:$F$2701,'(2018-19d)'!$D$1)</f>
        <v>0</v>
      </c>
      <c r="G26" s="223"/>
      <c r="H26" s="223"/>
    </row>
    <row r="27" spans="2:8" ht="13" x14ac:dyDescent="0.3">
      <c r="B27" s="223" t="s">
        <v>29</v>
      </c>
      <c r="C27" s="37">
        <f>SUMIFS(raw!$H$2:$H$2701,raw!$B$2:$B$2701,'(2018-19d)'!$B27,raw!$E$2:$E$2701,'(2018-19d)'!C$3,raw!$F$2:$F$2701,'(2018-19d)'!$D$1)</f>
        <v>16</v>
      </c>
      <c r="D27" s="37">
        <f>SUMIFS(raw!$H$2:$H$2701,raw!$B$2:$B$2701,'(2018-19d)'!$B27,raw!$E$2:$E$2701,'(2018-19d)'!D$3,raw!$F$2:$F$2701,'(2018-19d)'!$D$1)</f>
        <v>2</v>
      </c>
      <c r="E27" s="37">
        <f>SUMIFS(raw!$H$2:$H$2701,raw!$B$2:$B$2701,'(2018-19d)'!$B27,raw!$E$2:$E$2701,'(2018-19d)'!E$3,raw!$F$2:$F$2701,'(2018-19d)'!$D$1)</f>
        <v>0</v>
      </c>
      <c r="F27" s="37">
        <f>SUMIFS(raw!$H$2:$H$2701,raw!$B$2:$B$2701,'(2018-19d)'!$B27,raw!$E$2:$E$2701,'(2018-19d)'!F$3,raw!$F$2:$F$2701,'(2018-19d)'!$D$1)</f>
        <v>0</v>
      </c>
      <c r="G27" s="223"/>
      <c r="H27" s="223"/>
    </row>
    <row r="28" spans="2:8" ht="13" x14ac:dyDescent="0.3">
      <c r="B28" s="223" t="s">
        <v>30</v>
      </c>
      <c r="C28" s="37">
        <f>SUMIFS(raw!$H$2:$H$2701,raw!$B$2:$B$2701,'(2018-19d)'!$B28,raw!$E$2:$E$2701,'(2018-19d)'!C$3,raw!$F$2:$F$2701,'(2018-19d)'!$D$1)</f>
        <v>15</v>
      </c>
      <c r="D28" s="37">
        <f>SUMIFS(raw!$H$2:$H$2701,raw!$B$2:$B$2701,'(2018-19d)'!$B28,raw!$E$2:$E$2701,'(2018-19d)'!D$3,raw!$F$2:$F$2701,'(2018-19d)'!$D$1)</f>
        <v>1</v>
      </c>
      <c r="E28" s="37">
        <f>SUMIFS(raw!$H$2:$H$2701,raw!$B$2:$B$2701,'(2018-19d)'!$B28,raw!$E$2:$E$2701,'(2018-19d)'!E$3,raw!$F$2:$F$2701,'(2018-19d)'!$D$1)</f>
        <v>0</v>
      </c>
      <c r="F28" s="37">
        <f>SUMIFS(raw!$H$2:$H$2701,raw!$B$2:$B$2701,'(2018-19d)'!$B28,raw!$E$2:$E$2701,'(2018-19d)'!F$3,raw!$F$2:$F$2701,'(2018-19d)'!$D$1)</f>
        <v>0</v>
      </c>
      <c r="G28" s="223"/>
      <c r="H28" s="223"/>
    </row>
    <row r="29" spans="2:8" ht="13" x14ac:dyDescent="0.3">
      <c r="B29" s="223" t="s">
        <v>31</v>
      </c>
      <c r="C29" s="37">
        <f>SUMIFS(raw!$H$2:$H$2701,raw!$B$2:$B$2701,'(2018-19d)'!$B29,raw!$E$2:$E$2701,'(2018-19d)'!C$3,raw!$F$2:$F$2701,'(2018-19d)'!$D$1)</f>
        <v>17</v>
      </c>
      <c r="D29" s="37">
        <f>SUMIFS(raw!$H$2:$H$2701,raw!$B$2:$B$2701,'(2018-19d)'!$B29,raw!$E$2:$E$2701,'(2018-19d)'!D$3,raw!$F$2:$F$2701,'(2018-19d)'!$D$1)</f>
        <v>0</v>
      </c>
      <c r="E29" s="37">
        <f>SUMIFS(raw!$H$2:$H$2701,raw!$B$2:$B$2701,'(2018-19d)'!$B29,raw!$E$2:$E$2701,'(2018-19d)'!E$3,raw!$F$2:$F$2701,'(2018-19d)'!$D$1)</f>
        <v>0</v>
      </c>
      <c r="F29" s="37">
        <f>SUMIFS(raw!$H$2:$H$2701,raw!$B$2:$B$2701,'(2018-19d)'!$B29,raw!$E$2:$E$2701,'(2018-19d)'!F$3,raw!$F$2:$F$2701,'(2018-19d)'!$D$1)</f>
        <v>0</v>
      </c>
      <c r="G29" s="223"/>
      <c r="H29" s="223"/>
    </row>
    <row r="30" spans="2:8" ht="13" x14ac:dyDescent="0.3">
      <c r="B30" s="223" t="s">
        <v>32</v>
      </c>
      <c r="C30" s="37">
        <f>SUMIFS(raw!$H$2:$H$2701,raw!$B$2:$B$2701,'(2018-19d)'!$B30,raw!$E$2:$E$2701,'(2018-19d)'!C$3,raw!$F$2:$F$2701,'(2018-19d)'!$D$1)</f>
        <v>8</v>
      </c>
      <c r="D30" s="37">
        <f>SUMIFS(raw!$H$2:$H$2701,raw!$B$2:$B$2701,'(2018-19d)'!$B30,raw!$E$2:$E$2701,'(2018-19d)'!D$3,raw!$F$2:$F$2701,'(2018-19d)'!$D$1)</f>
        <v>0</v>
      </c>
      <c r="E30" s="37">
        <f>SUMIFS(raw!$H$2:$H$2701,raw!$B$2:$B$2701,'(2018-19d)'!$B30,raw!$E$2:$E$2701,'(2018-19d)'!E$3,raw!$F$2:$F$2701,'(2018-19d)'!$D$1)</f>
        <v>0</v>
      </c>
      <c r="F30" s="37">
        <f>SUMIFS(raw!$H$2:$H$2701,raw!$B$2:$B$2701,'(2018-19d)'!$B30,raw!$E$2:$E$2701,'(2018-19d)'!F$3,raw!$F$2:$F$2701,'(2018-19d)'!$D$1)</f>
        <v>0</v>
      </c>
      <c r="G30" s="223"/>
      <c r="H30" s="223"/>
    </row>
    <row r="31" spans="2:8" ht="13" x14ac:dyDescent="0.3">
      <c r="B31" s="223" t="s">
        <v>33</v>
      </c>
      <c r="C31" s="37">
        <f>SUMIFS(raw!$H$2:$H$2701,raw!$B$2:$B$2701,'(2018-19d)'!$B31,raw!$E$2:$E$2701,'(2018-19d)'!C$3,raw!$F$2:$F$2701,'(2018-19d)'!$D$1)</f>
        <v>4</v>
      </c>
      <c r="D31" s="37">
        <f>SUMIFS(raw!$H$2:$H$2701,raw!$B$2:$B$2701,'(2018-19d)'!$B31,raw!$E$2:$E$2701,'(2018-19d)'!D$3,raw!$F$2:$F$2701,'(2018-19d)'!$D$1)</f>
        <v>0</v>
      </c>
      <c r="E31" s="37">
        <f>SUMIFS(raw!$H$2:$H$2701,raw!$B$2:$B$2701,'(2018-19d)'!$B31,raw!$E$2:$E$2701,'(2018-19d)'!E$3,raw!$F$2:$F$2701,'(2018-19d)'!$D$1)</f>
        <v>0</v>
      </c>
      <c r="F31" s="37">
        <f>SUMIFS(raw!$H$2:$H$2701,raw!$B$2:$B$2701,'(2018-19d)'!$B31,raw!$E$2:$E$2701,'(2018-19d)'!F$3,raw!$F$2:$F$2701,'(2018-19d)'!$D$1)</f>
        <v>0</v>
      </c>
      <c r="G31" s="223"/>
      <c r="H31" s="223"/>
    </row>
    <row r="32" spans="2:8" ht="13" x14ac:dyDescent="0.3">
      <c r="B32" s="223" t="s">
        <v>34</v>
      </c>
      <c r="C32" s="37">
        <f>SUMIFS(raw!$H$2:$H$2701,raw!$B$2:$B$2701,'(2018-19d)'!$B32,raw!$E$2:$E$2701,'(2018-19d)'!C$3,raw!$F$2:$F$2701,'(2018-19d)'!$D$1)</f>
        <v>6</v>
      </c>
      <c r="D32" s="37">
        <f>SUMIFS(raw!$H$2:$H$2701,raw!$B$2:$B$2701,'(2018-19d)'!$B32,raw!$E$2:$E$2701,'(2018-19d)'!D$3,raw!$F$2:$F$2701,'(2018-19d)'!$D$1)</f>
        <v>0</v>
      </c>
      <c r="E32" s="37">
        <f>SUMIFS(raw!$H$2:$H$2701,raw!$B$2:$B$2701,'(2018-19d)'!$B32,raw!$E$2:$E$2701,'(2018-19d)'!E$3,raw!$F$2:$F$2701,'(2018-19d)'!$D$1)</f>
        <v>0</v>
      </c>
      <c r="F32" s="37">
        <f>SUMIFS(raw!$H$2:$H$2701,raw!$B$2:$B$2701,'(2018-19d)'!$B32,raw!$E$2:$E$2701,'(2018-19d)'!F$3,raw!$F$2:$F$2701,'(2018-19d)'!$D$1)</f>
        <v>0</v>
      </c>
      <c r="G32" s="223"/>
      <c r="H32" s="223"/>
    </row>
    <row r="33" spans="1:11" ht="14" x14ac:dyDescent="0.3">
      <c r="B33" s="223" t="s">
        <v>35</v>
      </c>
      <c r="C33" s="37">
        <f>SUMIFS(raw!$H$2:$H$2701,raw!$B$2:$B$2701,'(2018-19d)'!$B33,raw!$E$2:$E$2701,'(2018-19d)'!C$3,raw!$F$2:$F$2701,'(2018-19d)'!$D$1)</f>
        <v>13</v>
      </c>
      <c r="D33" s="37">
        <f>SUMIFS(raw!$H$2:$H$2701,raw!$B$2:$B$2701,'(2018-19d)'!$B33,raw!$E$2:$E$2701,'(2018-19d)'!D$3,raw!$F$2:$F$2701,'(2018-19d)'!$D$1)</f>
        <v>0</v>
      </c>
      <c r="E33" s="37">
        <f>SUMIFS(raw!$H$2:$H$2701,raw!$B$2:$B$2701,'(2018-19d)'!$B33,raw!$E$2:$E$2701,'(2018-19d)'!E$3,raw!$F$2:$F$2701,'(2018-19d)'!$D$1)</f>
        <v>0</v>
      </c>
      <c r="F33" s="37">
        <f>SUMIFS(raw!$H$2:$H$2701,raw!$B$2:$B$2701,'(2018-19d)'!$B33,raw!$E$2:$E$2701,'(2018-19d)'!F$3,raw!$F$2:$F$2701,'(2018-19d)'!$D$1)</f>
        <v>0</v>
      </c>
      <c r="G33" s="223"/>
      <c r="H33" s="223"/>
      <c r="I33" s="11"/>
    </row>
    <row r="34" spans="1:11" ht="13" x14ac:dyDescent="0.3">
      <c r="B34" s="223" t="s">
        <v>36</v>
      </c>
      <c r="C34" s="37">
        <f>SUMIFS(raw!$H$2:$H$2701,raw!$B$2:$B$2701,'(2018-19d)'!$B34,raw!$E$2:$E$2701,'(2018-19d)'!C$3,raw!$F$2:$F$2701,'(2018-19d)'!$D$1)</f>
        <v>6</v>
      </c>
      <c r="D34" s="37">
        <f>SUMIFS(raw!$H$2:$H$2701,raw!$B$2:$B$2701,'(2018-19d)'!$B34,raw!$E$2:$E$2701,'(2018-19d)'!D$3,raw!$F$2:$F$2701,'(2018-19d)'!$D$1)</f>
        <v>1</v>
      </c>
      <c r="E34" s="37">
        <f>SUMIFS(raw!$H$2:$H$2701,raw!$B$2:$B$2701,'(2018-19d)'!$B34,raw!$E$2:$E$2701,'(2018-19d)'!E$3,raw!$F$2:$F$2701,'(2018-19d)'!$D$1)</f>
        <v>0</v>
      </c>
      <c r="F34" s="37">
        <f>SUMIFS(raw!$H$2:$H$2701,raw!$B$2:$B$2701,'(2018-19d)'!$B34,raw!$E$2:$E$2701,'(2018-19d)'!F$3,raw!$F$2:$F$2701,'(2018-19d)'!$D$1)</f>
        <v>0</v>
      </c>
      <c r="G34" s="223"/>
      <c r="H34" s="223"/>
    </row>
    <row r="35" spans="1:11" ht="13" x14ac:dyDescent="0.3">
      <c r="B35" s="223" t="s">
        <v>37</v>
      </c>
      <c r="C35" s="37">
        <f>SUMIFS(raw!$H$2:$H$2701,raw!$B$2:$B$2701,'(2018-19d)'!$B35,raw!$E$2:$E$2701,'(2018-19d)'!C$3,raw!$F$2:$F$2701,'(2018-19d)'!$D$1)</f>
        <v>4</v>
      </c>
      <c r="D35" s="37">
        <f>SUMIFS(raw!$H$2:$H$2701,raw!$B$2:$B$2701,'(2018-19d)'!$B35,raw!$E$2:$E$2701,'(2018-19d)'!D$3,raw!$F$2:$F$2701,'(2018-19d)'!$D$1)</f>
        <v>0</v>
      </c>
      <c r="E35" s="37">
        <f>SUMIFS(raw!$H$2:$H$2701,raw!$B$2:$B$2701,'(2018-19d)'!$B35,raw!$E$2:$E$2701,'(2018-19d)'!E$3,raw!$F$2:$F$2701,'(2018-19d)'!$D$1)</f>
        <v>0</v>
      </c>
      <c r="F35" s="37">
        <f>SUMIFS(raw!$H$2:$H$2701,raw!$B$2:$B$2701,'(2018-19d)'!$B35,raw!$E$2:$E$2701,'(2018-19d)'!F$3,raw!$F$2:$F$2701,'(2018-19d)'!$D$1)</f>
        <v>0</v>
      </c>
      <c r="G35" s="223"/>
      <c r="H35" s="223"/>
    </row>
    <row r="36" spans="1:11" ht="13" x14ac:dyDescent="0.3">
      <c r="B36" s="223" t="s">
        <v>38</v>
      </c>
      <c r="C36" s="37">
        <f>SUMIFS(raw!$H$2:$H$2701,raw!$B$2:$B$2701,'(2018-19d)'!$B36,raw!$E$2:$E$2701,'(2018-19d)'!C$3,raw!$F$2:$F$2701,'(2018-19d)'!$D$1)</f>
        <v>3</v>
      </c>
      <c r="D36" s="37">
        <f>SUMIFS(raw!$H$2:$H$2701,raw!$B$2:$B$2701,'(2018-19d)'!$B36,raw!$E$2:$E$2701,'(2018-19d)'!D$3,raw!$F$2:$F$2701,'(2018-19d)'!$D$1)</f>
        <v>0</v>
      </c>
      <c r="E36" s="37">
        <f>SUMIFS(raw!$H$2:$H$2701,raw!$B$2:$B$2701,'(2018-19d)'!$B36,raw!$E$2:$E$2701,'(2018-19d)'!E$3,raw!$F$2:$F$2701,'(2018-19d)'!$D$1)</f>
        <v>0</v>
      </c>
      <c r="F36" s="37">
        <f>SUMIFS(raw!$H$2:$H$2701,raw!$B$2:$B$2701,'(2018-19d)'!$B36,raw!$E$2:$E$2701,'(2018-19d)'!F$3,raw!$F$2:$F$2701,'(2018-19d)'!$D$1)</f>
        <v>0</v>
      </c>
      <c r="G36" s="223"/>
      <c r="H36" s="223"/>
    </row>
    <row r="37" spans="1:11" ht="13" x14ac:dyDescent="0.3">
      <c r="B37" s="223" t="s">
        <v>39</v>
      </c>
      <c r="C37" s="37">
        <f>SUMIFS(raw!$H$2:$H$2701,raw!$B$2:$B$2701,'(2018-19d)'!$B37,raw!$E$2:$E$2701,'(2018-19d)'!C$3,raw!$F$2:$F$2701,'(2018-19d)'!$D$1)</f>
        <v>15</v>
      </c>
      <c r="D37" s="37">
        <f>SUMIFS(raw!$H$2:$H$2701,raw!$B$2:$B$2701,'(2018-19d)'!$B37,raw!$E$2:$E$2701,'(2018-19d)'!D$3,raw!$F$2:$F$2701,'(2018-19d)'!$D$1)</f>
        <v>1</v>
      </c>
      <c r="E37" s="37">
        <f>SUMIFS(raw!$H$2:$H$2701,raw!$B$2:$B$2701,'(2018-19d)'!$B37,raw!$E$2:$E$2701,'(2018-19d)'!E$3,raw!$F$2:$F$2701,'(2018-19d)'!$D$1)</f>
        <v>0</v>
      </c>
      <c r="F37" s="37">
        <f>SUMIFS(raw!$H$2:$H$2701,raw!$B$2:$B$2701,'(2018-19d)'!$B37,raw!$E$2:$E$2701,'(2018-19d)'!F$3,raw!$F$2:$F$2701,'(2018-19d)'!$D$1)</f>
        <v>0</v>
      </c>
      <c r="G37" s="223"/>
      <c r="H37" s="223"/>
    </row>
    <row r="38" spans="1:11" ht="14" x14ac:dyDescent="0.3">
      <c r="B38" s="223" t="s">
        <v>40</v>
      </c>
      <c r="C38" s="37">
        <f>SUMIFS(raw!$H$2:$H$2701,raw!$B$2:$B$2701,'(2018-19d)'!$B38,raw!$E$2:$E$2701,'(2018-19d)'!C$3,raw!$F$2:$F$2701,'(2018-19d)'!$D$1)</f>
        <v>11</v>
      </c>
      <c r="D38" s="37">
        <f>SUMIFS(raw!$H$2:$H$2701,raw!$B$2:$B$2701,'(2018-19d)'!$B38,raw!$E$2:$E$2701,'(2018-19d)'!D$3,raw!$F$2:$F$2701,'(2018-19d)'!$D$1)</f>
        <v>0</v>
      </c>
      <c r="E38" s="37">
        <f>SUMIFS(raw!$H$2:$H$2701,raw!$B$2:$B$2701,'(2018-19d)'!$B38,raw!$E$2:$E$2701,'(2018-19d)'!E$3,raw!$F$2:$F$2701,'(2018-19d)'!$D$1)</f>
        <v>0</v>
      </c>
      <c r="F38" s="37">
        <f>SUMIFS(raw!$H$2:$H$2701,raw!$B$2:$B$2701,'(2018-19d)'!$B38,raw!$E$2:$E$2701,'(2018-19d)'!F$3,raw!$F$2:$F$2701,'(2018-19d)'!$D$1)</f>
        <v>0</v>
      </c>
      <c r="G38" s="223"/>
      <c r="H38" s="223"/>
      <c r="J38" s="11"/>
    </row>
    <row r="39" spans="1:11" ht="14" x14ac:dyDescent="0.3">
      <c r="B39" s="223" t="s">
        <v>41</v>
      </c>
      <c r="C39" s="37">
        <f>SUMIFS(raw!$H$2:$H$2701,raw!$B$2:$B$2701,'(2018-19d)'!$B39,raw!$E$2:$E$2701,'(2018-19d)'!C$3,raw!$F$2:$F$2701,'(2018-19d)'!$D$1)</f>
        <v>3</v>
      </c>
      <c r="D39" s="37">
        <f>SUMIFS(raw!$H$2:$H$2701,raw!$B$2:$B$2701,'(2018-19d)'!$B39,raw!$E$2:$E$2701,'(2018-19d)'!D$3,raw!$F$2:$F$2701,'(2018-19d)'!$D$1)</f>
        <v>1</v>
      </c>
      <c r="E39" s="37">
        <f>SUMIFS(raw!$H$2:$H$2701,raw!$B$2:$B$2701,'(2018-19d)'!$B39,raw!$E$2:$E$2701,'(2018-19d)'!E$3,raw!$F$2:$F$2701,'(2018-19d)'!$D$1)</f>
        <v>0</v>
      </c>
      <c r="F39" s="37">
        <f>SUMIFS(raw!$H$2:$H$2701,raw!$B$2:$B$2701,'(2018-19d)'!$B39,raw!$E$2:$E$2701,'(2018-19d)'!F$3,raw!$F$2:$F$2701,'(2018-19d)'!$D$1)</f>
        <v>0</v>
      </c>
      <c r="G39" s="223"/>
      <c r="H39" s="223"/>
      <c r="K39" s="11"/>
    </row>
    <row r="40" spans="1:11" ht="13" x14ac:dyDescent="0.3">
      <c r="B40" s="223" t="s">
        <v>42</v>
      </c>
      <c r="C40" s="37">
        <f>SUMIFS(raw!$H$2:$H$2701,raw!$B$2:$B$2701,'(2018-19d)'!$B40,raw!$E$2:$E$2701,'(2018-19d)'!C$3,raw!$F$2:$F$2701,'(2018-19d)'!$D$1)</f>
        <v>13</v>
      </c>
      <c r="D40" s="37">
        <f>SUMIFS(raw!$H$2:$H$2701,raw!$B$2:$B$2701,'(2018-19d)'!$B40,raw!$E$2:$E$2701,'(2018-19d)'!D$3,raw!$F$2:$F$2701,'(2018-19d)'!$D$1)</f>
        <v>3</v>
      </c>
      <c r="E40" s="37">
        <f>SUMIFS(raw!$H$2:$H$2701,raw!$B$2:$B$2701,'(2018-19d)'!$B40,raw!$E$2:$E$2701,'(2018-19d)'!E$3,raw!$F$2:$F$2701,'(2018-19d)'!$D$1)</f>
        <v>0</v>
      </c>
      <c r="F40" s="37">
        <f>SUMIFS(raw!$H$2:$H$2701,raw!$B$2:$B$2701,'(2018-19d)'!$B40,raw!$E$2:$E$2701,'(2018-19d)'!F$3,raw!$F$2:$F$2701,'(2018-19d)'!$D$1)</f>
        <v>0</v>
      </c>
      <c r="G40" s="223"/>
      <c r="H40" s="223"/>
    </row>
    <row r="41" spans="1:11" s="11" customFormat="1" ht="14" x14ac:dyDescent="0.3">
      <c r="A41" s="50"/>
      <c r="B41" s="223" t="s">
        <v>43</v>
      </c>
      <c r="C41" s="37">
        <f>SUMIFS(raw!$H$2:$H$2701,raw!$B$2:$B$2701,'(2018-19d)'!$B41,raw!$E$2:$E$2701,'(2018-19d)'!C$3,raw!$F$2:$F$2701,'(2018-19d)'!$D$1)</f>
        <v>4</v>
      </c>
      <c r="D41" s="37">
        <f>SUMIFS(raw!$H$2:$H$2701,raw!$B$2:$B$2701,'(2018-19d)'!$B41,raw!$E$2:$E$2701,'(2018-19d)'!D$3,raw!$F$2:$F$2701,'(2018-19d)'!$D$1)</f>
        <v>1</v>
      </c>
      <c r="E41" s="37">
        <f>SUMIFS(raw!$H$2:$H$2701,raw!$B$2:$B$2701,'(2018-19d)'!$B41,raw!$E$2:$E$2701,'(2018-19d)'!E$3,raw!$F$2:$F$2701,'(2018-19d)'!$D$1)</f>
        <v>0</v>
      </c>
      <c r="F41" s="37">
        <f>SUMIFS(raw!$H$2:$H$2701,raw!$B$2:$B$2701,'(2018-19d)'!$B41,raw!$E$2:$E$2701,'(2018-19d)'!F$3,raw!$F$2:$F$2701,'(2018-19d)'!$D$1)</f>
        <v>0</v>
      </c>
      <c r="G41" s="223"/>
      <c r="H41" s="223"/>
    </row>
    <row r="42" spans="1:11" ht="13" x14ac:dyDescent="0.3">
      <c r="B42" s="223" t="s">
        <v>44</v>
      </c>
      <c r="C42" s="37">
        <f>SUMIFS(raw!$H$2:$H$2701,raw!$B$2:$B$2701,'(2018-19d)'!$B42,raw!$E$2:$E$2701,'(2018-19d)'!C$3,raw!$F$2:$F$2701,'(2018-19d)'!$D$1)</f>
        <v>2</v>
      </c>
      <c r="D42" s="37">
        <f>SUMIFS(raw!$H$2:$H$2701,raw!$B$2:$B$2701,'(2018-19d)'!$B42,raw!$E$2:$E$2701,'(2018-19d)'!D$3,raw!$F$2:$F$2701,'(2018-19d)'!$D$1)</f>
        <v>2</v>
      </c>
      <c r="E42" s="37">
        <f>SUMIFS(raw!$H$2:$H$2701,raw!$B$2:$B$2701,'(2018-19d)'!$B42,raw!$E$2:$E$2701,'(2018-19d)'!E$3,raw!$F$2:$F$2701,'(2018-19d)'!$D$1)</f>
        <v>0</v>
      </c>
      <c r="F42" s="37">
        <f>SUMIFS(raw!$H$2:$H$2701,raw!$B$2:$B$2701,'(2018-19d)'!$B42,raw!$E$2:$E$2701,'(2018-19d)'!F$3,raw!$F$2:$F$2701,'(2018-19d)'!$D$1)</f>
        <v>0</v>
      </c>
      <c r="G42" s="223"/>
      <c r="H42" s="223"/>
    </row>
    <row r="43" spans="1:11" ht="13" x14ac:dyDescent="0.3">
      <c r="B43" s="223" t="s">
        <v>46</v>
      </c>
      <c r="C43" s="37">
        <f>SUMIFS(raw!$H$2:$H$2701,raw!$B$2:$B$2701,'(2018-19d)'!$B43,raw!$E$2:$E$2701,'(2018-19d)'!C$3,raw!$F$2:$F$2701,'(2018-19d)'!$D$1)</f>
        <v>0</v>
      </c>
      <c r="D43" s="37">
        <f>SUMIFS(raw!$H$2:$H$2701,raw!$B$2:$B$2701,'(2018-19d)'!$B43,raw!$E$2:$E$2701,'(2018-19d)'!D$3,raw!$F$2:$F$2701,'(2018-19d)'!$D$1)</f>
        <v>0</v>
      </c>
      <c r="E43" s="37">
        <f>SUMIFS(raw!$H$2:$H$2701,raw!$B$2:$B$2701,'(2018-19d)'!$B43,raw!$E$2:$E$2701,'(2018-19d)'!E$3,raw!$F$2:$F$2701,'(2018-19d)'!$D$1)</f>
        <v>0</v>
      </c>
      <c r="F43" s="37">
        <f>SUMIFS(raw!$H$2:$H$2701,raw!$B$2:$B$2701,'(2018-19d)'!$B43,raw!$E$2:$E$2701,'(2018-19d)'!F$3,raw!$F$2:$F$2701,'(2018-19d)'!$D$1)</f>
        <v>0</v>
      </c>
      <c r="G43" s="223"/>
      <c r="H43" s="223"/>
    </row>
    <row r="44" spans="1:11" ht="13" x14ac:dyDescent="0.3">
      <c r="B44" s="223" t="s">
        <v>47</v>
      </c>
      <c r="C44" s="37">
        <f>SUM(C45:C51)</f>
        <v>207</v>
      </c>
      <c r="D44" s="37">
        <f t="shared" ref="D44:F44" si="0">SUM(D45:D51)</f>
        <v>16</v>
      </c>
      <c r="E44" s="37">
        <f t="shared" si="0"/>
        <v>3</v>
      </c>
      <c r="F44" s="37">
        <f t="shared" si="0"/>
        <v>0</v>
      </c>
      <c r="G44" s="223"/>
      <c r="H44" s="223"/>
    </row>
    <row r="45" spans="1:11" ht="13" x14ac:dyDescent="0.3">
      <c r="B45" s="223" t="s">
        <v>48</v>
      </c>
      <c r="C45" s="37">
        <f>SUMIFS(raw!$H$2:$H$2701,raw!$B$2:$B$2701,'(2018-19d)'!$B45,raw!$E$2:$E$2701,'(2018-19d)'!C$3,raw!$F$2:$F$2701,'(2018-19d)'!$D$1)</f>
        <v>22</v>
      </c>
      <c r="D45" s="37">
        <f>SUMIFS(raw!$H$2:$H$2701,raw!$B$2:$B$2701,'(2018-19d)'!$B45,raw!$E$2:$E$2701,'(2018-19d)'!D$3,raw!$F$2:$F$2701,'(2018-19d)'!$D$1)</f>
        <v>1</v>
      </c>
      <c r="E45" s="37">
        <f>SUMIFS(raw!$H$2:$H$2701,raw!$B$2:$B$2701,'(2018-19d)'!$B45,raw!$E$2:$E$2701,'(2018-19d)'!E$3,raw!$F$2:$F$2701,'(2018-19d)'!$D$1)</f>
        <v>0</v>
      </c>
      <c r="F45" s="37">
        <f>SUMIFS(raw!$H$2:$H$2701,raw!$B$2:$B$2701,'(2018-19d)'!$B45,raw!$E$2:$E$2701,'(2018-19d)'!F$3,raw!$F$2:$F$2701,'(2018-19d)'!$D$1)</f>
        <v>0</v>
      </c>
      <c r="G45" s="223"/>
      <c r="H45" s="223"/>
    </row>
    <row r="46" spans="1:11" ht="13" x14ac:dyDescent="0.3">
      <c r="B46" s="223" t="s">
        <v>49</v>
      </c>
      <c r="C46" s="37">
        <f>SUMIFS(raw!$H$2:$H$2701,raw!$B$2:$B$2701,'(2018-19d)'!$B46,raw!$E$2:$E$2701,'(2018-19d)'!C$3,raw!$F$2:$F$2701,'(2018-19d)'!$D$1)</f>
        <v>2</v>
      </c>
      <c r="D46" s="37">
        <f>SUMIFS(raw!$H$2:$H$2701,raw!$B$2:$B$2701,'(2018-19d)'!$B46,raw!$E$2:$E$2701,'(2018-19d)'!D$3,raw!$F$2:$F$2701,'(2018-19d)'!$D$1)</f>
        <v>0</v>
      </c>
      <c r="E46" s="37">
        <f>SUMIFS(raw!$H$2:$H$2701,raw!$B$2:$B$2701,'(2018-19d)'!$B46,raw!$E$2:$E$2701,'(2018-19d)'!E$3,raw!$F$2:$F$2701,'(2018-19d)'!$D$1)</f>
        <v>0</v>
      </c>
      <c r="F46" s="37">
        <f>SUMIFS(raw!$H$2:$H$2701,raw!$B$2:$B$2701,'(2018-19d)'!$B46,raw!$E$2:$E$2701,'(2018-19d)'!F$3,raw!$F$2:$F$2701,'(2018-19d)'!$D$1)</f>
        <v>0</v>
      </c>
      <c r="G46" s="223"/>
      <c r="H46" s="223"/>
    </row>
    <row r="47" spans="1:11" ht="13" x14ac:dyDescent="0.3">
      <c r="B47" s="223" t="s">
        <v>50</v>
      </c>
      <c r="C47" s="37">
        <f>SUMIFS(raw!$H$2:$H$2701,raw!$B$2:$B$2701,'(2018-19d)'!$B47,raw!$E$2:$E$2701,'(2018-19d)'!C$3,raw!$F$2:$F$2701,'(2018-19d)'!$D$1)</f>
        <v>27</v>
      </c>
      <c r="D47" s="37">
        <f>SUMIFS(raw!$H$2:$H$2701,raw!$B$2:$B$2701,'(2018-19d)'!$B47,raw!$E$2:$E$2701,'(2018-19d)'!D$3,raw!$F$2:$F$2701,'(2018-19d)'!$D$1)</f>
        <v>1</v>
      </c>
      <c r="E47" s="37">
        <f>SUMIFS(raw!$H$2:$H$2701,raw!$B$2:$B$2701,'(2018-19d)'!$B47,raw!$E$2:$E$2701,'(2018-19d)'!E$3,raw!$F$2:$F$2701,'(2018-19d)'!$D$1)</f>
        <v>0</v>
      </c>
      <c r="F47" s="37">
        <f>SUMIFS(raw!$H$2:$H$2701,raw!$B$2:$B$2701,'(2018-19d)'!$B47,raw!$E$2:$E$2701,'(2018-19d)'!F$3,raw!$F$2:$F$2701,'(2018-19d)'!$D$1)</f>
        <v>0</v>
      </c>
      <c r="G47" s="223"/>
      <c r="H47" s="223"/>
    </row>
    <row r="48" spans="1:11" ht="13" x14ac:dyDescent="0.3">
      <c r="B48" s="223" t="s">
        <v>215</v>
      </c>
      <c r="C48" s="37">
        <f>SUMIFS(raw!$H$2:$H$2701,raw!$B$2:$B$2701,'(2018-19d)'!$B48,raw!$E$2:$E$2701,'(2018-19d)'!C$3,raw!$F$2:$F$2701,'(2018-19d)'!$D$1)</f>
        <v>2</v>
      </c>
      <c r="D48" s="37">
        <f>SUMIFS(raw!$H$2:$H$2701,raw!$B$2:$B$2701,'(2018-19d)'!$B48,raw!$E$2:$E$2701,'(2018-19d)'!D$3,raw!$F$2:$F$2701,'(2018-19d)'!$D$1)</f>
        <v>0</v>
      </c>
      <c r="E48" s="37">
        <f>SUMIFS(raw!$H$2:$H$2701,raw!$B$2:$B$2701,'(2018-19d)'!$B48,raw!$E$2:$E$2701,'(2018-19d)'!E$3,raw!$F$2:$F$2701,'(2018-19d)'!$D$1)</f>
        <v>0</v>
      </c>
      <c r="F48" s="37">
        <f>SUMIFS(raw!$H$2:$H$2701,raw!$B$2:$B$2701,'(2018-19d)'!$B48,raw!$E$2:$E$2701,'(2018-19d)'!F$3,raw!$F$2:$F$2701,'(2018-19d)'!$D$1)</f>
        <v>0</v>
      </c>
      <c r="G48" s="223"/>
      <c r="H48" s="223"/>
    </row>
    <row r="49" spans="2:6" x14ac:dyDescent="0.3">
      <c r="B49" s="216" t="s">
        <v>52</v>
      </c>
      <c r="C49" s="37">
        <f>SUMIFS(raw!$H$2:$H$2701,raw!$B$2:$B$2701,'(2018-19d)'!$B49,raw!$E$2:$E$2701,'(2018-19d)'!C$3,raw!$F$2:$F$2701,'(2018-19d)'!$D$1)</f>
        <v>16</v>
      </c>
      <c r="D49" s="37">
        <f>SUMIFS(raw!$H$2:$H$2701,raw!$B$2:$B$2701,'(2018-19d)'!$B49,raw!$E$2:$E$2701,'(2018-19d)'!D$3,raw!$F$2:$F$2701,'(2018-19d)'!$D$1)</f>
        <v>2</v>
      </c>
      <c r="E49" s="37">
        <f>SUMIFS(raw!$H$2:$H$2701,raw!$B$2:$B$2701,'(2018-19d)'!$B49,raw!$E$2:$E$2701,'(2018-19d)'!E$3,raw!$F$2:$F$2701,'(2018-19d)'!$D$1)</f>
        <v>0</v>
      </c>
      <c r="F49" s="37">
        <f>SUMIFS(raw!$H$2:$H$2701,raw!$B$2:$B$2701,'(2018-19d)'!$B49,raw!$E$2:$E$2701,'(2018-19d)'!F$3,raw!$F$2:$F$2701,'(2018-19d)'!$D$1)</f>
        <v>0</v>
      </c>
    </row>
    <row r="50" spans="2:6" x14ac:dyDescent="0.3">
      <c r="B50" s="216" t="s">
        <v>53</v>
      </c>
      <c r="C50" s="37">
        <f>SUMIFS(raw!$H$2:$H$2701,raw!$B$2:$B$2701,'(2018-19d)'!$B50,raw!$E$2:$E$2701,'(2018-19d)'!C$3,raw!$F$2:$F$2701,'(2018-19d)'!$D$1)</f>
        <v>15</v>
      </c>
      <c r="D50" s="37">
        <f>SUMIFS(raw!$H$2:$H$2701,raw!$B$2:$B$2701,'(2018-19d)'!$B50,raw!$E$2:$E$2701,'(2018-19d)'!D$3,raw!$F$2:$F$2701,'(2018-19d)'!$D$1)</f>
        <v>0</v>
      </c>
      <c r="E50" s="37">
        <f>SUMIFS(raw!$H$2:$H$2701,raw!$B$2:$B$2701,'(2018-19d)'!$B50,raw!$E$2:$E$2701,'(2018-19d)'!E$3,raw!$F$2:$F$2701,'(2018-19d)'!$D$1)</f>
        <v>0</v>
      </c>
      <c r="F50" s="37">
        <f>SUMIFS(raw!$H$2:$H$2701,raw!$B$2:$B$2701,'(2018-19d)'!$B50,raw!$E$2:$E$2701,'(2018-19d)'!F$3,raw!$F$2:$F$2701,'(2018-19d)'!$D$1)</f>
        <v>0</v>
      </c>
    </row>
    <row r="51" spans="2:6" x14ac:dyDescent="0.3">
      <c r="B51" s="216" t="s">
        <v>54</v>
      </c>
      <c r="C51" s="37">
        <f>SUMIFS(raw!$H$2:$H$2701,raw!$B$2:$B$2701,'(2018-19d)'!$B51,raw!$E$2:$E$2701,'(2018-19d)'!C$3,raw!$F$2:$F$2701,'(2018-19d)'!$D$1)</f>
        <v>123</v>
      </c>
      <c r="D51" s="37">
        <f>SUMIFS(raw!$H$2:$H$2701,raw!$B$2:$B$2701,'(2018-19d)'!$B51,raw!$E$2:$E$2701,'(2018-19d)'!D$3,raw!$F$2:$F$2701,'(2018-19d)'!$D$1)</f>
        <v>12</v>
      </c>
      <c r="E51" s="37">
        <f>SUMIFS(raw!$H$2:$H$2701,raw!$B$2:$B$2701,'(2018-19d)'!$B51,raw!$E$2:$E$2701,'(2018-19d)'!E$3,raw!$F$2:$F$2701,'(2018-19d)'!$D$1)</f>
        <v>3</v>
      </c>
      <c r="F51" s="37">
        <f>SUMIFS(raw!$H$2:$H$2701,raw!$B$2:$B$2701,'(2018-19d)'!$B51,raw!$E$2:$E$2701,'(2018-19d)'!F$3,raw!$F$2:$F$2701,'(2018-19d)'!$D$1)</f>
        <v>0</v>
      </c>
    </row>
    <row r="52" spans="2:6" x14ac:dyDescent="0.3">
      <c r="C52" s="216"/>
      <c r="D52" s="216"/>
      <c r="E52" s="216"/>
      <c r="F52" s="216"/>
    </row>
    <row r="53" spans="2:6" x14ac:dyDescent="0.3">
      <c r="C53" s="216"/>
      <c r="D53" s="216"/>
      <c r="E53" s="216"/>
      <c r="F53" s="216"/>
    </row>
    <row r="54" spans="2:6" x14ac:dyDescent="0.3">
      <c r="C54" s="216"/>
      <c r="D54" s="216"/>
      <c r="E54" s="216"/>
      <c r="F54" s="216"/>
    </row>
    <row r="55" spans="2:6" x14ac:dyDescent="0.3">
      <c r="C55" s="216"/>
      <c r="D55" s="216"/>
      <c r="E55" s="216"/>
      <c r="F55" s="216"/>
    </row>
    <row r="57" spans="2:6" ht="12.65" customHeight="1" x14ac:dyDescent="0.3"/>
    <row r="58" spans="2:6" ht="12.65" customHeight="1" x14ac:dyDescent="0.3"/>
    <row r="59" spans="2:6" ht="12.65" customHeight="1" x14ac:dyDescent="0.3"/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A78A-F13A-4B5C-84FE-0EB9E37A2968}">
  <sheetPr codeName="Sheet46">
    <tabColor rgb="FF00B050"/>
  </sheetPr>
  <dimension ref="B2:S96"/>
  <sheetViews>
    <sheetView zoomScaleNormal="100" workbookViewId="0">
      <selection activeCell="A4" sqref="A2:J4"/>
    </sheetView>
  </sheetViews>
  <sheetFormatPr defaultRowHeight="13" x14ac:dyDescent="0.3"/>
  <sheetData>
    <row r="2" spans="2:19" x14ac:dyDescent="0.3">
      <c r="B2" s="198" t="s">
        <v>153</v>
      </c>
      <c r="C2" t="s">
        <v>154</v>
      </c>
    </row>
    <row r="3" spans="2:19" ht="14.5" x14ac:dyDescent="0.35">
      <c r="B3" s="208" t="s">
        <v>155</v>
      </c>
      <c r="C3" t="s">
        <v>156</v>
      </c>
    </row>
    <row r="4" spans="2:19" ht="14.5" x14ac:dyDescent="0.35">
      <c r="B4" s="208"/>
    </row>
    <row r="6" spans="2:19" ht="14.5" x14ac:dyDescent="0.35">
      <c r="B6" s="209" t="s">
        <v>157</v>
      </c>
      <c r="D6" s="209" t="s">
        <v>158</v>
      </c>
      <c r="F6" s="209" t="s">
        <v>159</v>
      </c>
      <c r="H6" s="210">
        <f>MAX(H8:H52)</f>
        <v>45</v>
      </c>
      <c r="I6" s="209" t="s">
        <v>160</v>
      </c>
      <c r="K6" s="209" t="s">
        <v>161</v>
      </c>
    </row>
    <row r="7" spans="2:19" ht="14.5" x14ac:dyDescent="0.35">
      <c r="B7" s="211" t="s">
        <v>273</v>
      </c>
      <c r="D7" s="212" t="s">
        <v>162</v>
      </c>
      <c r="F7" s="212" t="s">
        <v>165</v>
      </c>
      <c r="H7" s="210">
        <v>46</v>
      </c>
      <c r="I7" s="198" t="e">
        <f>VLOOKUP(H7,H8:I54,2,FALSE)</f>
        <v>#N/A</v>
      </c>
      <c r="K7" s="212" t="str">
        <f>CONCATENATE("_",D7,".xlsx")</f>
        <v>_2018_19.xlsx</v>
      </c>
    </row>
    <row r="8" spans="2:19" ht="14.5" x14ac:dyDescent="0.35">
      <c r="D8" s="213" t="str">
        <f>CONCATENATE(LEFT(D7,4),"-",RIGHT(D7,2))</f>
        <v>2018-19</v>
      </c>
      <c r="H8" s="264">
        <v>1</v>
      </c>
      <c r="I8" s="208" t="s">
        <v>8</v>
      </c>
      <c r="R8" s="214"/>
    </row>
    <row r="9" spans="2:19" ht="14.5" x14ac:dyDescent="0.35">
      <c r="D9" s="271">
        <v>2019</v>
      </c>
      <c r="H9" s="264">
        <v>2</v>
      </c>
      <c r="I9" s="208" t="s">
        <v>9</v>
      </c>
    </row>
    <row r="10" spans="2:19" ht="14.5" x14ac:dyDescent="0.35">
      <c r="H10" s="264">
        <v>3</v>
      </c>
      <c r="I10" s="208" t="s">
        <v>10</v>
      </c>
      <c r="N10" s="215"/>
    </row>
    <row r="11" spans="2:19" ht="14.5" x14ac:dyDescent="0.35">
      <c r="H11" s="264">
        <v>4</v>
      </c>
      <c r="I11" s="208" t="s">
        <v>11</v>
      </c>
      <c r="N11" s="215"/>
    </row>
    <row r="12" spans="2:19" ht="14.5" x14ac:dyDescent="0.35">
      <c r="H12" s="264">
        <v>5</v>
      </c>
      <c r="I12" s="208" t="s">
        <v>12</v>
      </c>
      <c r="N12" s="215"/>
    </row>
    <row r="13" spans="2:19" ht="14.5" x14ac:dyDescent="0.35">
      <c r="H13" s="264">
        <v>6</v>
      </c>
      <c r="I13" s="208" t="s">
        <v>13</v>
      </c>
      <c r="M13" s="209" t="s">
        <v>256</v>
      </c>
      <c r="N13" s="264"/>
      <c r="O13" s="266">
        <f>MAX(O15:O19)</f>
        <v>5</v>
      </c>
      <c r="P13" s="265" t="s">
        <v>257</v>
      </c>
      <c r="Q13" s="265" t="s">
        <v>259</v>
      </c>
      <c r="R13" s="265" t="s">
        <v>260</v>
      </c>
      <c r="S13" s="265" t="s">
        <v>261</v>
      </c>
    </row>
    <row r="14" spans="2:19" ht="14.5" x14ac:dyDescent="0.35">
      <c r="H14" s="264">
        <v>7</v>
      </c>
      <c r="I14" s="208" t="s">
        <v>14</v>
      </c>
      <c r="M14" s="212" t="s">
        <v>166</v>
      </c>
      <c r="N14" s="264"/>
      <c r="O14" s="266">
        <v>6</v>
      </c>
      <c r="P14" s="267" t="e">
        <f>VLOOKUP(O14,O15:P19,2,FALSE)</f>
        <v>#N/A</v>
      </c>
      <c r="Q14" s="267" t="e">
        <f>VLOOKUP(P14,P15:Q19,2,FALSE)</f>
        <v>#N/A</v>
      </c>
      <c r="R14" s="267" t="e">
        <f>VLOOKUP(Q14,Q15:R19,2,FALSE)</f>
        <v>#N/A</v>
      </c>
      <c r="S14" s="267" t="e">
        <f>VLOOKUP(R14,R15:S19,2,FALSE)</f>
        <v>#N/A</v>
      </c>
    </row>
    <row r="15" spans="2:19" ht="14.5" x14ac:dyDescent="0.35">
      <c r="H15" s="264">
        <v>8</v>
      </c>
      <c r="I15" s="208" t="s">
        <v>15</v>
      </c>
      <c r="M15" s="268"/>
      <c r="N15" s="264"/>
      <c r="O15" s="264">
        <v>1</v>
      </c>
      <c r="P15" s="222" t="s">
        <v>168</v>
      </c>
      <c r="Q15" s="264" t="s">
        <v>1</v>
      </c>
      <c r="R15" s="272" t="s">
        <v>198</v>
      </c>
      <c r="S15" s="270" t="s">
        <v>201</v>
      </c>
    </row>
    <row r="16" spans="2:19" ht="14.5" x14ac:dyDescent="0.35">
      <c r="H16" s="264">
        <v>9</v>
      </c>
      <c r="I16" s="208" t="s">
        <v>16</v>
      </c>
      <c r="M16" s="268"/>
      <c r="N16" s="264"/>
      <c r="O16" s="264">
        <v>2</v>
      </c>
      <c r="P16" s="222" t="s">
        <v>164</v>
      </c>
      <c r="Q16" s="264" t="s">
        <v>203</v>
      </c>
      <c r="R16" s="272" t="s">
        <v>198</v>
      </c>
      <c r="S16" s="270" t="s">
        <v>201</v>
      </c>
    </row>
    <row r="17" spans="8:19" ht="14.5" x14ac:dyDescent="0.35">
      <c r="H17" s="264">
        <v>10</v>
      </c>
      <c r="I17" s="208" t="s">
        <v>17</v>
      </c>
      <c r="M17" s="268"/>
      <c r="N17" s="264"/>
      <c r="O17" s="264">
        <v>3</v>
      </c>
      <c r="P17" s="222" t="s">
        <v>186</v>
      </c>
      <c r="Q17" s="264" t="s">
        <v>204</v>
      </c>
      <c r="R17" s="272" t="s">
        <v>198</v>
      </c>
      <c r="S17" s="270" t="s">
        <v>201</v>
      </c>
    </row>
    <row r="18" spans="8:19" ht="14.5" x14ac:dyDescent="0.35">
      <c r="H18" s="264">
        <v>11</v>
      </c>
      <c r="I18" s="208" t="s">
        <v>163</v>
      </c>
      <c r="M18" s="268"/>
      <c r="N18" s="264"/>
      <c r="O18" s="264">
        <v>4</v>
      </c>
      <c r="P18" s="222" t="s">
        <v>180</v>
      </c>
      <c r="Q18" s="264" t="s">
        <v>205</v>
      </c>
      <c r="R18" s="272" t="s">
        <v>198</v>
      </c>
      <c r="S18" s="270" t="s">
        <v>201</v>
      </c>
    </row>
    <row r="19" spans="8:19" ht="14.5" x14ac:dyDescent="0.35">
      <c r="H19" s="264">
        <v>12</v>
      </c>
      <c r="I19" s="208" t="s">
        <v>20</v>
      </c>
      <c r="M19" s="268"/>
      <c r="N19" s="264"/>
      <c r="O19" s="264">
        <v>5</v>
      </c>
      <c r="P19" s="222" t="s">
        <v>174</v>
      </c>
      <c r="Q19" s="264" t="s">
        <v>206</v>
      </c>
      <c r="R19" s="272" t="s">
        <v>198</v>
      </c>
      <c r="S19" s="270" t="s">
        <v>201</v>
      </c>
    </row>
    <row r="20" spans="8:19" ht="14.5" x14ac:dyDescent="0.35">
      <c r="H20" s="264">
        <v>13</v>
      </c>
      <c r="I20" s="208" t="s">
        <v>21</v>
      </c>
      <c r="M20" s="209" t="s">
        <v>256</v>
      </c>
      <c r="N20" s="264"/>
      <c r="O20" s="266">
        <f>MAX(O22:O26)</f>
        <v>5</v>
      </c>
      <c r="P20" s="265" t="s">
        <v>257</v>
      </c>
      <c r="Q20" s="265" t="s">
        <v>259</v>
      </c>
      <c r="R20" s="265" t="s">
        <v>260</v>
      </c>
      <c r="S20" s="265" t="s">
        <v>261</v>
      </c>
    </row>
    <row r="21" spans="8:19" ht="14.5" x14ac:dyDescent="0.35">
      <c r="H21" s="264">
        <v>14</v>
      </c>
      <c r="I21" s="208" t="s">
        <v>22</v>
      </c>
      <c r="M21" s="212" t="s">
        <v>166</v>
      </c>
      <c r="N21" s="264"/>
      <c r="O21" s="266">
        <v>6</v>
      </c>
      <c r="P21" s="267" t="e">
        <f>VLOOKUP(O21,O22:P26,2,FALSE)</f>
        <v>#N/A</v>
      </c>
      <c r="Q21" s="267" t="e">
        <f>VLOOKUP(P21,P22:Q26,2,FALSE)</f>
        <v>#N/A</v>
      </c>
      <c r="R21" s="267" t="e">
        <f>VLOOKUP(Q21,Q22:R26,2,FALSE)</f>
        <v>#N/A</v>
      </c>
      <c r="S21" s="267" t="e">
        <f>VLOOKUP(R21,R22:S26,2,FALSE)</f>
        <v>#N/A</v>
      </c>
    </row>
    <row r="22" spans="8:19" ht="14.5" x14ac:dyDescent="0.35">
      <c r="H22" s="264">
        <v>15</v>
      </c>
      <c r="I22" s="208" t="s">
        <v>23</v>
      </c>
      <c r="M22" s="268"/>
      <c r="N22" s="264"/>
      <c r="O22" s="264">
        <v>1</v>
      </c>
      <c r="P22" s="222" t="s">
        <v>169</v>
      </c>
      <c r="Q22" s="264" t="s">
        <v>1</v>
      </c>
      <c r="R22" s="272" t="s">
        <v>198</v>
      </c>
      <c r="S22" s="270" t="s">
        <v>202</v>
      </c>
    </row>
    <row r="23" spans="8:19" ht="14.5" x14ac:dyDescent="0.35">
      <c r="H23" s="264">
        <v>16</v>
      </c>
      <c r="I23" s="208" t="s">
        <v>54</v>
      </c>
      <c r="M23" s="268"/>
      <c r="N23" s="264"/>
      <c r="O23" s="264">
        <v>2</v>
      </c>
      <c r="P23" s="222" t="s">
        <v>192</v>
      </c>
      <c r="Q23" s="264" t="s">
        <v>203</v>
      </c>
      <c r="R23" s="272" t="s">
        <v>198</v>
      </c>
      <c r="S23" s="270" t="s">
        <v>202</v>
      </c>
    </row>
    <row r="24" spans="8:19" ht="14.5" x14ac:dyDescent="0.35">
      <c r="H24" s="264">
        <v>17</v>
      </c>
      <c r="I24" s="208" t="s">
        <v>48</v>
      </c>
      <c r="M24" s="268"/>
      <c r="N24" s="264"/>
      <c r="O24" s="264">
        <v>3</v>
      </c>
      <c r="P24" s="222" t="s">
        <v>187</v>
      </c>
      <c r="Q24" s="264" t="s">
        <v>204</v>
      </c>
      <c r="R24" s="272" t="s">
        <v>198</v>
      </c>
      <c r="S24" s="270" t="s">
        <v>202</v>
      </c>
    </row>
    <row r="25" spans="8:19" ht="14.5" x14ac:dyDescent="0.35">
      <c r="H25" s="264">
        <v>18</v>
      </c>
      <c r="I25" s="208" t="s">
        <v>24</v>
      </c>
      <c r="M25" s="268"/>
      <c r="N25" s="264"/>
      <c r="O25" s="264">
        <v>4</v>
      </c>
      <c r="P25" s="222" t="s">
        <v>181</v>
      </c>
      <c r="Q25" s="264" t="s">
        <v>205</v>
      </c>
      <c r="R25" s="272" t="s">
        <v>198</v>
      </c>
      <c r="S25" s="270" t="s">
        <v>202</v>
      </c>
    </row>
    <row r="26" spans="8:19" ht="14.5" x14ac:dyDescent="0.35">
      <c r="H26" s="264">
        <v>19</v>
      </c>
      <c r="I26" s="208" t="s">
        <v>214</v>
      </c>
      <c r="M26" s="264"/>
      <c r="N26" s="264"/>
      <c r="O26" s="264">
        <v>5</v>
      </c>
      <c r="P26" s="222" t="s">
        <v>175</v>
      </c>
      <c r="Q26" s="264" t="s">
        <v>206</v>
      </c>
      <c r="R26" s="272" t="s">
        <v>198</v>
      </c>
      <c r="S26" s="270" t="s">
        <v>202</v>
      </c>
    </row>
    <row r="27" spans="8:19" ht="14.5" x14ac:dyDescent="0.35">
      <c r="H27" s="264">
        <v>20</v>
      </c>
      <c r="I27" s="208" t="s">
        <v>26</v>
      </c>
      <c r="M27" s="209" t="s">
        <v>256</v>
      </c>
      <c r="N27" s="264"/>
      <c r="O27" s="266">
        <f>MAX(O29:O33)</f>
        <v>5</v>
      </c>
      <c r="P27" s="265" t="s">
        <v>257</v>
      </c>
      <c r="Q27" s="265" t="s">
        <v>259</v>
      </c>
      <c r="R27" s="265" t="s">
        <v>260</v>
      </c>
      <c r="S27" s="265" t="s">
        <v>261</v>
      </c>
    </row>
    <row r="28" spans="8:19" ht="14.5" x14ac:dyDescent="0.35">
      <c r="H28" s="264">
        <v>21</v>
      </c>
      <c r="I28" s="208" t="s">
        <v>27</v>
      </c>
      <c r="M28" s="212" t="s">
        <v>166</v>
      </c>
      <c r="N28" s="264"/>
      <c r="O28" s="266">
        <v>6</v>
      </c>
      <c r="P28" s="267" t="e">
        <f>VLOOKUP(O28,O29:P33,2,FALSE)</f>
        <v>#N/A</v>
      </c>
      <c r="Q28" s="267" t="e">
        <f>VLOOKUP(P28,P29:Q33,2,FALSE)</f>
        <v>#N/A</v>
      </c>
      <c r="R28" s="267" t="e">
        <f>VLOOKUP(Q28,Q29:R33,2,FALSE)</f>
        <v>#N/A</v>
      </c>
      <c r="S28" s="267" t="e">
        <f>VLOOKUP(R28,R29:S33,2,FALSE)</f>
        <v>#N/A</v>
      </c>
    </row>
    <row r="29" spans="8:19" ht="14.5" x14ac:dyDescent="0.35">
      <c r="H29" s="264">
        <v>22</v>
      </c>
      <c r="I29" s="208" t="s">
        <v>219</v>
      </c>
      <c r="M29" s="268"/>
      <c r="N29" s="264"/>
      <c r="O29" s="264">
        <v>1</v>
      </c>
      <c r="P29" s="222" t="s">
        <v>170</v>
      </c>
      <c r="Q29" s="264" t="s">
        <v>1</v>
      </c>
      <c r="R29" s="270" t="s">
        <v>199</v>
      </c>
      <c r="S29" s="270" t="s">
        <v>201</v>
      </c>
    </row>
    <row r="30" spans="8:19" ht="14.5" x14ac:dyDescent="0.35">
      <c r="H30" s="264">
        <v>23</v>
      </c>
      <c r="I30" s="208" t="s">
        <v>46</v>
      </c>
      <c r="M30" s="268"/>
      <c r="N30" s="264"/>
      <c r="O30" s="264">
        <v>2</v>
      </c>
      <c r="P30" s="222" t="s">
        <v>193</v>
      </c>
      <c r="Q30" s="264" t="s">
        <v>203</v>
      </c>
      <c r="R30" s="270" t="s">
        <v>199</v>
      </c>
      <c r="S30" s="270" t="s">
        <v>201</v>
      </c>
    </row>
    <row r="31" spans="8:19" ht="14.5" x14ac:dyDescent="0.35">
      <c r="H31" s="264">
        <v>24</v>
      </c>
      <c r="I31" s="208" t="s">
        <v>29</v>
      </c>
      <c r="M31" s="268"/>
      <c r="N31" s="264"/>
      <c r="O31" s="264">
        <v>3</v>
      </c>
      <c r="P31" s="222" t="s">
        <v>188</v>
      </c>
      <c r="Q31" s="264" t="s">
        <v>204</v>
      </c>
      <c r="R31" s="270" t="s">
        <v>199</v>
      </c>
      <c r="S31" s="270" t="s">
        <v>201</v>
      </c>
    </row>
    <row r="32" spans="8:19" ht="14.5" x14ac:dyDescent="0.35">
      <c r="H32" s="264">
        <v>25</v>
      </c>
      <c r="I32" s="208" t="s">
        <v>30</v>
      </c>
      <c r="M32" s="268"/>
      <c r="N32" s="264"/>
      <c r="O32" s="264">
        <v>4</v>
      </c>
      <c r="P32" s="222" t="s">
        <v>182</v>
      </c>
      <c r="Q32" s="264" t="s">
        <v>205</v>
      </c>
      <c r="R32" s="270" t="s">
        <v>199</v>
      </c>
      <c r="S32" s="270" t="s">
        <v>201</v>
      </c>
    </row>
    <row r="33" spans="8:19" ht="14.5" x14ac:dyDescent="0.35">
      <c r="H33" s="264">
        <v>26</v>
      </c>
      <c r="I33" s="208" t="s">
        <v>31</v>
      </c>
      <c r="M33" s="268"/>
      <c r="N33" s="264"/>
      <c r="O33" s="264">
        <v>5</v>
      </c>
      <c r="P33" s="222" t="s">
        <v>176</v>
      </c>
      <c r="Q33" s="264" t="s">
        <v>206</v>
      </c>
      <c r="R33" s="270" t="s">
        <v>199</v>
      </c>
      <c r="S33" s="270" t="s">
        <v>201</v>
      </c>
    </row>
    <row r="34" spans="8:19" ht="14.5" x14ac:dyDescent="0.35">
      <c r="H34" s="264">
        <v>27</v>
      </c>
      <c r="I34" s="208" t="s">
        <v>32</v>
      </c>
      <c r="M34" s="209" t="s">
        <v>256</v>
      </c>
      <c r="N34" s="264"/>
      <c r="O34" s="266">
        <f>MAX(O36:O40)</f>
        <v>5</v>
      </c>
      <c r="P34" s="265" t="s">
        <v>257</v>
      </c>
      <c r="Q34" s="265" t="s">
        <v>259</v>
      </c>
      <c r="R34" s="265" t="s">
        <v>260</v>
      </c>
      <c r="S34" s="265" t="s">
        <v>261</v>
      </c>
    </row>
    <row r="35" spans="8:19" ht="14.5" x14ac:dyDescent="0.35">
      <c r="H35" s="264">
        <v>28</v>
      </c>
      <c r="I35" s="208" t="s">
        <v>49</v>
      </c>
      <c r="M35" s="212" t="s">
        <v>166</v>
      </c>
      <c r="N35" s="264"/>
      <c r="O35" s="266">
        <v>6</v>
      </c>
      <c r="P35" s="267" t="e">
        <f>VLOOKUP(O35,O36:P40,2,FALSE)</f>
        <v>#N/A</v>
      </c>
      <c r="Q35" s="267" t="e">
        <f>VLOOKUP(P35,P36:Q40,2,FALSE)</f>
        <v>#N/A</v>
      </c>
      <c r="R35" s="267" t="e">
        <f>VLOOKUP(Q35,Q36:R40,2,FALSE)</f>
        <v>#N/A</v>
      </c>
      <c r="S35" s="267" t="e">
        <f>VLOOKUP(R35,R36:S40,2,FALSE)</f>
        <v>#N/A</v>
      </c>
    </row>
    <row r="36" spans="8:19" ht="14.5" x14ac:dyDescent="0.35">
      <c r="H36" s="264">
        <v>29</v>
      </c>
      <c r="I36" s="208" t="s">
        <v>33</v>
      </c>
      <c r="M36" s="268"/>
      <c r="N36" s="264"/>
      <c r="O36" s="264">
        <v>1</v>
      </c>
      <c r="P36" s="222" t="s">
        <v>171</v>
      </c>
      <c r="Q36" s="264" t="s">
        <v>1</v>
      </c>
      <c r="R36" s="270" t="s">
        <v>199</v>
      </c>
      <c r="S36" s="270" t="s">
        <v>202</v>
      </c>
    </row>
    <row r="37" spans="8:19" ht="14.5" x14ac:dyDescent="0.35">
      <c r="H37" s="264">
        <v>30</v>
      </c>
      <c r="I37" s="208" t="s">
        <v>34</v>
      </c>
      <c r="M37" s="268"/>
      <c r="N37" s="264"/>
      <c r="O37" s="264">
        <v>2</v>
      </c>
      <c r="P37" s="222" t="s">
        <v>194</v>
      </c>
      <c r="Q37" s="264" t="s">
        <v>203</v>
      </c>
      <c r="R37" s="270" t="s">
        <v>199</v>
      </c>
      <c r="S37" s="270" t="s">
        <v>202</v>
      </c>
    </row>
    <row r="38" spans="8:19" ht="14.5" x14ac:dyDescent="0.35">
      <c r="H38" s="264">
        <v>31</v>
      </c>
      <c r="I38" s="208" t="s">
        <v>35</v>
      </c>
      <c r="M38" s="268"/>
      <c r="N38" s="264"/>
      <c r="O38" s="264">
        <v>3</v>
      </c>
      <c r="P38" s="222" t="s">
        <v>189</v>
      </c>
      <c r="Q38" s="264" t="s">
        <v>204</v>
      </c>
      <c r="R38" s="270" t="s">
        <v>199</v>
      </c>
      <c r="S38" s="270" t="s">
        <v>202</v>
      </c>
    </row>
    <row r="39" spans="8:19" ht="14.5" x14ac:dyDescent="0.35">
      <c r="H39" s="264">
        <v>32</v>
      </c>
      <c r="I39" s="208" t="s">
        <v>36</v>
      </c>
      <c r="M39" s="268"/>
      <c r="N39" s="264"/>
      <c r="O39" s="264">
        <v>4</v>
      </c>
      <c r="P39" s="222" t="s">
        <v>183</v>
      </c>
      <c r="Q39" s="264" t="s">
        <v>205</v>
      </c>
      <c r="R39" s="270" t="s">
        <v>199</v>
      </c>
      <c r="S39" s="270" t="s">
        <v>202</v>
      </c>
    </row>
    <row r="40" spans="8:19" ht="14.5" x14ac:dyDescent="0.35">
      <c r="H40" s="264">
        <v>33</v>
      </c>
      <c r="I40" s="208" t="s">
        <v>37</v>
      </c>
      <c r="M40" s="268"/>
      <c r="N40" s="268"/>
      <c r="O40" s="264">
        <v>5</v>
      </c>
      <c r="P40" s="222" t="s">
        <v>177</v>
      </c>
      <c r="Q40" s="264" t="s">
        <v>206</v>
      </c>
      <c r="R40" s="270" t="s">
        <v>199</v>
      </c>
      <c r="S40" s="270" t="s">
        <v>202</v>
      </c>
    </row>
    <row r="41" spans="8:19" ht="14.5" x14ac:dyDescent="0.35">
      <c r="H41" s="264">
        <v>34</v>
      </c>
      <c r="I41" s="208" t="s">
        <v>38</v>
      </c>
      <c r="M41" s="209" t="s">
        <v>256</v>
      </c>
      <c r="N41" s="264"/>
      <c r="O41" s="266">
        <f>MAX(O43:O47)</f>
        <v>5</v>
      </c>
      <c r="P41" s="265" t="s">
        <v>257</v>
      </c>
      <c r="Q41" s="265" t="s">
        <v>259</v>
      </c>
      <c r="R41" s="265" t="s">
        <v>260</v>
      </c>
      <c r="S41" s="265" t="s">
        <v>261</v>
      </c>
    </row>
    <row r="42" spans="8:19" ht="14.5" x14ac:dyDescent="0.35">
      <c r="H42" s="264">
        <v>35</v>
      </c>
      <c r="I42" s="208" t="s">
        <v>39</v>
      </c>
      <c r="M42" s="212" t="s">
        <v>166</v>
      </c>
      <c r="N42" s="264"/>
      <c r="O42" s="266">
        <v>6</v>
      </c>
      <c r="P42" s="267" t="e">
        <f>VLOOKUP(O42,O43:P47,2,FALSE)</f>
        <v>#N/A</v>
      </c>
      <c r="Q42" s="267" t="e">
        <f>VLOOKUP(P42,P43:Q47,2,FALSE)</f>
        <v>#N/A</v>
      </c>
      <c r="R42" s="267" t="e">
        <f>VLOOKUP(Q42,Q43:R47,2,FALSE)</f>
        <v>#N/A</v>
      </c>
      <c r="S42" s="267" t="e">
        <f>VLOOKUP(R42,R43:S47,2,FALSE)</f>
        <v>#N/A</v>
      </c>
    </row>
    <row r="43" spans="8:19" ht="14.5" x14ac:dyDescent="0.35">
      <c r="H43" s="264">
        <v>36</v>
      </c>
      <c r="I43" s="208" t="s">
        <v>50</v>
      </c>
      <c r="M43" s="268"/>
      <c r="N43" s="264"/>
      <c r="O43" s="264">
        <v>1</v>
      </c>
      <c r="P43" s="222" t="s">
        <v>172</v>
      </c>
      <c r="Q43" s="264" t="s">
        <v>1</v>
      </c>
      <c r="R43" s="270" t="s">
        <v>200</v>
      </c>
      <c r="S43" s="270" t="s">
        <v>201</v>
      </c>
    </row>
    <row r="44" spans="8:19" ht="14.5" x14ac:dyDescent="0.35">
      <c r="H44" s="264">
        <v>37</v>
      </c>
      <c r="I44" s="208" t="s">
        <v>40</v>
      </c>
      <c r="M44" s="268"/>
      <c r="N44" s="264"/>
      <c r="O44" s="264">
        <v>2</v>
      </c>
      <c r="P44" s="222" t="s">
        <v>195</v>
      </c>
      <c r="Q44" s="264" t="s">
        <v>203</v>
      </c>
      <c r="R44" s="270" t="s">
        <v>200</v>
      </c>
      <c r="S44" s="270" t="s">
        <v>201</v>
      </c>
    </row>
    <row r="45" spans="8:19" ht="14.5" x14ac:dyDescent="0.35">
      <c r="H45" s="264">
        <v>38</v>
      </c>
      <c r="I45" s="208" t="s">
        <v>41</v>
      </c>
      <c r="M45" s="268"/>
      <c r="N45" s="264"/>
      <c r="O45" s="264">
        <v>3</v>
      </c>
      <c r="P45" s="222" t="s">
        <v>190</v>
      </c>
      <c r="Q45" s="264" t="s">
        <v>204</v>
      </c>
      <c r="R45" s="270" t="s">
        <v>200</v>
      </c>
      <c r="S45" s="270" t="s">
        <v>201</v>
      </c>
    </row>
    <row r="46" spans="8:19" ht="14.5" x14ac:dyDescent="0.35">
      <c r="H46" s="264">
        <v>39</v>
      </c>
      <c r="I46" s="208" t="s">
        <v>42</v>
      </c>
      <c r="M46" s="268"/>
      <c r="N46" s="264"/>
      <c r="O46" s="264">
        <v>4</v>
      </c>
      <c r="P46" s="222" t="s">
        <v>184</v>
      </c>
      <c r="Q46" s="264" t="s">
        <v>205</v>
      </c>
      <c r="R46" s="270" t="s">
        <v>200</v>
      </c>
      <c r="S46" s="270" t="s">
        <v>201</v>
      </c>
    </row>
    <row r="47" spans="8:19" ht="14.5" x14ac:dyDescent="0.35">
      <c r="H47" s="264">
        <v>40</v>
      </c>
      <c r="I47" s="208" t="s">
        <v>215</v>
      </c>
      <c r="M47" s="268"/>
      <c r="N47" s="268"/>
      <c r="O47" s="264">
        <v>5</v>
      </c>
      <c r="P47" s="222" t="s">
        <v>178</v>
      </c>
      <c r="Q47" s="264" t="s">
        <v>206</v>
      </c>
      <c r="R47" s="270" t="s">
        <v>200</v>
      </c>
      <c r="S47" s="270" t="s">
        <v>201</v>
      </c>
    </row>
    <row r="48" spans="8:19" ht="14.5" x14ac:dyDescent="0.35">
      <c r="H48" s="264">
        <v>41</v>
      </c>
      <c r="I48" s="208" t="s">
        <v>43</v>
      </c>
      <c r="M48" s="209" t="s">
        <v>256</v>
      </c>
      <c r="N48" s="264"/>
      <c r="O48" s="266">
        <f>MAX(O50:O54)</f>
        <v>5</v>
      </c>
      <c r="P48" s="265" t="s">
        <v>257</v>
      </c>
      <c r="Q48" s="265" t="s">
        <v>259</v>
      </c>
      <c r="R48" s="265" t="s">
        <v>260</v>
      </c>
      <c r="S48" s="265" t="s">
        <v>261</v>
      </c>
    </row>
    <row r="49" spans="8:19" ht="14.5" x14ac:dyDescent="0.35">
      <c r="H49" s="264">
        <v>42</v>
      </c>
      <c r="I49" s="208" t="s">
        <v>52</v>
      </c>
      <c r="M49" s="212" t="s">
        <v>166</v>
      </c>
      <c r="N49" s="264"/>
      <c r="O49" s="266">
        <v>6</v>
      </c>
      <c r="P49" s="267" t="e">
        <f>VLOOKUP(O49,O50:P54,2,FALSE)</f>
        <v>#N/A</v>
      </c>
      <c r="Q49" s="267" t="e">
        <f>VLOOKUP(P49,P50:Q54,2,FALSE)</f>
        <v>#N/A</v>
      </c>
      <c r="R49" s="267" t="e">
        <f>VLOOKUP(Q49,Q50:R54,2,FALSE)</f>
        <v>#N/A</v>
      </c>
      <c r="S49" s="267" t="e">
        <f>VLOOKUP(R49,R50:S54,2,FALSE)</f>
        <v>#N/A</v>
      </c>
    </row>
    <row r="50" spans="8:19" ht="14.5" x14ac:dyDescent="0.35">
      <c r="H50" s="264">
        <v>43</v>
      </c>
      <c r="I50" s="208" t="s">
        <v>44</v>
      </c>
      <c r="M50" s="268"/>
      <c r="N50" s="264"/>
      <c r="O50" s="264">
        <v>1</v>
      </c>
      <c r="P50" s="222" t="s">
        <v>173</v>
      </c>
      <c r="Q50" s="264" t="s">
        <v>1</v>
      </c>
      <c r="R50" s="270" t="s">
        <v>200</v>
      </c>
      <c r="S50" s="270" t="s">
        <v>202</v>
      </c>
    </row>
    <row r="51" spans="8:19" ht="14.5" x14ac:dyDescent="0.35">
      <c r="H51" s="264">
        <v>44</v>
      </c>
      <c r="I51" s="208" t="s">
        <v>53</v>
      </c>
      <c r="M51" s="268"/>
      <c r="N51" s="264"/>
      <c r="O51" s="264">
        <v>2</v>
      </c>
      <c r="P51" s="222" t="s">
        <v>196</v>
      </c>
      <c r="Q51" s="264" t="s">
        <v>203</v>
      </c>
      <c r="R51" s="270" t="s">
        <v>200</v>
      </c>
      <c r="S51" s="270" t="s">
        <v>202</v>
      </c>
    </row>
    <row r="52" spans="8:19" ht="14.5" x14ac:dyDescent="0.35">
      <c r="H52" s="264">
        <v>45</v>
      </c>
      <c r="I52" s="208" t="s">
        <v>197</v>
      </c>
      <c r="M52" s="268"/>
      <c r="N52" s="264"/>
      <c r="O52" s="264">
        <v>3</v>
      </c>
      <c r="P52" s="222" t="s">
        <v>191</v>
      </c>
      <c r="Q52" s="264" t="s">
        <v>204</v>
      </c>
      <c r="R52" s="270" t="s">
        <v>200</v>
      </c>
      <c r="S52" s="270" t="s">
        <v>202</v>
      </c>
    </row>
    <row r="53" spans="8:19" ht="14.5" x14ac:dyDescent="0.35">
      <c r="H53" s="264"/>
      <c r="I53" s="208"/>
      <c r="M53" s="268"/>
      <c r="N53" s="264"/>
      <c r="O53" s="264">
        <v>4</v>
      </c>
      <c r="P53" s="222" t="s">
        <v>185</v>
      </c>
      <c r="Q53" s="264" t="s">
        <v>205</v>
      </c>
      <c r="R53" s="270" t="s">
        <v>200</v>
      </c>
      <c r="S53" s="270" t="s">
        <v>202</v>
      </c>
    </row>
    <row r="54" spans="8:19" ht="14.5" x14ac:dyDescent="0.35">
      <c r="M54" s="269"/>
      <c r="N54" s="264"/>
      <c r="O54" s="264">
        <v>5</v>
      </c>
      <c r="P54" s="222" t="s">
        <v>179</v>
      </c>
      <c r="Q54" s="264" t="s">
        <v>206</v>
      </c>
      <c r="R54" s="270" t="s">
        <v>200</v>
      </c>
      <c r="S54" s="270" t="s">
        <v>202</v>
      </c>
    </row>
    <row r="55" spans="8:19" ht="14.5" x14ac:dyDescent="0.35">
      <c r="M55" s="209" t="s">
        <v>262</v>
      </c>
      <c r="N55" s="264"/>
      <c r="O55" s="266">
        <f>MAX(O57:O61)</f>
        <v>5</v>
      </c>
      <c r="P55" s="265" t="s">
        <v>263</v>
      </c>
      <c r="Q55" s="265" t="s">
        <v>264</v>
      </c>
      <c r="R55" s="265" t="s">
        <v>258</v>
      </c>
      <c r="S55" s="265" t="s">
        <v>265</v>
      </c>
    </row>
    <row r="56" spans="8:19" ht="14.5" x14ac:dyDescent="0.35">
      <c r="M56" s="212" t="s">
        <v>167</v>
      </c>
      <c r="N56" s="264"/>
      <c r="O56" s="266">
        <v>6</v>
      </c>
      <c r="P56" s="267" t="e">
        <f>VLOOKUP(O56,O57:P61,2,FALSE)</f>
        <v>#N/A</v>
      </c>
      <c r="Q56" s="267" t="e">
        <f>VLOOKUP(P56,P57:Q61,2,FALSE)</f>
        <v>#N/A</v>
      </c>
      <c r="R56" s="267" t="e">
        <f>VLOOKUP(Q56,Q57:R61,2,FALSE)</f>
        <v>#N/A</v>
      </c>
      <c r="S56" s="267" t="e">
        <f>VLOOKUP(R56,R57:S61,2,FALSE)</f>
        <v>#N/A</v>
      </c>
    </row>
    <row r="57" spans="8:19" ht="14.5" x14ac:dyDescent="0.35">
      <c r="M57" s="268"/>
      <c r="N57" s="264"/>
      <c r="O57" s="264">
        <v>1</v>
      </c>
      <c r="P57" s="222" t="s">
        <v>168</v>
      </c>
      <c r="Q57" s="264" t="s">
        <v>1</v>
      </c>
      <c r="R57" s="270" t="s">
        <v>207</v>
      </c>
      <c r="S57" s="270" t="s">
        <v>201</v>
      </c>
    </row>
    <row r="58" spans="8:19" ht="14.5" x14ac:dyDescent="0.35">
      <c r="M58" s="268"/>
      <c r="N58" s="264"/>
      <c r="O58" s="264">
        <v>2</v>
      </c>
      <c r="P58" s="222" t="s">
        <v>164</v>
      </c>
      <c r="Q58" s="264" t="s">
        <v>203</v>
      </c>
      <c r="R58" s="270" t="s">
        <v>207</v>
      </c>
      <c r="S58" s="270" t="s">
        <v>201</v>
      </c>
    </row>
    <row r="59" spans="8:19" ht="14.5" x14ac:dyDescent="0.35">
      <c r="M59" s="268"/>
      <c r="N59" s="264"/>
      <c r="O59" s="264">
        <v>3</v>
      </c>
      <c r="P59" s="222" t="s">
        <v>186</v>
      </c>
      <c r="Q59" s="264" t="s">
        <v>204</v>
      </c>
      <c r="R59" s="270" t="s">
        <v>207</v>
      </c>
      <c r="S59" s="270" t="s">
        <v>201</v>
      </c>
    </row>
    <row r="60" spans="8:19" ht="14.5" x14ac:dyDescent="0.35">
      <c r="M60" s="268"/>
      <c r="N60" s="264"/>
      <c r="O60" s="264">
        <v>4</v>
      </c>
      <c r="P60" s="222" t="s">
        <v>180</v>
      </c>
      <c r="Q60" s="264" t="s">
        <v>205</v>
      </c>
      <c r="R60" s="270" t="s">
        <v>207</v>
      </c>
      <c r="S60" s="270" t="s">
        <v>201</v>
      </c>
    </row>
    <row r="61" spans="8:19" ht="14.5" x14ac:dyDescent="0.35">
      <c r="M61" s="268"/>
      <c r="N61" s="264"/>
      <c r="O61" s="264">
        <v>5</v>
      </c>
      <c r="P61" s="222" t="s">
        <v>174</v>
      </c>
      <c r="Q61" s="264" t="s">
        <v>206</v>
      </c>
      <c r="R61" s="270" t="s">
        <v>207</v>
      </c>
      <c r="S61" s="270" t="s">
        <v>201</v>
      </c>
    </row>
    <row r="62" spans="8:19" ht="14.5" x14ac:dyDescent="0.35">
      <c r="M62" s="209" t="s">
        <v>262</v>
      </c>
      <c r="N62" s="264"/>
      <c r="O62" s="266">
        <f>MAX(O64:O68)</f>
        <v>5</v>
      </c>
      <c r="P62" s="265" t="s">
        <v>263</v>
      </c>
      <c r="Q62" s="265" t="s">
        <v>264</v>
      </c>
      <c r="R62" s="265" t="s">
        <v>258</v>
      </c>
      <c r="S62" s="265" t="s">
        <v>265</v>
      </c>
    </row>
    <row r="63" spans="8:19" ht="14.5" x14ac:dyDescent="0.35">
      <c r="M63" s="212" t="s">
        <v>167</v>
      </c>
      <c r="N63" s="264"/>
      <c r="O63" s="266">
        <v>6</v>
      </c>
      <c r="P63" s="267" t="e">
        <f>VLOOKUP(O63,O64:P68,2,FALSE)</f>
        <v>#N/A</v>
      </c>
      <c r="Q63" s="267" t="e">
        <f>VLOOKUP(P63,P64:Q68,2,FALSE)</f>
        <v>#N/A</v>
      </c>
      <c r="R63" s="267" t="e">
        <f>VLOOKUP(Q63,Q64:R68,2,FALSE)</f>
        <v>#N/A</v>
      </c>
      <c r="S63" s="267" t="e">
        <f>VLOOKUP(R63,R64:S68,2,FALSE)</f>
        <v>#N/A</v>
      </c>
    </row>
    <row r="64" spans="8:19" ht="14.5" x14ac:dyDescent="0.35">
      <c r="M64" s="268"/>
      <c r="N64" s="264"/>
      <c r="O64" s="264">
        <v>1</v>
      </c>
      <c r="P64" s="222" t="s">
        <v>169</v>
      </c>
      <c r="Q64" s="264" t="s">
        <v>1</v>
      </c>
      <c r="R64" s="270" t="s">
        <v>207</v>
      </c>
      <c r="S64" s="270" t="s">
        <v>202</v>
      </c>
    </row>
    <row r="65" spans="13:19" ht="14.5" x14ac:dyDescent="0.35">
      <c r="M65" s="268"/>
      <c r="N65" s="264"/>
      <c r="O65" s="264">
        <v>2</v>
      </c>
      <c r="P65" s="222" t="s">
        <v>192</v>
      </c>
      <c r="Q65" s="264" t="s">
        <v>203</v>
      </c>
      <c r="R65" s="270" t="s">
        <v>207</v>
      </c>
      <c r="S65" s="270" t="s">
        <v>202</v>
      </c>
    </row>
    <row r="66" spans="13:19" ht="14.5" x14ac:dyDescent="0.35">
      <c r="M66" s="268"/>
      <c r="N66" s="264"/>
      <c r="O66" s="264">
        <v>3</v>
      </c>
      <c r="P66" s="222" t="s">
        <v>187</v>
      </c>
      <c r="Q66" s="264" t="s">
        <v>204</v>
      </c>
      <c r="R66" s="270" t="s">
        <v>207</v>
      </c>
      <c r="S66" s="270" t="s">
        <v>202</v>
      </c>
    </row>
    <row r="67" spans="13:19" ht="14.5" x14ac:dyDescent="0.35">
      <c r="M67" s="268"/>
      <c r="N67" s="264"/>
      <c r="O67" s="264">
        <v>4</v>
      </c>
      <c r="P67" s="222" t="s">
        <v>181</v>
      </c>
      <c r="Q67" s="264" t="s">
        <v>205</v>
      </c>
      <c r="R67" s="270" t="s">
        <v>207</v>
      </c>
      <c r="S67" s="270" t="s">
        <v>202</v>
      </c>
    </row>
    <row r="68" spans="13:19" ht="14.5" x14ac:dyDescent="0.35">
      <c r="M68" s="264"/>
      <c r="N68" s="264"/>
      <c r="O68" s="264">
        <v>5</v>
      </c>
      <c r="P68" s="222" t="s">
        <v>175</v>
      </c>
      <c r="Q68" s="264" t="s">
        <v>206</v>
      </c>
      <c r="R68" s="270" t="s">
        <v>207</v>
      </c>
      <c r="S68" s="270" t="s">
        <v>202</v>
      </c>
    </row>
    <row r="69" spans="13:19" ht="14.5" x14ac:dyDescent="0.35">
      <c r="M69" s="209" t="s">
        <v>262</v>
      </c>
      <c r="N69" s="264"/>
      <c r="O69" s="266">
        <f>MAX(O71:O75)</f>
        <v>5</v>
      </c>
      <c r="P69" s="265" t="s">
        <v>263</v>
      </c>
      <c r="Q69" s="265" t="s">
        <v>264</v>
      </c>
      <c r="R69" s="265" t="s">
        <v>258</v>
      </c>
      <c r="S69" s="265" t="s">
        <v>265</v>
      </c>
    </row>
    <row r="70" spans="13:19" ht="14.5" x14ac:dyDescent="0.35">
      <c r="M70" s="212" t="s">
        <v>167</v>
      </c>
      <c r="N70" s="264"/>
      <c r="O70" s="266">
        <v>6</v>
      </c>
      <c r="P70" s="267" t="e">
        <f>VLOOKUP(O70,O71:P75,2,FALSE)</f>
        <v>#N/A</v>
      </c>
      <c r="Q70" s="267" t="e">
        <f>VLOOKUP(P70,P71:Q75,2,FALSE)</f>
        <v>#N/A</v>
      </c>
      <c r="R70" s="267" t="e">
        <f>VLOOKUP(Q70,Q71:R75,2,FALSE)</f>
        <v>#N/A</v>
      </c>
      <c r="S70" s="267" t="e">
        <f>VLOOKUP(R70,R71:S75,2,FALSE)</f>
        <v>#N/A</v>
      </c>
    </row>
    <row r="71" spans="13:19" ht="14.5" x14ac:dyDescent="0.35">
      <c r="M71" s="268"/>
      <c r="N71" s="264"/>
      <c r="O71" s="264">
        <v>1</v>
      </c>
      <c r="P71" s="222" t="s">
        <v>170</v>
      </c>
      <c r="Q71" s="264" t="s">
        <v>1</v>
      </c>
      <c r="R71" s="270" t="s">
        <v>208</v>
      </c>
      <c r="S71" s="270" t="s">
        <v>201</v>
      </c>
    </row>
    <row r="72" spans="13:19" ht="14.5" x14ac:dyDescent="0.35">
      <c r="M72" s="268"/>
      <c r="N72" s="264"/>
      <c r="O72" s="264">
        <v>2</v>
      </c>
      <c r="P72" s="222" t="s">
        <v>193</v>
      </c>
      <c r="Q72" s="264" t="s">
        <v>203</v>
      </c>
      <c r="R72" s="270" t="s">
        <v>208</v>
      </c>
      <c r="S72" s="270" t="s">
        <v>201</v>
      </c>
    </row>
    <row r="73" spans="13:19" ht="14.5" x14ac:dyDescent="0.35">
      <c r="M73" s="268"/>
      <c r="N73" s="264"/>
      <c r="O73" s="264">
        <v>3</v>
      </c>
      <c r="P73" s="222" t="s">
        <v>188</v>
      </c>
      <c r="Q73" s="264" t="s">
        <v>204</v>
      </c>
      <c r="R73" s="270" t="s">
        <v>208</v>
      </c>
      <c r="S73" s="270" t="s">
        <v>201</v>
      </c>
    </row>
    <row r="74" spans="13:19" ht="14.5" x14ac:dyDescent="0.35">
      <c r="M74" s="268"/>
      <c r="N74" s="264"/>
      <c r="O74" s="264">
        <v>4</v>
      </c>
      <c r="P74" s="222" t="s">
        <v>182</v>
      </c>
      <c r="Q74" s="264" t="s">
        <v>205</v>
      </c>
      <c r="R74" s="270" t="s">
        <v>208</v>
      </c>
      <c r="S74" s="270" t="s">
        <v>201</v>
      </c>
    </row>
    <row r="75" spans="13:19" ht="14.5" x14ac:dyDescent="0.35">
      <c r="M75" s="268"/>
      <c r="N75" s="264"/>
      <c r="O75" s="264">
        <v>5</v>
      </c>
      <c r="P75" s="222" t="s">
        <v>176</v>
      </c>
      <c r="Q75" s="264" t="s">
        <v>206</v>
      </c>
      <c r="R75" s="270" t="s">
        <v>208</v>
      </c>
      <c r="S75" s="270" t="s">
        <v>201</v>
      </c>
    </row>
    <row r="76" spans="13:19" ht="14.5" x14ac:dyDescent="0.35">
      <c r="M76" s="209" t="s">
        <v>262</v>
      </c>
      <c r="N76" s="264"/>
      <c r="O76" s="266">
        <f>MAX(O78:O82)</f>
        <v>5</v>
      </c>
      <c r="P76" s="265" t="s">
        <v>263</v>
      </c>
      <c r="Q76" s="265" t="s">
        <v>264</v>
      </c>
      <c r="R76" s="265" t="s">
        <v>258</v>
      </c>
      <c r="S76" s="265" t="s">
        <v>265</v>
      </c>
    </row>
    <row r="77" spans="13:19" ht="14.5" x14ac:dyDescent="0.35">
      <c r="M77" s="212" t="s">
        <v>167</v>
      </c>
      <c r="N77" s="264"/>
      <c r="O77" s="266">
        <v>6</v>
      </c>
      <c r="P77" s="267" t="e">
        <f>VLOOKUP(O77,O78:P82,2,FALSE)</f>
        <v>#N/A</v>
      </c>
      <c r="Q77" s="267" t="e">
        <f>VLOOKUP(P77,P78:Q82,2,FALSE)</f>
        <v>#N/A</v>
      </c>
      <c r="R77" s="267" t="e">
        <f>VLOOKUP(Q77,Q78:R82,2,FALSE)</f>
        <v>#N/A</v>
      </c>
      <c r="S77" s="267" t="e">
        <f>VLOOKUP(R77,R78:S82,2,FALSE)</f>
        <v>#N/A</v>
      </c>
    </row>
    <row r="78" spans="13:19" ht="14.5" x14ac:dyDescent="0.35">
      <c r="M78" s="268"/>
      <c r="N78" s="264"/>
      <c r="O78" s="264">
        <v>1</v>
      </c>
      <c r="P78" s="222" t="s">
        <v>171</v>
      </c>
      <c r="Q78" s="264" t="s">
        <v>1</v>
      </c>
      <c r="R78" s="270" t="s">
        <v>208</v>
      </c>
      <c r="S78" s="270" t="s">
        <v>202</v>
      </c>
    </row>
    <row r="79" spans="13:19" ht="14.5" x14ac:dyDescent="0.35">
      <c r="M79" s="268"/>
      <c r="N79" s="264"/>
      <c r="O79" s="264">
        <v>2</v>
      </c>
      <c r="P79" s="222" t="s">
        <v>194</v>
      </c>
      <c r="Q79" s="264" t="s">
        <v>203</v>
      </c>
      <c r="R79" s="270" t="s">
        <v>208</v>
      </c>
      <c r="S79" s="270" t="s">
        <v>202</v>
      </c>
    </row>
    <row r="80" spans="13:19" ht="14.5" x14ac:dyDescent="0.35">
      <c r="M80" s="268"/>
      <c r="N80" s="264"/>
      <c r="O80" s="264">
        <v>3</v>
      </c>
      <c r="P80" s="222" t="s">
        <v>189</v>
      </c>
      <c r="Q80" s="264" t="s">
        <v>204</v>
      </c>
      <c r="R80" s="270" t="s">
        <v>208</v>
      </c>
      <c r="S80" s="270" t="s">
        <v>202</v>
      </c>
    </row>
    <row r="81" spans="13:19" ht="14.5" x14ac:dyDescent="0.35">
      <c r="M81" s="268"/>
      <c r="N81" s="264"/>
      <c r="O81" s="264">
        <v>4</v>
      </c>
      <c r="P81" s="222" t="s">
        <v>183</v>
      </c>
      <c r="Q81" s="264" t="s">
        <v>205</v>
      </c>
      <c r="R81" s="270" t="s">
        <v>208</v>
      </c>
      <c r="S81" s="270" t="s">
        <v>202</v>
      </c>
    </row>
    <row r="82" spans="13:19" ht="14.5" x14ac:dyDescent="0.35">
      <c r="M82" s="268"/>
      <c r="N82" s="268"/>
      <c r="O82" s="264">
        <v>5</v>
      </c>
      <c r="P82" s="222" t="s">
        <v>177</v>
      </c>
      <c r="Q82" s="264" t="s">
        <v>206</v>
      </c>
      <c r="R82" s="270" t="s">
        <v>208</v>
      </c>
      <c r="S82" s="270" t="s">
        <v>202</v>
      </c>
    </row>
    <row r="83" spans="13:19" ht="14.5" x14ac:dyDescent="0.35">
      <c r="M83" s="209" t="s">
        <v>262</v>
      </c>
      <c r="N83" s="264"/>
      <c r="O83" s="266">
        <f>MAX(O85:O89)</f>
        <v>5</v>
      </c>
      <c r="P83" s="265" t="s">
        <v>263</v>
      </c>
      <c r="Q83" s="265" t="s">
        <v>264</v>
      </c>
      <c r="R83" s="265" t="s">
        <v>258</v>
      </c>
      <c r="S83" s="265" t="s">
        <v>265</v>
      </c>
    </row>
    <row r="84" spans="13:19" ht="14.5" x14ac:dyDescent="0.35">
      <c r="M84" s="212" t="s">
        <v>167</v>
      </c>
      <c r="N84" s="264"/>
      <c r="O84" s="266">
        <v>6</v>
      </c>
      <c r="P84" s="267" t="e">
        <f>VLOOKUP(O84,O85:P89,2,FALSE)</f>
        <v>#N/A</v>
      </c>
      <c r="Q84" s="267" t="e">
        <f>VLOOKUP(P84,P85:Q89,2,FALSE)</f>
        <v>#N/A</v>
      </c>
      <c r="R84" s="267" t="e">
        <f>VLOOKUP(Q84,Q85:R89,2,FALSE)</f>
        <v>#N/A</v>
      </c>
      <c r="S84" s="267" t="e">
        <f>VLOOKUP(R84,R85:S89,2,FALSE)</f>
        <v>#N/A</v>
      </c>
    </row>
    <row r="85" spans="13:19" ht="14.5" x14ac:dyDescent="0.35">
      <c r="M85" s="268"/>
      <c r="N85" s="264"/>
      <c r="O85" s="264">
        <v>1</v>
      </c>
      <c r="P85" s="222" t="s">
        <v>172</v>
      </c>
      <c r="Q85" s="264" t="s">
        <v>1</v>
      </c>
      <c r="R85" s="270" t="s">
        <v>209</v>
      </c>
      <c r="S85" s="270" t="s">
        <v>201</v>
      </c>
    </row>
    <row r="86" spans="13:19" ht="14.5" x14ac:dyDescent="0.35">
      <c r="M86" s="268"/>
      <c r="N86" s="264"/>
      <c r="O86" s="264">
        <v>2</v>
      </c>
      <c r="P86" s="222" t="s">
        <v>195</v>
      </c>
      <c r="Q86" s="264" t="s">
        <v>203</v>
      </c>
      <c r="R86" s="270" t="s">
        <v>209</v>
      </c>
      <c r="S86" s="270" t="s">
        <v>201</v>
      </c>
    </row>
    <row r="87" spans="13:19" ht="14.5" x14ac:dyDescent="0.35">
      <c r="M87" s="268"/>
      <c r="N87" s="264"/>
      <c r="O87" s="264">
        <v>3</v>
      </c>
      <c r="P87" s="222" t="s">
        <v>190</v>
      </c>
      <c r="Q87" s="264" t="s">
        <v>204</v>
      </c>
      <c r="R87" s="270" t="s">
        <v>209</v>
      </c>
      <c r="S87" s="270" t="s">
        <v>201</v>
      </c>
    </row>
    <row r="88" spans="13:19" ht="14.5" x14ac:dyDescent="0.35">
      <c r="M88" s="268"/>
      <c r="N88" s="264"/>
      <c r="O88" s="264">
        <v>4</v>
      </c>
      <c r="P88" s="222" t="s">
        <v>184</v>
      </c>
      <c r="Q88" s="264" t="s">
        <v>205</v>
      </c>
      <c r="R88" s="270" t="s">
        <v>209</v>
      </c>
      <c r="S88" s="270" t="s">
        <v>201</v>
      </c>
    </row>
    <row r="89" spans="13:19" ht="14.5" x14ac:dyDescent="0.35">
      <c r="M89" s="268"/>
      <c r="N89" s="268"/>
      <c r="O89" s="264">
        <v>5</v>
      </c>
      <c r="P89" s="222" t="s">
        <v>178</v>
      </c>
      <c r="Q89" s="264" t="s">
        <v>206</v>
      </c>
      <c r="R89" s="270" t="s">
        <v>209</v>
      </c>
      <c r="S89" s="270" t="s">
        <v>201</v>
      </c>
    </row>
    <row r="90" spans="13:19" ht="14.5" x14ac:dyDescent="0.35">
      <c r="M90" s="209" t="s">
        <v>262</v>
      </c>
      <c r="N90" s="264"/>
      <c r="O90" s="266">
        <f>MAX(O92:O96)</f>
        <v>5</v>
      </c>
      <c r="P90" s="265" t="s">
        <v>263</v>
      </c>
      <c r="Q90" s="265" t="s">
        <v>264</v>
      </c>
      <c r="R90" s="265" t="s">
        <v>258</v>
      </c>
      <c r="S90" s="265" t="s">
        <v>265</v>
      </c>
    </row>
    <row r="91" spans="13:19" ht="14.5" x14ac:dyDescent="0.35">
      <c r="M91" s="212" t="s">
        <v>167</v>
      </c>
      <c r="N91" s="264"/>
      <c r="O91" s="266">
        <v>6</v>
      </c>
      <c r="P91" s="267" t="e">
        <f>VLOOKUP(O91,O92:P96,2,FALSE)</f>
        <v>#N/A</v>
      </c>
      <c r="Q91" s="267" t="e">
        <f>VLOOKUP(P91,P92:Q96,2,FALSE)</f>
        <v>#N/A</v>
      </c>
      <c r="R91" s="267" t="e">
        <f>VLOOKUP(Q91,Q92:R96,2,FALSE)</f>
        <v>#N/A</v>
      </c>
      <c r="S91" s="267" t="e">
        <f>VLOOKUP(R91,R92:S96,2,FALSE)</f>
        <v>#N/A</v>
      </c>
    </row>
    <row r="92" spans="13:19" ht="14.5" x14ac:dyDescent="0.35">
      <c r="M92" s="268"/>
      <c r="N92" s="264"/>
      <c r="O92" s="264">
        <v>1</v>
      </c>
      <c r="P92" s="222" t="s">
        <v>173</v>
      </c>
      <c r="Q92" s="264" t="s">
        <v>1</v>
      </c>
      <c r="R92" s="270" t="s">
        <v>209</v>
      </c>
      <c r="S92" s="270" t="s">
        <v>202</v>
      </c>
    </row>
    <row r="93" spans="13:19" ht="14.5" x14ac:dyDescent="0.35">
      <c r="M93" s="268"/>
      <c r="N93" s="264"/>
      <c r="O93" s="264">
        <v>2</v>
      </c>
      <c r="P93" s="222" t="s">
        <v>196</v>
      </c>
      <c r="Q93" s="264" t="s">
        <v>203</v>
      </c>
      <c r="R93" s="270" t="s">
        <v>209</v>
      </c>
      <c r="S93" s="270" t="s">
        <v>202</v>
      </c>
    </row>
    <row r="94" spans="13:19" ht="14.5" x14ac:dyDescent="0.35">
      <c r="M94" s="268"/>
      <c r="N94" s="264"/>
      <c r="O94" s="264">
        <v>3</v>
      </c>
      <c r="P94" s="222" t="s">
        <v>191</v>
      </c>
      <c r="Q94" s="264" t="s">
        <v>204</v>
      </c>
      <c r="R94" s="270" t="s">
        <v>209</v>
      </c>
      <c r="S94" s="270" t="s">
        <v>202</v>
      </c>
    </row>
    <row r="95" spans="13:19" ht="14.5" x14ac:dyDescent="0.35">
      <c r="M95" s="268"/>
      <c r="N95" s="264"/>
      <c r="O95" s="264">
        <v>4</v>
      </c>
      <c r="P95" s="222" t="s">
        <v>185</v>
      </c>
      <c r="Q95" s="264" t="s">
        <v>205</v>
      </c>
      <c r="R95" s="270" t="s">
        <v>209</v>
      </c>
      <c r="S95" s="270" t="s">
        <v>202</v>
      </c>
    </row>
    <row r="96" spans="13:19" ht="14.5" x14ac:dyDescent="0.35">
      <c r="M96" s="269"/>
      <c r="N96" s="264"/>
      <c r="O96" s="264">
        <v>5</v>
      </c>
      <c r="P96" s="222" t="s">
        <v>179</v>
      </c>
      <c r="Q96" s="264" t="s">
        <v>206</v>
      </c>
      <c r="R96" s="270" t="s">
        <v>209</v>
      </c>
      <c r="S96" s="270" t="s">
        <v>202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95AA-7C1D-4515-A167-320358571A04}">
  <sheetPr codeName="Sheet54"/>
  <dimension ref="A1:H2701"/>
  <sheetViews>
    <sheetView workbookViewId="0">
      <selection activeCell="A4" sqref="A2:J4"/>
    </sheetView>
  </sheetViews>
  <sheetFormatPr defaultRowHeight="13" x14ac:dyDescent="0.3"/>
  <cols>
    <col min="1" max="1" width="4.7265625" bestFit="1" customWidth="1"/>
    <col min="2" max="2" width="19.81640625" bestFit="1" customWidth="1"/>
    <col min="4" max="4" width="9.26953125" bestFit="1" customWidth="1"/>
    <col min="5" max="5" width="27.54296875" bestFit="1" customWidth="1"/>
    <col min="6" max="6" width="32.7265625" bestFit="1" customWidth="1"/>
    <col min="7" max="7" width="17.81640625" bestFit="1" customWidth="1"/>
    <col min="8" max="8" width="5.7265625" bestFit="1" customWidth="1"/>
  </cols>
  <sheetData>
    <row r="1" spans="1:8" x14ac:dyDescent="0.3">
      <c r="A1" t="s">
        <v>158</v>
      </c>
      <c r="B1" t="s">
        <v>266</v>
      </c>
      <c r="C1" t="s">
        <v>267</v>
      </c>
      <c r="D1" t="s">
        <v>268</v>
      </c>
      <c r="E1" t="s">
        <v>271</v>
      </c>
      <c r="F1" t="s">
        <v>272</v>
      </c>
      <c r="G1" t="s">
        <v>269</v>
      </c>
      <c r="H1" t="s">
        <v>270</v>
      </c>
    </row>
    <row r="2" spans="1:8" x14ac:dyDescent="0.3">
      <c r="A2">
        <v>2019</v>
      </c>
      <c r="B2" t="s">
        <v>8</v>
      </c>
      <c r="C2" t="s">
        <v>267</v>
      </c>
      <c r="D2" t="s">
        <v>268</v>
      </c>
      <c r="E2" t="s">
        <v>1</v>
      </c>
      <c r="F2" t="s">
        <v>198</v>
      </c>
      <c r="G2" t="s">
        <v>201</v>
      </c>
      <c r="H2">
        <v>6</v>
      </c>
    </row>
    <row r="3" spans="1:8" x14ac:dyDescent="0.3">
      <c r="A3">
        <v>2019</v>
      </c>
      <c r="B3" t="s">
        <v>8</v>
      </c>
      <c r="C3" t="s">
        <v>267</v>
      </c>
      <c r="D3" t="s">
        <v>268</v>
      </c>
      <c r="E3" t="s">
        <v>203</v>
      </c>
      <c r="F3" t="s">
        <v>198</v>
      </c>
      <c r="G3" t="s">
        <v>201</v>
      </c>
      <c r="H3">
        <v>1</v>
      </c>
    </row>
    <row r="4" spans="1:8" x14ac:dyDescent="0.3">
      <c r="A4">
        <v>2019</v>
      </c>
      <c r="B4" t="s">
        <v>8</v>
      </c>
      <c r="C4" t="s">
        <v>267</v>
      </c>
      <c r="D4" t="s">
        <v>268</v>
      </c>
      <c r="E4" t="s">
        <v>204</v>
      </c>
      <c r="F4" t="s">
        <v>198</v>
      </c>
      <c r="G4" t="s">
        <v>201</v>
      </c>
      <c r="H4">
        <v>0</v>
      </c>
    </row>
    <row r="5" spans="1:8" x14ac:dyDescent="0.3">
      <c r="A5">
        <v>2019</v>
      </c>
      <c r="B5" t="s">
        <v>8</v>
      </c>
      <c r="C5" t="s">
        <v>267</v>
      </c>
      <c r="D5" t="s">
        <v>268</v>
      </c>
      <c r="E5" t="s">
        <v>205</v>
      </c>
      <c r="F5" t="s">
        <v>198</v>
      </c>
      <c r="G5" t="s">
        <v>201</v>
      </c>
      <c r="H5">
        <v>0</v>
      </c>
    </row>
    <row r="6" spans="1:8" x14ac:dyDescent="0.3">
      <c r="A6">
        <v>2019</v>
      </c>
      <c r="B6" t="s">
        <v>8</v>
      </c>
      <c r="C6" t="s">
        <v>267</v>
      </c>
      <c r="D6" t="s">
        <v>268</v>
      </c>
      <c r="E6" t="s">
        <v>206</v>
      </c>
      <c r="F6" t="s">
        <v>198</v>
      </c>
      <c r="G6" t="s">
        <v>201</v>
      </c>
      <c r="H6">
        <v>10</v>
      </c>
    </row>
    <row r="7" spans="1:8" x14ac:dyDescent="0.3">
      <c r="A7">
        <v>2019</v>
      </c>
      <c r="B7" t="s">
        <v>9</v>
      </c>
      <c r="C7" t="s">
        <v>267</v>
      </c>
      <c r="D7" t="s">
        <v>268</v>
      </c>
      <c r="E7" t="s">
        <v>1</v>
      </c>
      <c r="F7" t="s">
        <v>198</v>
      </c>
      <c r="G7" t="s">
        <v>201</v>
      </c>
      <c r="H7">
        <v>8</v>
      </c>
    </row>
    <row r="8" spans="1:8" x14ac:dyDescent="0.3">
      <c r="A8">
        <v>2019</v>
      </c>
      <c r="B8" t="s">
        <v>9</v>
      </c>
      <c r="C8" t="s">
        <v>267</v>
      </c>
      <c r="D8" t="s">
        <v>268</v>
      </c>
      <c r="E8" t="s">
        <v>203</v>
      </c>
      <c r="F8" t="s">
        <v>198</v>
      </c>
      <c r="G8" t="s">
        <v>201</v>
      </c>
      <c r="H8">
        <v>1</v>
      </c>
    </row>
    <row r="9" spans="1:8" x14ac:dyDescent="0.3">
      <c r="A9">
        <v>2019</v>
      </c>
      <c r="B9" t="s">
        <v>9</v>
      </c>
      <c r="C9" t="s">
        <v>267</v>
      </c>
      <c r="D9" t="s">
        <v>268</v>
      </c>
      <c r="E9" t="s">
        <v>204</v>
      </c>
      <c r="F9" t="s">
        <v>198</v>
      </c>
      <c r="G9" t="s">
        <v>201</v>
      </c>
      <c r="H9">
        <v>0</v>
      </c>
    </row>
    <row r="10" spans="1:8" x14ac:dyDescent="0.3">
      <c r="A10">
        <v>2019</v>
      </c>
      <c r="B10" t="s">
        <v>9</v>
      </c>
      <c r="C10" t="s">
        <v>267</v>
      </c>
      <c r="D10" t="s">
        <v>268</v>
      </c>
      <c r="E10" t="s">
        <v>205</v>
      </c>
      <c r="F10" t="s">
        <v>198</v>
      </c>
      <c r="G10" t="s">
        <v>201</v>
      </c>
    </row>
    <row r="11" spans="1:8" x14ac:dyDescent="0.3">
      <c r="A11">
        <v>2019</v>
      </c>
      <c r="B11" t="s">
        <v>9</v>
      </c>
      <c r="C11" t="s">
        <v>267</v>
      </c>
      <c r="D11" t="s">
        <v>268</v>
      </c>
      <c r="E11" t="s">
        <v>206</v>
      </c>
      <c r="F11" t="s">
        <v>198</v>
      </c>
      <c r="G11" t="s">
        <v>201</v>
      </c>
      <c r="H11">
        <v>12</v>
      </c>
    </row>
    <row r="12" spans="1:8" x14ac:dyDescent="0.3">
      <c r="A12">
        <v>2019</v>
      </c>
      <c r="B12" t="s">
        <v>10</v>
      </c>
      <c r="C12" t="s">
        <v>267</v>
      </c>
      <c r="D12" t="s">
        <v>268</v>
      </c>
      <c r="E12" t="s">
        <v>1</v>
      </c>
      <c r="F12" t="s">
        <v>198</v>
      </c>
      <c r="G12" t="s">
        <v>201</v>
      </c>
      <c r="H12">
        <v>22</v>
      </c>
    </row>
    <row r="13" spans="1:8" x14ac:dyDescent="0.3">
      <c r="A13">
        <v>2019</v>
      </c>
      <c r="B13" t="s">
        <v>10</v>
      </c>
      <c r="C13" t="s">
        <v>267</v>
      </c>
      <c r="D13" t="s">
        <v>268</v>
      </c>
      <c r="E13" t="s">
        <v>203</v>
      </c>
      <c r="F13" t="s">
        <v>198</v>
      </c>
      <c r="G13" t="s">
        <v>201</v>
      </c>
      <c r="H13">
        <v>4</v>
      </c>
    </row>
    <row r="14" spans="1:8" x14ac:dyDescent="0.3">
      <c r="A14">
        <v>2019</v>
      </c>
      <c r="B14" t="s">
        <v>10</v>
      </c>
      <c r="C14" t="s">
        <v>267</v>
      </c>
      <c r="D14" t="s">
        <v>268</v>
      </c>
      <c r="E14" t="s">
        <v>204</v>
      </c>
      <c r="F14" t="s">
        <v>198</v>
      </c>
      <c r="G14" t="s">
        <v>201</v>
      </c>
      <c r="H14">
        <v>0</v>
      </c>
    </row>
    <row r="15" spans="1:8" x14ac:dyDescent="0.3">
      <c r="A15">
        <v>2019</v>
      </c>
      <c r="B15" t="s">
        <v>10</v>
      </c>
      <c r="C15" t="s">
        <v>267</v>
      </c>
      <c r="D15" t="s">
        <v>268</v>
      </c>
      <c r="E15" t="s">
        <v>205</v>
      </c>
      <c r="F15" t="s">
        <v>198</v>
      </c>
      <c r="G15" t="s">
        <v>201</v>
      </c>
      <c r="H15">
        <v>0</v>
      </c>
    </row>
    <row r="16" spans="1:8" x14ac:dyDescent="0.3">
      <c r="A16">
        <v>2019</v>
      </c>
      <c r="B16" t="s">
        <v>10</v>
      </c>
      <c r="C16" t="s">
        <v>267</v>
      </c>
      <c r="D16" t="s">
        <v>268</v>
      </c>
      <c r="E16" t="s">
        <v>206</v>
      </c>
      <c r="F16" t="s">
        <v>198</v>
      </c>
      <c r="G16" t="s">
        <v>201</v>
      </c>
      <c r="H16">
        <v>45</v>
      </c>
    </row>
    <row r="17" spans="1:8" x14ac:dyDescent="0.3">
      <c r="A17">
        <v>2019</v>
      </c>
      <c r="B17" t="s">
        <v>11</v>
      </c>
      <c r="C17" t="s">
        <v>267</v>
      </c>
      <c r="D17" t="s">
        <v>268</v>
      </c>
      <c r="E17" t="s">
        <v>1</v>
      </c>
      <c r="F17" t="s">
        <v>198</v>
      </c>
      <c r="G17" t="s">
        <v>201</v>
      </c>
      <c r="H17">
        <v>6</v>
      </c>
    </row>
    <row r="18" spans="1:8" x14ac:dyDescent="0.3">
      <c r="A18">
        <v>2019</v>
      </c>
      <c r="B18" t="s">
        <v>11</v>
      </c>
      <c r="C18" t="s">
        <v>267</v>
      </c>
      <c r="D18" t="s">
        <v>268</v>
      </c>
      <c r="E18" t="s">
        <v>203</v>
      </c>
      <c r="F18" t="s">
        <v>198</v>
      </c>
      <c r="G18" t="s">
        <v>201</v>
      </c>
      <c r="H18">
        <v>0</v>
      </c>
    </row>
    <row r="19" spans="1:8" x14ac:dyDescent="0.3">
      <c r="A19">
        <v>2019</v>
      </c>
      <c r="B19" t="s">
        <v>11</v>
      </c>
      <c r="C19" t="s">
        <v>267</v>
      </c>
      <c r="D19" t="s">
        <v>268</v>
      </c>
      <c r="E19" t="s">
        <v>204</v>
      </c>
      <c r="F19" t="s">
        <v>198</v>
      </c>
      <c r="G19" t="s">
        <v>201</v>
      </c>
      <c r="H19">
        <v>0</v>
      </c>
    </row>
    <row r="20" spans="1:8" x14ac:dyDescent="0.3">
      <c r="A20">
        <v>2019</v>
      </c>
      <c r="B20" t="s">
        <v>11</v>
      </c>
      <c r="C20" t="s">
        <v>267</v>
      </c>
      <c r="D20" t="s">
        <v>268</v>
      </c>
      <c r="E20" t="s">
        <v>205</v>
      </c>
      <c r="F20" t="s">
        <v>198</v>
      </c>
      <c r="G20" t="s">
        <v>201</v>
      </c>
      <c r="H20">
        <v>0</v>
      </c>
    </row>
    <row r="21" spans="1:8" x14ac:dyDescent="0.3">
      <c r="A21">
        <v>2019</v>
      </c>
      <c r="B21" t="s">
        <v>11</v>
      </c>
      <c r="C21" t="s">
        <v>267</v>
      </c>
      <c r="D21" t="s">
        <v>268</v>
      </c>
      <c r="E21" t="s">
        <v>206</v>
      </c>
      <c r="F21" t="s">
        <v>198</v>
      </c>
      <c r="G21" t="s">
        <v>201</v>
      </c>
      <c r="H21">
        <v>0</v>
      </c>
    </row>
    <row r="22" spans="1:8" x14ac:dyDescent="0.3">
      <c r="A22">
        <v>2019</v>
      </c>
      <c r="B22" t="s">
        <v>12</v>
      </c>
      <c r="C22" t="s">
        <v>267</v>
      </c>
      <c r="D22" t="s">
        <v>268</v>
      </c>
      <c r="E22" t="s">
        <v>1</v>
      </c>
      <c r="F22" t="s">
        <v>198</v>
      </c>
      <c r="G22" t="s">
        <v>201</v>
      </c>
      <c r="H22">
        <v>59</v>
      </c>
    </row>
    <row r="23" spans="1:8" x14ac:dyDescent="0.3">
      <c r="A23">
        <v>2019</v>
      </c>
      <c r="B23" t="s">
        <v>12</v>
      </c>
      <c r="C23" t="s">
        <v>267</v>
      </c>
      <c r="D23" t="s">
        <v>268</v>
      </c>
      <c r="E23" t="s">
        <v>203</v>
      </c>
      <c r="F23" t="s">
        <v>198</v>
      </c>
      <c r="G23" t="s">
        <v>201</v>
      </c>
      <c r="H23">
        <v>1</v>
      </c>
    </row>
    <row r="24" spans="1:8" x14ac:dyDescent="0.3">
      <c r="A24">
        <v>2019</v>
      </c>
      <c r="B24" t="s">
        <v>12</v>
      </c>
      <c r="C24" t="s">
        <v>267</v>
      </c>
      <c r="D24" t="s">
        <v>268</v>
      </c>
      <c r="E24" t="s">
        <v>204</v>
      </c>
      <c r="F24" t="s">
        <v>198</v>
      </c>
      <c r="G24" t="s">
        <v>201</v>
      </c>
      <c r="H24">
        <v>1</v>
      </c>
    </row>
    <row r="25" spans="1:8" x14ac:dyDescent="0.3">
      <c r="A25">
        <v>2019</v>
      </c>
      <c r="B25" t="s">
        <v>12</v>
      </c>
      <c r="C25" t="s">
        <v>267</v>
      </c>
      <c r="D25" t="s">
        <v>268</v>
      </c>
      <c r="E25" t="s">
        <v>205</v>
      </c>
      <c r="F25" t="s">
        <v>198</v>
      </c>
      <c r="G25" t="s">
        <v>201</v>
      </c>
    </row>
    <row r="26" spans="1:8" x14ac:dyDescent="0.3">
      <c r="A26">
        <v>2019</v>
      </c>
      <c r="B26" t="s">
        <v>12</v>
      </c>
      <c r="C26" t="s">
        <v>267</v>
      </c>
      <c r="D26" t="s">
        <v>268</v>
      </c>
      <c r="E26" t="s">
        <v>206</v>
      </c>
      <c r="F26" t="s">
        <v>198</v>
      </c>
      <c r="G26" t="s">
        <v>201</v>
      </c>
      <c r="H26">
        <v>57</v>
      </c>
    </row>
    <row r="27" spans="1:8" x14ac:dyDescent="0.3">
      <c r="A27">
        <v>2019</v>
      </c>
      <c r="B27" t="s">
        <v>13</v>
      </c>
      <c r="C27" t="s">
        <v>267</v>
      </c>
      <c r="D27" t="s">
        <v>268</v>
      </c>
      <c r="E27" t="s">
        <v>1</v>
      </c>
      <c r="F27" t="s">
        <v>198</v>
      </c>
      <c r="G27" t="s">
        <v>201</v>
      </c>
      <c r="H27">
        <v>8</v>
      </c>
    </row>
    <row r="28" spans="1:8" x14ac:dyDescent="0.3">
      <c r="A28">
        <v>2019</v>
      </c>
      <c r="B28" t="s">
        <v>13</v>
      </c>
      <c r="C28" t="s">
        <v>267</v>
      </c>
      <c r="D28" t="s">
        <v>268</v>
      </c>
      <c r="E28" t="s">
        <v>203</v>
      </c>
      <c r="F28" t="s">
        <v>198</v>
      </c>
      <c r="G28" t="s">
        <v>201</v>
      </c>
      <c r="H28">
        <v>0</v>
      </c>
    </row>
    <row r="29" spans="1:8" x14ac:dyDescent="0.3">
      <c r="A29">
        <v>2019</v>
      </c>
      <c r="B29" t="s">
        <v>13</v>
      </c>
      <c r="C29" t="s">
        <v>267</v>
      </c>
      <c r="D29" t="s">
        <v>268</v>
      </c>
      <c r="E29" t="s">
        <v>204</v>
      </c>
      <c r="F29" t="s">
        <v>198</v>
      </c>
      <c r="G29" t="s">
        <v>201</v>
      </c>
      <c r="H29">
        <v>1</v>
      </c>
    </row>
    <row r="30" spans="1:8" x14ac:dyDescent="0.3">
      <c r="A30">
        <v>2019</v>
      </c>
      <c r="B30" t="s">
        <v>13</v>
      </c>
      <c r="C30" t="s">
        <v>267</v>
      </c>
      <c r="D30" t="s">
        <v>268</v>
      </c>
      <c r="E30" t="s">
        <v>205</v>
      </c>
      <c r="F30" t="s">
        <v>198</v>
      </c>
      <c r="G30" t="s">
        <v>201</v>
      </c>
      <c r="H30">
        <v>0</v>
      </c>
    </row>
    <row r="31" spans="1:8" x14ac:dyDescent="0.3">
      <c r="A31">
        <v>2019</v>
      </c>
      <c r="B31" t="s">
        <v>13</v>
      </c>
      <c r="C31" t="s">
        <v>267</v>
      </c>
      <c r="D31" t="s">
        <v>268</v>
      </c>
      <c r="E31" t="s">
        <v>206</v>
      </c>
      <c r="F31" t="s">
        <v>198</v>
      </c>
      <c r="G31" t="s">
        <v>201</v>
      </c>
      <c r="H31">
        <v>1</v>
      </c>
    </row>
    <row r="32" spans="1:8" x14ac:dyDescent="0.3">
      <c r="A32">
        <v>2019</v>
      </c>
      <c r="B32" t="s">
        <v>14</v>
      </c>
      <c r="C32" t="s">
        <v>267</v>
      </c>
      <c r="D32" t="s">
        <v>268</v>
      </c>
      <c r="E32" t="s">
        <v>1</v>
      </c>
      <c r="F32" t="s">
        <v>198</v>
      </c>
      <c r="G32" t="s">
        <v>201</v>
      </c>
      <c r="H32">
        <v>3</v>
      </c>
    </row>
    <row r="33" spans="1:8" x14ac:dyDescent="0.3">
      <c r="A33">
        <v>2019</v>
      </c>
      <c r="B33" t="s">
        <v>14</v>
      </c>
      <c r="C33" t="s">
        <v>267</v>
      </c>
      <c r="D33" t="s">
        <v>268</v>
      </c>
      <c r="E33" t="s">
        <v>203</v>
      </c>
      <c r="F33" t="s">
        <v>198</v>
      </c>
      <c r="G33" t="s">
        <v>201</v>
      </c>
      <c r="H33">
        <v>2</v>
      </c>
    </row>
    <row r="34" spans="1:8" x14ac:dyDescent="0.3">
      <c r="A34">
        <v>2019</v>
      </c>
      <c r="B34" t="s">
        <v>14</v>
      </c>
      <c r="C34" t="s">
        <v>267</v>
      </c>
      <c r="D34" t="s">
        <v>268</v>
      </c>
      <c r="E34" t="s">
        <v>204</v>
      </c>
      <c r="F34" t="s">
        <v>198</v>
      </c>
      <c r="G34" t="s">
        <v>201</v>
      </c>
      <c r="H34">
        <v>2</v>
      </c>
    </row>
    <row r="35" spans="1:8" x14ac:dyDescent="0.3">
      <c r="A35">
        <v>2019</v>
      </c>
      <c r="B35" t="s">
        <v>14</v>
      </c>
      <c r="C35" t="s">
        <v>267</v>
      </c>
      <c r="D35" t="s">
        <v>268</v>
      </c>
      <c r="E35" t="s">
        <v>205</v>
      </c>
      <c r="F35" t="s">
        <v>198</v>
      </c>
      <c r="G35" t="s">
        <v>201</v>
      </c>
      <c r="H35">
        <v>0</v>
      </c>
    </row>
    <row r="36" spans="1:8" x14ac:dyDescent="0.3">
      <c r="A36">
        <v>2019</v>
      </c>
      <c r="B36" t="s">
        <v>14</v>
      </c>
      <c r="C36" t="s">
        <v>267</v>
      </c>
      <c r="D36" t="s">
        <v>268</v>
      </c>
      <c r="E36" t="s">
        <v>206</v>
      </c>
      <c r="F36" t="s">
        <v>198</v>
      </c>
      <c r="G36" t="s">
        <v>201</v>
      </c>
      <c r="H36">
        <v>177</v>
      </c>
    </row>
    <row r="37" spans="1:8" x14ac:dyDescent="0.3">
      <c r="A37">
        <v>2019</v>
      </c>
      <c r="B37" t="s">
        <v>15</v>
      </c>
      <c r="C37" t="s">
        <v>267</v>
      </c>
      <c r="D37" t="s">
        <v>268</v>
      </c>
      <c r="E37" t="s">
        <v>1</v>
      </c>
      <c r="F37" t="s">
        <v>198</v>
      </c>
      <c r="G37" t="s">
        <v>201</v>
      </c>
      <c r="H37">
        <v>1</v>
      </c>
    </row>
    <row r="38" spans="1:8" x14ac:dyDescent="0.3">
      <c r="A38">
        <v>2019</v>
      </c>
      <c r="B38" t="s">
        <v>15</v>
      </c>
      <c r="C38" t="s">
        <v>267</v>
      </c>
      <c r="D38" t="s">
        <v>268</v>
      </c>
      <c r="E38" t="s">
        <v>203</v>
      </c>
      <c r="F38" t="s">
        <v>198</v>
      </c>
      <c r="G38" t="s">
        <v>201</v>
      </c>
      <c r="H38">
        <v>0</v>
      </c>
    </row>
    <row r="39" spans="1:8" x14ac:dyDescent="0.3">
      <c r="A39">
        <v>2019</v>
      </c>
      <c r="B39" t="s">
        <v>15</v>
      </c>
      <c r="C39" t="s">
        <v>267</v>
      </c>
      <c r="D39" t="s">
        <v>268</v>
      </c>
      <c r="E39" t="s">
        <v>204</v>
      </c>
      <c r="F39" t="s">
        <v>198</v>
      </c>
      <c r="G39" t="s">
        <v>201</v>
      </c>
      <c r="H39">
        <v>0</v>
      </c>
    </row>
    <row r="40" spans="1:8" x14ac:dyDescent="0.3">
      <c r="A40">
        <v>2019</v>
      </c>
      <c r="B40" t="s">
        <v>15</v>
      </c>
      <c r="C40" t="s">
        <v>267</v>
      </c>
      <c r="D40" t="s">
        <v>268</v>
      </c>
      <c r="E40" t="s">
        <v>205</v>
      </c>
      <c r="F40" t="s">
        <v>198</v>
      </c>
      <c r="G40" t="s">
        <v>201</v>
      </c>
      <c r="H40">
        <v>0</v>
      </c>
    </row>
    <row r="41" spans="1:8" x14ac:dyDescent="0.3">
      <c r="A41">
        <v>2019</v>
      </c>
      <c r="B41" t="s">
        <v>15</v>
      </c>
      <c r="C41" t="s">
        <v>267</v>
      </c>
      <c r="D41" t="s">
        <v>268</v>
      </c>
      <c r="E41" t="s">
        <v>206</v>
      </c>
      <c r="F41" t="s">
        <v>198</v>
      </c>
      <c r="G41" t="s">
        <v>201</v>
      </c>
    </row>
    <row r="42" spans="1:8" x14ac:dyDescent="0.3">
      <c r="A42">
        <v>2019</v>
      </c>
      <c r="B42" t="s">
        <v>16</v>
      </c>
      <c r="C42" t="s">
        <v>267</v>
      </c>
      <c r="D42" t="s">
        <v>268</v>
      </c>
      <c r="E42" t="s">
        <v>1</v>
      </c>
      <c r="F42" t="s">
        <v>198</v>
      </c>
      <c r="G42" t="s">
        <v>201</v>
      </c>
      <c r="H42">
        <v>3</v>
      </c>
    </row>
    <row r="43" spans="1:8" x14ac:dyDescent="0.3">
      <c r="A43">
        <v>2019</v>
      </c>
      <c r="B43" t="s">
        <v>16</v>
      </c>
      <c r="C43" t="s">
        <v>267</v>
      </c>
      <c r="D43" t="s">
        <v>268</v>
      </c>
      <c r="E43" t="s">
        <v>203</v>
      </c>
      <c r="F43" t="s">
        <v>198</v>
      </c>
      <c r="G43" t="s">
        <v>201</v>
      </c>
      <c r="H43">
        <v>1</v>
      </c>
    </row>
    <row r="44" spans="1:8" x14ac:dyDescent="0.3">
      <c r="A44">
        <v>2019</v>
      </c>
      <c r="B44" t="s">
        <v>16</v>
      </c>
      <c r="C44" t="s">
        <v>267</v>
      </c>
      <c r="D44" t="s">
        <v>268</v>
      </c>
      <c r="E44" t="s">
        <v>204</v>
      </c>
      <c r="F44" t="s">
        <v>198</v>
      </c>
      <c r="G44" t="s">
        <v>201</v>
      </c>
      <c r="H44">
        <v>0</v>
      </c>
    </row>
    <row r="45" spans="1:8" x14ac:dyDescent="0.3">
      <c r="A45">
        <v>2019</v>
      </c>
      <c r="B45" t="s">
        <v>16</v>
      </c>
      <c r="C45" t="s">
        <v>267</v>
      </c>
      <c r="D45" t="s">
        <v>268</v>
      </c>
      <c r="E45" t="s">
        <v>205</v>
      </c>
      <c r="F45" t="s">
        <v>198</v>
      </c>
      <c r="G45" t="s">
        <v>201</v>
      </c>
      <c r="H45">
        <v>0</v>
      </c>
    </row>
    <row r="46" spans="1:8" x14ac:dyDescent="0.3">
      <c r="A46">
        <v>2019</v>
      </c>
      <c r="B46" t="s">
        <v>16</v>
      </c>
      <c r="C46" t="s">
        <v>267</v>
      </c>
      <c r="D46" t="s">
        <v>268</v>
      </c>
      <c r="E46" t="s">
        <v>206</v>
      </c>
      <c r="F46" t="s">
        <v>198</v>
      </c>
      <c r="G46" t="s">
        <v>201</v>
      </c>
      <c r="H46">
        <v>30</v>
      </c>
    </row>
    <row r="47" spans="1:8" x14ac:dyDescent="0.3">
      <c r="A47">
        <v>2019</v>
      </c>
      <c r="B47" t="s">
        <v>17</v>
      </c>
      <c r="C47" t="s">
        <v>267</v>
      </c>
      <c r="D47" t="s">
        <v>268</v>
      </c>
      <c r="E47" t="s">
        <v>1</v>
      </c>
      <c r="F47" t="s">
        <v>198</v>
      </c>
      <c r="G47" t="s">
        <v>201</v>
      </c>
      <c r="H47">
        <v>3</v>
      </c>
    </row>
    <row r="48" spans="1:8" x14ac:dyDescent="0.3">
      <c r="A48">
        <v>2019</v>
      </c>
      <c r="B48" t="s">
        <v>17</v>
      </c>
      <c r="C48" t="s">
        <v>267</v>
      </c>
      <c r="D48" t="s">
        <v>268</v>
      </c>
      <c r="E48" t="s">
        <v>203</v>
      </c>
      <c r="F48" t="s">
        <v>198</v>
      </c>
      <c r="G48" t="s">
        <v>201</v>
      </c>
      <c r="H48">
        <v>0</v>
      </c>
    </row>
    <row r="49" spans="1:8" x14ac:dyDescent="0.3">
      <c r="A49">
        <v>2019</v>
      </c>
      <c r="B49" t="s">
        <v>17</v>
      </c>
      <c r="C49" t="s">
        <v>267</v>
      </c>
      <c r="D49" t="s">
        <v>268</v>
      </c>
      <c r="E49" t="s">
        <v>204</v>
      </c>
      <c r="F49" t="s">
        <v>198</v>
      </c>
      <c r="G49" t="s">
        <v>201</v>
      </c>
      <c r="H49">
        <v>0</v>
      </c>
    </row>
    <row r="50" spans="1:8" x14ac:dyDescent="0.3">
      <c r="A50">
        <v>2019</v>
      </c>
      <c r="B50" t="s">
        <v>17</v>
      </c>
      <c r="C50" t="s">
        <v>267</v>
      </c>
      <c r="D50" t="s">
        <v>268</v>
      </c>
      <c r="E50" t="s">
        <v>205</v>
      </c>
      <c r="F50" t="s">
        <v>198</v>
      </c>
      <c r="G50" t="s">
        <v>201</v>
      </c>
      <c r="H50">
        <v>0</v>
      </c>
    </row>
    <row r="51" spans="1:8" x14ac:dyDescent="0.3">
      <c r="A51">
        <v>2019</v>
      </c>
      <c r="B51" t="s">
        <v>17</v>
      </c>
      <c r="C51" t="s">
        <v>267</v>
      </c>
      <c r="D51" t="s">
        <v>268</v>
      </c>
      <c r="E51" t="s">
        <v>206</v>
      </c>
      <c r="F51" t="s">
        <v>198</v>
      </c>
      <c r="G51" t="s">
        <v>201</v>
      </c>
      <c r="H51">
        <v>0</v>
      </c>
    </row>
    <row r="52" spans="1:8" x14ac:dyDescent="0.3">
      <c r="A52">
        <v>2019</v>
      </c>
      <c r="B52" t="s">
        <v>163</v>
      </c>
      <c r="C52" t="s">
        <v>267</v>
      </c>
      <c r="D52" t="s">
        <v>268</v>
      </c>
      <c r="E52" t="s">
        <v>1</v>
      </c>
      <c r="F52" t="s">
        <v>198</v>
      </c>
      <c r="G52" t="s">
        <v>201</v>
      </c>
      <c r="H52">
        <v>4</v>
      </c>
    </row>
    <row r="53" spans="1:8" x14ac:dyDescent="0.3">
      <c r="A53">
        <v>2019</v>
      </c>
      <c r="B53" t="s">
        <v>163</v>
      </c>
      <c r="C53" t="s">
        <v>267</v>
      </c>
      <c r="D53" t="s">
        <v>268</v>
      </c>
      <c r="E53" t="s">
        <v>203</v>
      </c>
      <c r="F53" t="s">
        <v>198</v>
      </c>
      <c r="G53" t="s">
        <v>201</v>
      </c>
      <c r="H53">
        <v>1</v>
      </c>
    </row>
    <row r="54" spans="1:8" x14ac:dyDescent="0.3">
      <c r="A54">
        <v>2019</v>
      </c>
      <c r="B54" t="s">
        <v>163</v>
      </c>
      <c r="C54" t="s">
        <v>267</v>
      </c>
      <c r="D54" t="s">
        <v>268</v>
      </c>
      <c r="E54" t="s">
        <v>204</v>
      </c>
      <c r="F54" t="s">
        <v>198</v>
      </c>
      <c r="G54" t="s">
        <v>201</v>
      </c>
      <c r="H54">
        <v>0</v>
      </c>
    </row>
    <row r="55" spans="1:8" x14ac:dyDescent="0.3">
      <c r="A55">
        <v>2019</v>
      </c>
      <c r="B55" t="s">
        <v>163</v>
      </c>
      <c r="C55" t="s">
        <v>267</v>
      </c>
      <c r="D55" t="s">
        <v>268</v>
      </c>
      <c r="E55" t="s">
        <v>205</v>
      </c>
      <c r="F55" t="s">
        <v>198</v>
      </c>
      <c r="G55" t="s">
        <v>201</v>
      </c>
      <c r="H55">
        <v>0</v>
      </c>
    </row>
    <row r="56" spans="1:8" x14ac:dyDescent="0.3">
      <c r="A56">
        <v>2019</v>
      </c>
      <c r="B56" t="s">
        <v>163</v>
      </c>
      <c r="C56" t="s">
        <v>267</v>
      </c>
      <c r="D56" t="s">
        <v>268</v>
      </c>
      <c r="E56" t="s">
        <v>206</v>
      </c>
      <c r="F56" t="s">
        <v>198</v>
      </c>
      <c r="G56" t="s">
        <v>201</v>
      </c>
      <c r="H56">
        <v>20</v>
      </c>
    </row>
    <row r="57" spans="1:8" x14ac:dyDescent="0.3">
      <c r="A57">
        <v>2019</v>
      </c>
      <c r="B57" t="s">
        <v>20</v>
      </c>
      <c r="C57" t="s">
        <v>267</v>
      </c>
      <c r="D57" t="s">
        <v>268</v>
      </c>
      <c r="E57" t="s">
        <v>1</v>
      </c>
      <c r="F57" t="s">
        <v>198</v>
      </c>
      <c r="G57" t="s">
        <v>201</v>
      </c>
      <c r="H57">
        <v>7</v>
      </c>
    </row>
    <row r="58" spans="1:8" x14ac:dyDescent="0.3">
      <c r="A58">
        <v>2019</v>
      </c>
      <c r="B58" t="s">
        <v>20</v>
      </c>
      <c r="C58" t="s">
        <v>267</v>
      </c>
      <c r="D58" t="s">
        <v>268</v>
      </c>
      <c r="E58" t="s">
        <v>203</v>
      </c>
      <c r="F58" t="s">
        <v>198</v>
      </c>
      <c r="G58" t="s">
        <v>201</v>
      </c>
      <c r="H58">
        <v>1</v>
      </c>
    </row>
    <row r="59" spans="1:8" x14ac:dyDescent="0.3">
      <c r="A59">
        <v>2019</v>
      </c>
      <c r="B59" t="s">
        <v>20</v>
      </c>
      <c r="C59" t="s">
        <v>267</v>
      </c>
      <c r="D59" t="s">
        <v>268</v>
      </c>
      <c r="E59" t="s">
        <v>204</v>
      </c>
      <c r="F59" t="s">
        <v>198</v>
      </c>
      <c r="G59" t="s">
        <v>201</v>
      </c>
      <c r="H59">
        <v>0</v>
      </c>
    </row>
    <row r="60" spans="1:8" x14ac:dyDescent="0.3">
      <c r="A60">
        <v>2019</v>
      </c>
      <c r="B60" t="s">
        <v>20</v>
      </c>
      <c r="C60" t="s">
        <v>267</v>
      </c>
      <c r="D60" t="s">
        <v>268</v>
      </c>
      <c r="E60" t="s">
        <v>205</v>
      </c>
      <c r="F60" t="s">
        <v>198</v>
      </c>
      <c r="G60" t="s">
        <v>201</v>
      </c>
      <c r="H60">
        <v>0</v>
      </c>
    </row>
    <row r="61" spans="1:8" x14ac:dyDescent="0.3">
      <c r="A61">
        <v>2019</v>
      </c>
      <c r="B61" t="s">
        <v>20</v>
      </c>
      <c r="C61" t="s">
        <v>267</v>
      </c>
      <c r="D61" t="s">
        <v>268</v>
      </c>
      <c r="E61" t="s">
        <v>206</v>
      </c>
      <c r="F61" t="s">
        <v>198</v>
      </c>
      <c r="G61" t="s">
        <v>201</v>
      </c>
      <c r="H61">
        <v>14</v>
      </c>
    </row>
    <row r="62" spans="1:8" x14ac:dyDescent="0.3">
      <c r="A62">
        <v>2019</v>
      </c>
      <c r="B62" t="s">
        <v>21</v>
      </c>
      <c r="C62" t="s">
        <v>267</v>
      </c>
      <c r="D62" t="s">
        <v>268</v>
      </c>
      <c r="E62" t="s">
        <v>1</v>
      </c>
      <c r="F62" t="s">
        <v>198</v>
      </c>
      <c r="G62" t="s">
        <v>201</v>
      </c>
      <c r="H62">
        <v>14</v>
      </c>
    </row>
    <row r="63" spans="1:8" x14ac:dyDescent="0.3">
      <c r="A63">
        <v>2019</v>
      </c>
      <c r="B63" t="s">
        <v>21</v>
      </c>
      <c r="C63" t="s">
        <v>267</v>
      </c>
      <c r="D63" t="s">
        <v>268</v>
      </c>
      <c r="E63" t="s">
        <v>203</v>
      </c>
      <c r="F63" t="s">
        <v>198</v>
      </c>
      <c r="G63" t="s">
        <v>201</v>
      </c>
      <c r="H63">
        <v>0</v>
      </c>
    </row>
    <row r="64" spans="1:8" x14ac:dyDescent="0.3">
      <c r="A64">
        <v>2019</v>
      </c>
      <c r="B64" t="s">
        <v>21</v>
      </c>
      <c r="C64" t="s">
        <v>267</v>
      </c>
      <c r="D64" t="s">
        <v>268</v>
      </c>
      <c r="E64" t="s">
        <v>204</v>
      </c>
      <c r="F64" t="s">
        <v>198</v>
      </c>
      <c r="G64" t="s">
        <v>201</v>
      </c>
      <c r="H64">
        <v>0</v>
      </c>
    </row>
    <row r="65" spans="1:8" x14ac:dyDescent="0.3">
      <c r="A65">
        <v>2019</v>
      </c>
      <c r="B65" t="s">
        <v>21</v>
      </c>
      <c r="C65" t="s">
        <v>267</v>
      </c>
      <c r="D65" t="s">
        <v>268</v>
      </c>
      <c r="E65" t="s">
        <v>205</v>
      </c>
      <c r="F65" t="s">
        <v>198</v>
      </c>
      <c r="G65" t="s">
        <v>201</v>
      </c>
      <c r="H65">
        <v>0</v>
      </c>
    </row>
    <row r="66" spans="1:8" x14ac:dyDescent="0.3">
      <c r="A66">
        <v>2019</v>
      </c>
      <c r="B66" t="s">
        <v>21</v>
      </c>
      <c r="C66" t="s">
        <v>267</v>
      </c>
      <c r="D66" t="s">
        <v>268</v>
      </c>
      <c r="E66" t="s">
        <v>206</v>
      </c>
      <c r="F66" t="s">
        <v>198</v>
      </c>
      <c r="G66" t="s">
        <v>201</v>
      </c>
      <c r="H66">
        <v>2</v>
      </c>
    </row>
    <row r="67" spans="1:8" x14ac:dyDescent="0.3">
      <c r="A67">
        <v>2019</v>
      </c>
      <c r="B67" t="s">
        <v>22</v>
      </c>
      <c r="C67" t="s">
        <v>267</v>
      </c>
      <c r="D67" t="s">
        <v>268</v>
      </c>
      <c r="E67" t="s">
        <v>1</v>
      </c>
      <c r="F67" t="s">
        <v>198</v>
      </c>
      <c r="G67" t="s">
        <v>201</v>
      </c>
      <c r="H67">
        <v>20</v>
      </c>
    </row>
    <row r="68" spans="1:8" x14ac:dyDescent="0.3">
      <c r="A68">
        <v>2019</v>
      </c>
      <c r="B68" t="s">
        <v>22</v>
      </c>
      <c r="C68" t="s">
        <v>267</v>
      </c>
      <c r="D68" t="s">
        <v>268</v>
      </c>
      <c r="E68" t="s">
        <v>203</v>
      </c>
      <c r="F68" t="s">
        <v>198</v>
      </c>
      <c r="G68" t="s">
        <v>201</v>
      </c>
      <c r="H68">
        <v>5</v>
      </c>
    </row>
    <row r="69" spans="1:8" x14ac:dyDescent="0.3">
      <c r="A69">
        <v>2019</v>
      </c>
      <c r="B69" t="s">
        <v>22</v>
      </c>
      <c r="C69" t="s">
        <v>267</v>
      </c>
      <c r="D69" t="s">
        <v>268</v>
      </c>
      <c r="E69" t="s">
        <v>204</v>
      </c>
      <c r="F69" t="s">
        <v>198</v>
      </c>
      <c r="G69" t="s">
        <v>201</v>
      </c>
      <c r="H69">
        <v>1</v>
      </c>
    </row>
    <row r="70" spans="1:8" x14ac:dyDescent="0.3">
      <c r="A70">
        <v>2019</v>
      </c>
      <c r="B70" t="s">
        <v>22</v>
      </c>
      <c r="C70" t="s">
        <v>267</v>
      </c>
      <c r="D70" t="s">
        <v>268</v>
      </c>
      <c r="E70" t="s">
        <v>205</v>
      </c>
      <c r="F70" t="s">
        <v>198</v>
      </c>
      <c r="G70" t="s">
        <v>201</v>
      </c>
      <c r="H70">
        <v>0</v>
      </c>
    </row>
    <row r="71" spans="1:8" x14ac:dyDescent="0.3">
      <c r="A71">
        <v>2019</v>
      </c>
      <c r="B71" t="s">
        <v>22</v>
      </c>
      <c r="C71" t="s">
        <v>267</v>
      </c>
      <c r="D71" t="s">
        <v>268</v>
      </c>
      <c r="E71" t="s">
        <v>206</v>
      </c>
      <c r="F71" t="s">
        <v>198</v>
      </c>
      <c r="G71" t="s">
        <v>201</v>
      </c>
      <c r="H71">
        <v>46</v>
      </c>
    </row>
    <row r="72" spans="1:8" x14ac:dyDescent="0.3">
      <c r="A72">
        <v>2019</v>
      </c>
      <c r="B72" t="s">
        <v>23</v>
      </c>
      <c r="C72" t="s">
        <v>267</v>
      </c>
      <c r="D72" t="s">
        <v>268</v>
      </c>
      <c r="E72" t="s">
        <v>1</v>
      </c>
      <c r="F72" t="s">
        <v>198</v>
      </c>
      <c r="G72" t="s">
        <v>201</v>
      </c>
      <c r="H72">
        <v>7</v>
      </c>
    </row>
    <row r="73" spans="1:8" x14ac:dyDescent="0.3">
      <c r="A73">
        <v>2019</v>
      </c>
      <c r="B73" t="s">
        <v>23</v>
      </c>
      <c r="C73" t="s">
        <v>267</v>
      </c>
      <c r="D73" t="s">
        <v>268</v>
      </c>
      <c r="E73" t="s">
        <v>203</v>
      </c>
      <c r="F73" t="s">
        <v>198</v>
      </c>
      <c r="G73" t="s">
        <v>201</v>
      </c>
      <c r="H73">
        <v>0</v>
      </c>
    </row>
    <row r="74" spans="1:8" x14ac:dyDescent="0.3">
      <c r="A74">
        <v>2019</v>
      </c>
      <c r="B74" t="s">
        <v>23</v>
      </c>
      <c r="C74" t="s">
        <v>267</v>
      </c>
      <c r="D74" t="s">
        <v>268</v>
      </c>
      <c r="E74" t="s">
        <v>204</v>
      </c>
      <c r="F74" t="s">
        <v>198</v>
      </c>
      <c r="G74" t="s">
        <v>201</v>
      </c>
      <c r="H74">
        <v>0</v>
      </c>
    </row>
    <row r="75" spans="1:8" x14ac:dyDescent="0.3">
      <c r="A75">
        <v>2019</v>
      </c>
      <c r="B75" t="s">
        <v>23</v>
      </c>
      <c r="C75" t="s">
        <v>267</v>
      </c>
      <c r="D75" t="s">
        <v>268</v>
      </c>
      <c r="E75" t="s">
        <v>205</v>
      </c>
      <c r="F75" t="s">
        <v>198</v>
      </c>
      <c r="G75" t="s">
        <v>201</v>
      </c>
      <c r="H75">
        <v>0</v>
      </c>
    </row>
    <row r="76" spans="1:8" x14ac:dyDescent="0.3">
      <c r="A76">
        <v>2019</v>
      </c>
      <c r="B76" t="s">
        <v>23</v>
      </c>
      <c r="C76" t="s">
        <v>267</v>
      </c>
      <c r="D76" t="s">
        <v>268</v>
      </c>
      <c r="E76" t="s">
        <v>206</v>
      </c>
      <c r="F76" t="s">
        <v>198</v>
      </c>
      <c r="G76" t="s">
        <v>201</v>
      </c>
      <c r="H76">
        <v>0</v>
      </c>
    </row>
    <row r="77" spans="1:8" x14ac:dyDescent="0.3">
      <c r="A77">
        <v>2019</v>
      </c>
      <c r="B77" t="s">
        <v>54</v>
      </c>
      <c r="C77" t="s">
        <v>267</v>
      </c>
      <c r="D77" t="s">
        <v>268</v>
      </c>
      <c r="E77" t="s">
        <v>1</v>
      </c>
      <c r="F77" t="s">
        <v>198</v>
      </c>
      <c r="G77" t="s">
        <v>201</v>
      </c>
      <c r="H77">
        <v>114</v>
      </c>
    </row>
    <row r="78" spans="1:8" x14ac:dyDescent="0.3">
      <c r="A78">
        <v>2019</v>
      </c>
      <c r="B78" t="s">
        <v>54</v>
      </c>
      <c r="C78" t="s">
        <v>267</v>
      </c>
      <c r="D78" t="s">
        <v>268</v>
      </c>
      <c r="E78" t="s">
        <v>203</v>
      </c>
      <c r="F78" t="s">
        <v>198</v>
      </c>
      <c r="G78" t="s">
        <v>201</v>
      </c>
      <c r="H78">
        <v>31</v>
      </c>
    </row>
    <row r="79" spans="1:8" x14ac:dyDescent="0.3">
      <c r="A79">
        <v>2019</v>
      </c>
      <c r="B79" t="s">
        <v>54</v>
      </c>
      <c r="C79" t="s">
        <v>267</v>
      </c>
      <c r="D79" t="s">
        <v>268</v>
      </c>
      <c r="E79" t="s">
        <v>204</v>
      </c>
      <c r="F79" t="s">
        <v>198</v>
      </c>
      <c r="G79" t="s">
        <v>201</v>
      </c>
      <c r="H79">
        <v>3</v>
      </c>
    </row>
    <row r="80" spans="1:8" x14ac:dyDescent="0.3">
      <c r="A80">
        <v>2019</v>
      </c>
      <c r="B80" t="s">
        <v>54</v>
      </c>
      <c r="C80" t="s">
        <v>267</v>
      </c>
      <c r="D80" t="s">
        <v>268</v>
      </c>
      <c r="E80" t="s">
        <v>205</v>
      </c>
      <c r="F80" t="s">
        <v>198</v>
      </c>
      <c r="G80" t="s">
        <v>201</v>
      </c>
      <c r="H80">
        <v>0</v>
      </c>
    </row>
    <row r="81" spans="1:8" x14ac:dyDescent="0.3">
      <c r="A81">
        <v>2019</v>
      </c>
      <c r="B81" t="s">
        <v>54</v>
      </c>
      <c r="C81" t="s">
        <v>267</v>
      </c>
      <c r="D81" t="s">
        <v>268</v>
      </c>
      <c r="E81" t="s">
        <v>206</v>
      </c>
      <c r="F81" t="s">
        <v>198</v>
      </c>
      <c r="G81" t="s">
        <v>201</v>
      </c>
    </row>
    <row r="82" spans="1:8" x14ac:dyDescent="0.3">
      <c r="A82">
        <v>2019</v>
      </c>
      <c r="B82" t="s">
        <v>48</v>
      </c>
      <c r="C82" t="s">
        <v>267</v>
      </c>
      <c r="D82" t="s">
        <v>268</v>
      </c>
      <c r="E82" t="s">
        <v>1</v>
      </c>
      <c r="F82" t="s">
        <v>198</v>
      </c>
      <c r="G82" t="s">
        <v>201</v>
      </c>
      <c r="H82">
        <v>40</v>
      </c>
    </row>
    <row r="83" spans="1:8" x14ac:dyDescent="0.3">
      <c r="A83">
        <v>2019</v>
      </c>
      <c r="B83" t="s">
        <v>48</v>
      </c>
      <c r="C83" t="s">
        <v>267</v>
      </c>
      <c r="D83" t="s">
        <v>268</v>
      </c>
      <c r="E83" t="s">
        <v>203</v>
      </c>
      <c r="F83" t="s">
        <v>198</v>
      </c>
      <c r="G83" t="s">
        <v>201</v>
      </c>
      <c r="H83">
        <v>9</v>
      </c>
    </row>
    <row r="84" spans="1:8" x14ac:dyDescent="0.3">
      <c r="A84">
        <v>2019</v>
      </c>
      <c r="B84" t="s">
        <v>48</v>
      </c>
      <c r="C84" t="s">
        <v>267</v>
      </c>
      <c r="D84" t="s">
        <v>268</v>
      </c>
      <c r="E84" t="s">
        <v>204</v>
      </c>
      <c r="F84" t="s">
        <v>198</v>
      </c>
      <c r="G84" t="s">
        <v>201</v>
      </c>
      <c r="H84">
        <v>1</v>
      </c>
    </row>
    <row r="85" spans="1:8" x14ac:dyDescent="0.3">
      <c r="A85">
        <v>2019</v>
      </c>
      <c r="B85" t="s">
        <v>48</v>
      </c>
      <c r="C85" t="s">
        <v>267</v>
      </c>
      <c r="D85" t="s">
        <v>268</v>
      </c>
      <c r="E85" t="s">
        <v>205</v>
      </c>
      <c r="F85" t="s">
        <v>198</v>
      </c>
      <c r="G85" t="s">
        <v>201</v>
      </c>
      <c r="H85">
        <v>0</v>
      </c>
    </row>
    <row r="86" spans="1:8" x14ac:dyDescent="0.3">
      <c r="A86">
        <v>2019</v>
      </c>
      <c r="B86" t="s">
        <v>48</v>
      </c>
      <c r="C86" t="s">
        <v>267</v>
      </c>
      <c r="D86" t="s">
        <v>268</v>
      </c>
      <c r="E86" t="s">
        <v>206</v>
      </c>
      <c r="F86" t="s">
        <v>198</v>
      </c>
      <c r="G86" t="s">
        <v>201</v>
      </c>
      <c r="H86">
        <v>169</v>
      </c>
    </row>
    <row r="87" spans="1:8" x14ac:dyDescent="0.3">
      <c r="A87">
        <v>2019</v>
      </c>
      <c r="B87" t="s">
        <v>24</v>
      </c>
      <c r="C87" t="s">
        <v>267</v>
      </c>
      <c r="D87" t="s">
        <v>268</v>
      </c>
      <c r="E87" t="s">
        <v>1</v>
      </c>
      <c r="F87" t="s">
        <v>198</v>
      </c>
      <c r="G87" t="s">
        <v>201</v>
      </c>
      <c r="H87">
        <v>17</v>
      </c>
    </row>
    <row r="88" spans="1:8" x14ac:dyDescent="0.3">
      <c r="A88">
        <v>2019</v>
      </c>
      <c r="B88" t="s">
        <v>24</v>
      </c>
      <c r="C88" t="s">
        <v>267</v>
      </c>
      <c r="D88" t="s">
        <v>268</v>
      </c>
      <c r="E88" t="s">
        <v>203</v>
      </c>
      <c r="F88" t="s">
        <v>198</v>
      </c>
      <c r="G88" t="s">
        <v>201</v>
      </c>
      <c r="H88">
        <v>4</v>
      </c>
    </row>
    <row r="89" spans="1:8" x14ac:dyDescent="0.3">
      <c r="A89">
        <v>2019</v>
      </c>
      <c r="B89" t="s">
        <v>24</v>
      </c>
      <c r="C89" t="s">
        <v>267</v>
      </c>
      <c r="D89" t="s">
        <v>268</v>
      </c>
      <c r="E89" t="s">
        <v>204</v>
      </c>
      <c r="F89" t="s">
        <v>198</v>
      </c>
      <c r="G89" t="s">
        <v>201</v>
      </c>
      <c r="H89">
        <v>0</v>
      </c>
    </row>
    <row r="90" spans="1:8" x14ac:dyDescent="0.3">
      <c r="A90">
        <v>2019</v>
      </c>
      <c r="B90" t="s">
        <v>24</v>
      </c>
      <c r="C90" t="s">
        <v>267</v>
      </c>
      <c r="D90" t="s">
        <v>268</v>
      </c>
      <c r="E90" t="s">
        <v>205</v>
      </c>
      <c r="F90" t="s">
        <v>198</v>
      </c>
      <c r="G90" t="s">
        <v>201</v>
      </c>
      <c r="H90">
        <v>0</v>
      </c>
    </row>
    <row r="91" spans="1:8" x14ac:dyDescent="0.3">
      <c r="A91">
        <v>2019</v>
      </c>
      <c r="B91" t="s">
        <v>24</v>
      </c>
      <c r="C91" t="s">
        <v>267</v>
      </c>
      <c r="D91" t="s">
        <v>268</v>
      </c>
      <c r="E91" t="s">
        <v>206</v>
      </c>
      <c r="F91" t="s">
        <v>198</v>
      </c>
      <c r="G91" t="s">
        <v>201</v>
      </c>
      <c r="H91">
        <v>31</v>
      </c>
    </row>
    <row r="92" spans="1:8" x14ac:dyDescent="0.3">
      <c r="A92">
        <v>2019</v>
      </c>
      <c r="B92" t="s">
        <v>214</v>
      </c>
      <c r="C92" t="s">
        <v>267</v>
      </c>
      <c r="D92" t="s">
        <v>268</v>
      </c>
      <c r="E92" t="s">
        <v>1</v>
      </c>
      <c r="F92" t="s">
        <v>198</v>
      </c>
      <c r="G92" t="s">
        <v>201</v>
      </c>
      <c r="H92">
        <v>5</v>
      </c>
    </row>
    <row r="93" spans="1:8" x14ac:dyDescent="0.3">
      <c r="A93">
        <v>2019</v>
      </c>
      <c r="B93" t="s">
        <v>214</v>
      </c>
      <c r="C93" t="s">
        <v>267</v>
      </c>
      <c r="D93" t="s">
        <v>268</v>
      </c>
      <c r="E93" t="s">
        <v>203</v>
      </c>
      <c r="F93" t="s">
        <v>198</v>
      </c>
      <c r="G93" t="s">
        <v>201</v>
      </c>
      <c r="H93">
        <v>1</v>
      </c>
    </row>
    <row r="94" spans="1:8" x14ac:dyDescent="0.3">
      <c r="A94">
        <v>2019</v>
      </c>
      <c r="B94" t="s">
        <v>214</v>
      </c>
      <c r="C94" t="s">
        <v>267</v>
      </c>
      <c r="D94" t="s">
        <v>268</v>
      </c>
      <c r="E94" t="s">
        <v>204</v>
      </c>
      <c r="F94" t="s">
        <v>198</v>
      </c>
      <c r="G94" t="s">
        <v>201</v>
      </c>
      <c r="H94">
        <v>0</v>
      </c>
    </row>
    <row r="95" spans="1:8" x14ac:dyDescent="0.3">
      <c r="A95">
        <v>2019</v>
      </c>
      <c r="B95" t="s">
        <v>214</v>
      </c>
      <c r="C95" t="s">
        <v>267</v>
      </c>
      <c r="D95" t="s">
        <v>268</v>
      </c>
      <c r="E95" t="s">
        <v>205</v>
      </c>
      <c r="F95" t="s">
        <v>198</v>
      </c>
      <c r="G95" t="s">
        <v>201</v>
      </c>
      <c r="H95">
        <v>0</v>
      </c>
    </row>
    <row r="96" spans="1:8" x14ac:dyDescent="0.3">
      <c r="A96">
        <v>2019</v>
      </c>
      <c r="B96" t="s">
        <v>214</v>
      </c>
      <c r="C96" t="s">
        <v>267</v>
      </c>
      <c r="D96" t="s">
        <v>268</v>
      </c>
      <c r="E96" t="s">
        <v>206</v>
      </c>
      <c r="F96" t="s">
        <v>198</v>
      </c>
      <c r="G96" t="s">
        <v>201</v>
      </c>
      <c r="H96">
        <v>16</v>
      </c>
    </row>
    <row r="97" spans="1:8" x14ac:dyDescent="0.3">
      <c r="A97">
        <v>2019</v>
      </c>
      <c r="B97" t="s">
        <v>26</v>
      </c>
      <c r="C97" t="s">
        <v>267</v>
      </c>
      <c r="D97" t="s">
        <v>268</v>
      </c>
      <c r="E97" t="s">
        <v>1</v>
      </c>
      <c r="F97" t="s">
        <v>198</v>
      </c>
      <c r="G97" t="s">
        <v>201</v>
      </c>
      <c r="H97">
        <v>21</v>
      </c>
    </row>
    <row r="98" spans="1:8" x14ac:dyDescent="0.3">
      <c r="A98">
        <v>2019</v>
      </c>
      <c r="B98" t="s">
        <v>26</v>
      </c>
      <c r="C98" t="s">
        <v>267</v>
      </c>
      <c r="D98" t="s">
        <v>268</v>
      </c>
      <c r="E98" t="s">
        <v>203</v>
      </c>
      <c r="F98" t="s">
        <v>198</v>
      </c>
      <c r="G98" t="s">
        <v>201</v>
      </c>
      <c r="H98">
        <v>1</v>
      </c>
    </row>
    <row r="99" spans="1:8" x14ac:dyDescent="0.3">
      <c r="A99">
        <v>2019</v>
      </c>
      <c r="B99" t="s">
        <v>26</v>
      </c>
      <c r="C99" t="s">
        <v>267</v>
      </c>
      <c r="D99" t="s">
        <v>268</v>
      </c>
      <c r="E99" t="s">
        <v>204</v>
      </c>
      <c r="F99" t="s">
        <v>198</v>
      </c>
      <c r="G99" t="s">
        <v>201</v>
      </c>
      <c r="H99">
        <v>1</v>
      </c>
    </row>
    <row r="100" spans="1:8" x14ac:dyDescent="0.3">
      <c r="A100">
        <v>2019</v>
      </c>
      <c r="B100" t="s">
        <v>26</v>
      </c>
      <c r="C100" t="s">
        <v>267</v>
      </c>
      <c r="D100" t="s">
        <v>268</v>
      </c>
      <c r="E100" t="s">
        <v>205</v>
      </c>
      <c r="F100" t="s">
        <v>198</v>
      </c>
      <c r="G100" t="s">
        <v>201</v>
      </c>
      <c r="H100">
        <v>0</v>
      </c>
    </row>
    <row r="101" spans="1:8" x14ac:dyDescent="0.3">
      <c r="A101">
        <v>2019</v>
      </c>
      <c r="B101" t="s">
        <v>26</v>
      </c>
      <c r="C101" t="s">
        <v>267</v>
      </c>
      <c r="D101" t="s">
        <v>268</v>
      </c>
      <c r="E101" t="s">
        <v>206</v>
      </c>
      <c r="F101" t="s">
        <v>198</v>
      </c>
      <c r="G101" t="s">
        <v>201</v>
      </c>
      <c r="H101">
        <v>23</v>
      </c>
    </row>
    <row r="102" spans="1:8" x14ac:dyDescent="0.3">
      <c r="A102">
        <v>2019</v>
      </c>
      <c r="B102" t="s">
        <v>27</v>
      </c>
      <c r="C102" t="s">
        <v>267</v>
      </c>
      <c r="D102" t="s">
        <v>268</v>
      </c>
      <c r="E102" t="s">
        <v>1</v>
      </c>
      <c r="F102" t="s">
        <v>198</v>
      </c>
      <c r="G102" t="s">
        <v>201</v>
      </c>
      <c r="H102">
        <v>8</v>
      </c>
    </row>
    <row r="103" spans="1:8" x14ac:dyDescent="0.3">
      <c r="A103">
        <v>2019</v>
      </c>
      <c r="B103" t="s">
        <v>27</v>
      </c>
      <c r="C103" t="s">
        <v>267</v>
      </c>
      <c r="D103" t="s">
        <v>268</v>
      </c>
      <c r="E103" t="s">
        <v>203</v>
      </c>
      <c r="F103" t="s">
        <v>198</v>
      </c>
      <c r="G103" t="s">
        <v>201</v>
      </c>
      <c r="H103">
        <v>1</v>
      </c>
    </row>
    <row r="104" spans="1:8" x14ac:dyDescent="0.3">
      <c r="A104">
        <v>2019</v>
      </c>
      <c r="B104" t="s">
        <v>27</v>
      </c>
      <c r="C104" t="s">
        <v>267</v>
      </c>
      <c r="D104" t="s">
        <v>268</v>
      </c>
      <c r="E104" t="s">
        <v>204</v>
      </c>
      <c r="F104" t="s">
        <v>198</v>
      </c>
      <c r="G104" t="s">
        <v>201</v>
      </c>
      <c r="H104">
        <v>0</v>
      </c>
    </row>
    <row r="105" spans="1:8" x14ac:dyDescent="0.3">
      <c r="A105">
        <v>2019</v>
      </c>
      <c r="B105" t="s">
        <v>27</v>
      </c>
      <c r="C105" t="s">
        <v>267</v>
      </c>
      <c r="D105" t="s">
        <v>268</v>
      </c>
      <c r="E105" t="s">
        <v>205</v>
      </c>
      <c r="F105" t="s">
        <v>198</v>
      </c>
      <c r="G105" t="s">
        <v>201</v>
      </c>
      <c r="H105">
        <v>0</v>
      </c>
    </row>
    <row r="106" spans="1:8" x14ac:dyDescent="0.3">
      <c r="A106">
        <v>2019</v>
      </c>
      <c r="B106" t="s">
        <v>27</v>
      </c>
      <c r="C106" t="s">
        <v>267</v>
      </c>
      <c r="D106" t="s">
        <v>268</v>
      </c>
      <c r="E106" t="s">
        <v>206</v>
      </c>
      <c r="F106" t="s">
        <v>198</v>
      </c>
      <c r="G106" t="s">
        <v>201</v>
      </c>
      <c r="H106">
        <v>8</v>
      </c>
    </row>
    <row r="107" spans="1:8" x14ac:dyDescent="0.3">
      <c r="A107">
        <v>2019</v>
      </c>
      <c r="B107" t="s">
        <v>219</v>
      </c>
      <c r="C107" t="s">
        <v>267</v>
      </c>
      <c r="D107" t="s">
        <v>268</v>
      </c>
      <c r="E107" t="s">
        <v>1</v>
      </c>
      <c r="F107" t="s">
        <v>198</v>
      </c>
      <c r="G107" t="s">
        <v>201</v>
      </c>
    </row>
    <row r="108" spans="1:8" x14ac:dyDescent="0.3">
      <c r="A108">
        <v>2019</v>
      </c>
      <c r="B108" t="s">
        <v>219</v>
      </c>
      <c r="C108" t="s">
        <v>267</v>
      </c>
      <c r="D108" t="s">
        <v>268</v>
      </c>
      <c r="E108" t="s">
        <v>203</v>
      </c>
      <c r="F108" t="s">
        <v>198</v>
      </c>
      <c r="G108" t="s">
        <v>201</v>
      </c>
    </row>
    <row r="109" spans="1:8" x14ac:dyDescent="0.3">
      <c r="A109">
        <v>2019</v>
      </c>
      <c r="B109" t="s">
        <v>219</v>
      </c>
      <c r="C109" t="s">
        <v>267</v>
      </c>
      <c r="D109" t="s">
        <v>268</v>
      </c>
      <c r="E109" t="s">
        <v>204</v>
      </c>
      <c r="F109" t="s">
        <v>198</v>
      </c>
      <c r="G109" t="s">
        <v>201</v>
      </c>
    </row>
    <row r="110" spans="1:8" x14ac:dyDescent="0.3">
      <c r="A110">
        <v>2019</v>
      </c>
      <c r="B110" t="s">
        <v>219</v>
      </c>
      <c r="C110" t="s">
        <v>267</v>
      </c>
      <c r="D110" t="s">
        <v>268</v>
      </c>
      <c r="E110" t="s">
        <v>205</v>
      </c>
      <c r="F110" t="s">
        <v>198</v>
      </c>
      <c r="G110" t="s">
        <v>201</v>
      </c>
    </row>
    <row r="111" spans="1:8" x14ac:dyDescent="0.3">
      <c r="A111">
        <v>2019</v>
      </c>
      <c r="B111" t="s">
        <v>219</v>
      </c>
      <c r="C111" t="s">
        <v>267</v>
      </c>
      <c r="D111" t="s">
        <v>268</v>
      </c>
      <c r="E111" t="s">
        <v>206</v>
      </c>
      <c r="F111" t="s">
        <v>198</v>
      </c>
      <c r="G111" t="s">
        <v>201</v>
      </c>
    </row>
    <row r="112" spans="1:8" x14ac:dyDescent="0.3">
      <c r="A112">
        <v>2019</v>
      </c>
      <c r="B112" t="s">
        <v>46</v>
      </c>
      <c r="C112" t="s">
        <v>267</v>
      </c>
      <c r="D112" t="s">
        <v>268</v>
      </c>
      <c r="E112" t="s">
        <v>1</v>
      </c>
      <c r="F112" t="s">
        <v>198</v>
      </c>
      <c r="G112" t="s">
        <v>201</v>
      </c>
    </row>
    <row r="113" spans="1:8" x14ac:dyDescent="0.3">
      <c r="A113">
        <v>2019</v>
      </c>
      <c r="B113" t="s">
        <v>46</v>
      </c>
      <c r="C113" t="s">
        <v>267</v>
      </c>
      <c r="D113" t="s">
        <v>268</v>
      </c>
      <c r="E113" t="s">
        <v>203</v>
      </c>
      <c r="F113" t="s">
        <v>198</v>
      </c>
      <c r="G113" t="s">
        <v>201</v>
      </c>
    </row>
    <row r="114" spans="1:8" x14ac:dyDescent="0.3">
      <c r="A114">
        <v>2019</v>
      </c>
      <c r="B114" t="s">
        <v>46</v>
      </c>
      <c r="C114" t="s">
        <v>267</v>
      </c>
      <c r="D114" t="s">
        <v>268</v>
      </c>
      <c r="E114" t="s">
        <v>204</v>
      </c>
      <c r="F114" t="s">
        <v>198</v>
      </c>
      <c r="G114" t="s">
        <v>201</v>
      </c>
    </row>
    <row r="115" spans="1:8" x14ac:dyDescent="0.3">
      <c r="A115">
        <v>2019</v>
      </c>
      <c r="B115" t="s">
        <v>46</v>
      </c>
      <c r="C115" t="s">
        <v>267</v>
      </c>
      <c r="D115" t="s">
        <v>268</v>
      </c>
      <c r="E115" t="s">
        <v>205</v>
      </c>
      <c r="F115" t="s">
        <v>198</v>
      </c>
      <c r="G115" t="s">
        <v>201</v>
      </c>
    </row>
    <row r="116" spans="1:8" x14ac:dyDescent="0.3">
      <c r="A116">
        <v>2019</v>
      </c>
      <c r="B116" t="s">
        <v>46</v>
      </c>
      <c r="C116" t="s">
        <v>267</v>
      </c>
      <c r="D116" t="s">
        <v>268</v>
      </c>
      <c r="E116" t="s">
        <v>206</v>
      </c>
      <c r="F116" t="s">
        <v>198</v>
      </c>
      <c r="G116" t="s">
        <v>201</v>
      </c>
    </row>
    <row r="117" spans="1:8" x14ac:dyDescent="0.3">
      <c r="A117">
        <v>2019</v>
      </c>
      <c r="B117" t="s">
        <v>29</v>
      </c>
      <c r="C117" t="s">
        <v>267</v>
      </c>
      <c r="D117" t="s">
        <v>268</v>
      </c>
      <c r="E117" t="s">
        <v>1</v>
      </c>
      <c r="F117" t="s">
        <v>198</v>
      </c>
      <c r="G117" t="s">
        <v>201</v>
      </c>
      <c r="H117">
        <v>18</v>
      </c>
    </row>
    <row r="118" spans="1:8" x14ac:dyDescent="0.3">
      <c r="A118">
        <v>2019</v>
      </c>
      <c r="B118" t="s">
        <v>29</v>
      </c>
      <c r="C118" t="s">
        <v>267</v>
      </c>
      <c r="D118" t="s">
        <v>268</v>
      </c>
      <c r="E118" t="s">
        <v>203</v>
      </c>
      <c r="F118" t="s">
        <v>198</v>
      </c>
      <c r="G118" t="s">
        <v>201</v>
      </c>
      <c r="H118">
        <v>2</v>
      </c>
    </row>
    <row r="119" spans="1:8" x14ac:dyDescent="0.3">
      <c r="A119">
        <v>2019</v>
      </c>
      <c r="B119" t="s">
        <v>29</v>
      </c>
      <c r="C119" t="s">
        <v>267</v>
      </c>
      <c r="D119" t="s">
        <v>268</v>
      </c>
      <c r="E119" t="s">
        <v>204</v>
      </c>
      <c r="F119" t="s">
        <v>198</v>
      </c>
      <c r="G119" t="s">
        <v>201</v>
      </c>
      <c r="H119">
        <v>0</v>
      </c>
    </row>
    <row r="120" spans="1:8" x14ac:dyDescent="0.3">
      <c r="A120">
        <v>2019</v>
      </c>
      <c r="B120" t="s">
        <v>29</v>
      </c>
      <c r="C120" t="s">
        <v>267</v>
      </c>
      <c r="D120" t="s">
        <v>268</v>
      </c>
      <c r="E120" t="s">
        <v>205</v>
      </c>
      <c r="F120" t="s">
        <v>198</v>
      </c>
      <c r="G120" t="s">
        <v>201</v>
      </c>
      <c r="H120">
        <v>0</v>
      </c>
    </row>
    <row r="121" spans="1:8" x14ac:dyDescent="0.3">
      <c r="A121">
        <v>2019</v>
      </c>
      <c r="B121" t="s">
        <v>29</v>
      </c>
      <c r="C121" t="s">
        <v>267</v>
      </c>
      <c r="D121" t="s">
        <v>268</v>
      </c>
      <c r="E121" t="s">
        <v>206</v>
      </c>
      <c r="F121" t="s">
        <v>198</v>
      </c>
      <c r="G121" t="s">
        <v>201</v>
      </c>
      <c r="H121">
        <v>12</v>
      </c>
    </row>
    <row r="122" spans="1:8" x14ac:dyDescent="0.3">
      <c r="A122">
        <v>2019</v>
      </c>
      <c r="B122" t="s">
        <v>30</v>
      </c>
      <c r="C122" t="s">
        <v>267</v>
      </c>
      <c r="D122" t="s">
        <v>268</v>
      </c>
      <c r="E122" t="s">
        <v>1</v>
      </c>
      <c r="F122" t="s">
        <v>198</v>
      </c>
      <c r="G122" t="s">
        <v>201</v>
      </c>
      <c r="H122">
        <v>13</v>
      </c>
    </row>
    <row r="123" spans="1:8" x14ac:dyDescent="0.3">
      <c r="A123">
        <v>2019</v>
      </c>
      <c r="B123" t="s">
        <v>30</v>
      </c>
      <c r="C123" t="s">
        <v>267</v>
      </c>
      <c r="D123" t="s">
        <v>268</v>
      </c>
      <c r="E123" t="s">
        <v>203</v>
      </c>
      <c r="F123" t="s">
        <v>198</v>
      </c>
      <c r="G123" t="s">
        <v>201</v>
      </c>
      <c r="H123">
        <v>2</v>
      </c>
    </row>
    <row r="124" spans="1:8" x14ac:dyDescent="0.3">
      <c r="A124">
        <v>2019</v>
      </c>
      <c r="B124" t="s">
        <v>30</v>
      </c>
      <c r="C124" t="s">
        <v>267</v>
      </c>
      <c r="D124" t="s">
        <v>268</v>
      </c>
      <c r="E124" t="s">
        <v>204</v>
      </c>
      <c r="F124" t="s">
        <v>198</v>
      </c>
      <c r="G124" t="s">
        <v>201</v>
      </c>
      <c r="H124">
        <v>0</v>
      </c>
    </row>
    <row r="125" spans="1:8" x14ac:dyDescent="0.3">
      <c r="A125">
        <v>2019</v>
      </c>
      <c r="B125" t="s">
        <v>30</v>
      </c>
      <c r="C125" t="s">
        <v>267</v>
      </c>
      <c r="D125" t="s">
        <v>268</v>
      </c>
      <c r="E125" t="s">
        <v>205</v>
      </c>
      <c r="F125" t="s">
        <v>198</v>
      </c>
      <c r="G125" t="s">
        <v>201</v>
      </c>
      <c r="H125">
        <v>0</v>
      </c>
    </row>
    <row r="126" spans="1:8" x14ac:dyDescent="0.3">
      <c r="A126">
        <v>2019</v>
      </c>
      <c r="B126" t="s">
        <v>30</v>
      </c>
      <c r="C126" t="s">
        <v>267</v>
      </c>
      <c r="D126" t="s">
        <v>268</v>
      </c>
      <c r="E126" t="s">
        <v>206</v>
      </c>
      <c r="F126" t="s">
        <v>198</v>
      </c>
      <c r="G126" t="s">
        <v>201</v>
      </c>
      <c r="H126">
        <v>180</v>
      </c>
    </row>
    <row r="127" spans="1:8" x14ac:dyDescent="0.3">
      <c r="A127">
        <v>2019</v>
      </c>
      <c r="B127" t="s">
        <v>31</v>
      </c>
      <c r="C127" t="s">
        <v>267</v>
      </c>
      <c r="D127" t="s">
        <v>268</v>
      </c>
      <c r="E127" t="s">
        <v>1</v>
      </c>
      <c r="F127" t="s">
        <v>198</v>
      </c>
      <c r="G127" t="s">
        <v>201</v>
      </c>
      <c r="H127">
        <v>9</v>
      </c>
    </row>
    <row r="128" spans="1:8" x14ac:dyDescent="0.3">
      <c r="A128">
        <v>2019</v>
      </c>
      <c r="B128" t="s">
        <v>31</v>
      </c>
      <c r="C128" t="s">
        <v>267</v>
      </c>
      <c r="D128" t="s">
        <v>268</v>
      </c>
      <c r="E128" t="s">
        <v>203</v>
      </c>
      <c r="F128" t="s">
        <v>198</v>
      </c>
      <c r="G128" t="s">
        <v>201</v>
      </c>
      <c r="H128">
        <v>0</v>
      </c>
    </row>
    <row r="129" spans="1:8" x14ac:dyDescent="0.3">
      <c r="A129">
        <v>2019</v>
      </c>
      <c r="B129" t="s">
        <v>31</v>
      </c>
      <c r="C129" t="s">
        <v>267</v>
      </c>
      <c r="D129" t="s">
        <v>268</v>
      </c>
      <c r="E129" t="s">
        <v>204</v>
      </c>
      <c r="F129" t="s">
        <v>198</v>
      </c>
      <c r="G129" t="s">
        <v>201</v>
      </c>
      <c r="H129">
        <v>0</v>
      </c>
    </row>
    <row r="130" spans="1:8" x14ac:dyDescent="0.3">
      <c r="A130">
        <v>2019</v>
      </c>
      <c r="B130" t="s">
        <v>31</v>
      </c>
      <c r="C130" t="s">
        <v>267</v>
      </c>
      <c r="D130" t="s">
        <v>268</v>
      </c>
      <c r="E130" t="s">
        <v>205</v>
      </c>
      <c r="F130" t="s">
        <v>198</v>
      </c>
      <c r="G130" t="s">
        <v>201</v>
      </c>
      <c r="H130">
        <v>0</v>
      </c>
    </row>
    <row r="131" spans="1:8" x14ac:dyDescent="0.3">
      <c r="A131">
        <v>2019</v>
      </c>
      <c r="B131" t="s">
        <v>31</v>
      </c>
      <c r="C131" t="s">
        <v>267</v>
      </c>
      <c r="D131" t="s">
        <v>268</v>
      </c>
      <c r="E131" t="s">
        <v>206</v>
      </c>
      <c r="F131" t="s">
        <v>198</v>
      </c>
      <c r="G131" t="s">
        <v>201</v>
      </c>
      <c r="H131">
        <v>0</v>
      </c>
    </row>
    <row r="132" spans="1:8" x14ac:dyDescent="0.3">
      <c r="A132">
        <v>2019</v>
      </c>
      <c r="B132" t="s">
        <v>32</v>
      </c>
      <c r="C132" t="s">
        <v>267</v>
      </c>
      <c r="D132" t="s">
        <v>268</v>
      </c>
      <c r="E132" t="s">
        <v>1</v>
      </c>
      <c r="F132" t="s">
        <v>198</v>
      </c>
      <c r="G132" t="s">
        <v>201</v>
      </c>
      <c r="H132">
        <v>4</v>
      </c>
    </row>
    <row r="133" spans="1:8" x14ac:dyDescent="0.3">
      <c r="A133">
        <v>2019</v>
      </c>
      <c r="B133" t="s">
        <v>32</v>
      </c>
      <c r="C133" t="s">
        <v>267</v>
      </c>
      <c r="D133" t="s">
        <v>268</v>
      </c>
      <c r="E133" t="s">
        <v>203</v>
      </c>
      <c r="F133" t="s">
        <v>198</v>
      </c>
      <c r="G133" t="s">
        <v>201</v>
      </c>
      <c r="H133">
        <v>1</v>
      </c>
    </row>
    <row r="134" spans="1:8" x14ac:dyDescent="0.3">
      <c r="A134">
        <v>2019</v>
      </c>
      <c r="B134" t="s">
        <v>32</v>
      </c>
      <c r="C134" t="s">
        <v>267</v>
      </c>
      <c r="D134" t="s">
        <v>268</v>
      </c>
      <c r="E134" t="s">
        <v>204</v>
      </c>
      <c r="F134" t="s">
        <v>198</v>
      </c>
      <c r="G134" t="s">
        <v>201</v>
      </c>
    </row>
    <row r="135" spans="1:8" x14ac:dyDescent="0.3">
      <c r="A135">
        <v>2019</v>
      </c>
      <c r="B135" t="s">
        <v>32</v>
      </c>
      <c r="C135" t="s">
        <v>267</v>
      </c>
      <c r="D135" t="s">
        <v>268</v>
      </c>
      <c r="E135" t="s">
        <v>205</v>
      </c>
      <c r="F135" t="s">
        <v>198</v>
      </c>
      <c r="G135" t="s">
        <v>201</v>
      </c>
    </row>
    <row r="136" spans="1:8" x14ac:dyDescent="0.3">
      <c r="A136">
        <v>2019</v>
      </c>
      <c r="B136" t="s">
        <v>32</v>
      </c>
      <c r="C136" t="s">
        <v>267</v>
      </c>
      <c r="D136" t="s">
        <v>268</v>
      </c>
      <c r="E136" t="s">
        <v>206</v>
      </c>
      <c r="F136" t="s">
        <v>198</v>
      </c>
      <c r="G136" t="s">
        <v>201</v>
      </c>
    </row>
    <row r="137" spans="1:8" x14ac:dyDescent="0.3">
      <c r="A137">
        <v>2019</v>
      </c>
      <c r="B137" t="s">
        <v>49</v>
      </c>
      <c r="C137" t="s">
        <v>267</v>
      </c>
      <c r="D137" t="s">
        <v>268</v>
      </c>
      <c r="E137" t="s">
        <v>1</v>
      </c>
      <c r="F137" t="s">
        <v>198</v>
      </c>
      <c r="G137" t="s">
        <v>201</v>
      </c>
      <c r="H137">
        <v>19</v>
      </c>
    </row>
    <row r="138" spans="1:8" x14ac:dyDescent="0.3">
      <c r="A138">
        <v>2019</v>
      </c>
      <c r="B138" t="s">
        <v>49</v>
      </c>
      <c r="C138" t="s">
        <v>267</v>
      </c>
      <c r="D138" t="s">
        <v>268</v>
      </c>
      <c r="E138" t="s">
        <v>203</v>
      </c>
      <c r="F138" t="s">
        <v>198</v>
      </c>
      <c r="G138" t="s">
        <v>201</v>
      </c>
      <c r="H138">
        <v>4</v>
      </c>
    </row>
    <row r="139" spans="1:8" x14ac:dyDescent="0.3">
      <c r="A139">
        <v>2019</v>
      </c>
      <c r="B139" t="s">
        <v>49</v>
      </c>
      <c r="C139" t="s">
        <v>267</v>
      </c>
      <c r="D139" t="s">
        <v>268</v>
      </c>
      <c r="E139" t="s">
        <v>204</v>
      </c>
      <c r="F139" t="s">
        <v>198</v>
      </c>
      <c r="G139" t="s">
        <v>201</v>
      </c>
      <c r="H139">
        <v>0</v>
      </c>
    </row>
    <row r="140" spans="1:8" x14ac:dyDescent="0.3">
      <c r="A140">
        <v>2019</v>
      </c>
      <c r="B140" t="s">
        <v>49</v>
      </c>
      <c r="C140" t="s">
        <v>267</v>
      </c>
      <c r="D140" t="s">
        <v>268</v>
      </c>
      <c r="E140" t="s">
        <v>205</v>
      </c>
      <c r="F140" t="s">
        <v>198</v>
      </c>
      <c r="G140" t="s">
        <v>201</v>
      </c>
      <c r="H140">
        <v>0</v>
      </c>
    </row>
    <row r="141" spans="1:8" x14ac:dyDescent="0.3">
      <c r="A141">
        <v>2019</v>
      </c>
      <c r="B141" t="s">
        <v>49</v>
      </c>
      <c r="C141" t="s">
        <v>267</v>
      </c>
      <c r="D141" t="s">
        <v>268</v>
      </c>
      <c r="E141" t="s">
        <v>206</v>
      </c>
      <c r="F141" t="s">
        <v>198</v>
      </c>
      <c r="G141" t="s">
        <v>201</v>
      </c>
      <c r="H141">
        <v>47</v>
      </c>
    </row>
    <row r="142" spans="1:8" x14ac:dyDescent="0.3">
      <c r="A142">
        <v>2019</v>
      </c>
      <c r="B142" t="s">
        <v>33</v>
      </c>
      <c r="C142" t="s">
        <v>267</v>
      </c>
      <c r="D142" t="s">
        <v>268</v>
      </c>
      <c r="E142" t="s">
        <v>1</v>
      </c>
      <c r="F142" t="s">
        <v>198</v>
      </c>
      <c r="G142" t="s">
        <v>201</v>
      </c>
      <c r="H142">
        <v>7</v>
      </c>
    </row>
    <row r="143" spans="1:8" x14ac:dyDescent="0.3">
      <c r="A143">
        <v>2019</v>
      </c>
      <c r="B143" t="s">
        <v>33</v>
      </c>
      <c r="C143" t="s">
        <v>267</v>
      </c>
      <c r="D143" t="s">
        <v>268</v>
      </c>
      <c r="E143" t="s">
        <v>203</v>
      </c>
      <c r="F143" t="s">
        <v>198</v>
      </c>
      <c r="G143" t="s">
        <v>201</v>
      </c>
      <c r="H143">
        <v>1</v>
      </c>
    </row>
    <row r="144" spans="1:8" x14ac:dyDescent="0.3">
      <c r="A144">
        <v>2019</v>
      </c>
      <c r="B144" t="s">
        <v>33</v>
      </c>
      <c r="C144" t="s">
        <v>267</v>
      </c>
      <c r="D144" t="s">
        <v>268</v>
      </c>
      <c r="E144" t="s">
        <v>204</v>
      </c>
      <c r="F144" t="s">
        <v>198</v>
      </c>
      <c r="G144" t="s">
        <v>201</v>
      </c>
      <c r="H144">
        <v>0</v>
      </c>
    </row>
    <row r="145" spans="1:8" x14ac:dyDescent="0.3">
      <c r="A145">
        <v>2019</v>
      </c>
      <c r="B145" t="s">
        <v>33</v>
      </c>
      <c r="C145" t="s">
        <v>267</v>
      </c>
      <c r="D145" t="s">
        <v>268</v>
      </c>
      <c r="E145" t="s">
        <v>205</v>
      </c>
      <c r="F145" t="s">
        <v>198</v>
      </c>
      <c r="G145" t="s">
        <v>201</v>
      </c>
      <c r="H145">
        <v>0</v>
      </c>
    </row>
    <row r="146" spans="1:8" x14ac:dyDescent="0.3">
      <c r="A146">
        <v>2019</v>
      </c>
      <c r="B146" t="s">
        <v>33</v>
      </c>
      <c r="C146" t="s">
        <v>267</v>
      </c>
      <c r="D146" t="s">
        <v>268</v>
      </c>
      <c r="E146" t="s">
        <v>206</v>
      </c>
      <c r="F146" t="s">
        <v>198</v>
      </c>
      <c r="G146" t="s">
        <v>201</v>
      </c>
      <c r="H146">
        <v>23</v>
      </c>
    </row>
    <row r="147" spans="1:8" x14ac:dyDescent="0.3">
      <c r="A147">
        <v>2019</v>
      </c>
      <c r="B147" t="s">
        <v>34</v>
      </c>
      <c r="C147" t="s">
        <v>267</v>
      </c>
      <c r="D147" t="s">
        <v>268</v>
      </c>
      <c r="E147" t="s">
        <v>1</v>
      </c>
      <c r="F147" t="s">
        <v>198</v>
      </c>
      <c r="G147" t="s">
        <v>201</v>
      </c>
      <c r="H147">
        <v>7</v>
      </c>
    </row>
    <row r="148" spans="1:8" x14ac:dyDescent="0.3">
      <c r="A148">
        <v>2019</v>
      </c>
      <c r="B148" t="s">
        <v>34</v>
      </c>
      <c r="C148" t="s">
        <v>267</v>
      </c>
      <c r="D148" t="s">
        <v>268</v>
      </c>
      <c r="E148" t="s">
        <v>203</v>
      </c>
      <c r="F148" t="s">
        <v>198</v>
      </c>
      <c r="G148" t="s">
        <v>201</v>
      </c>
      <c r="H148">
        <v>0</v>
      </c>
    </row>
    <row r="149" spans="1:8" x14ac:dyDescent="0.3">
      <c r="A149">
        <v>2019</v>
      </c>
      <c r="B149" t="s">
        <v>34</v>
      </c>
      <c r="C149" t="s">
        <v>267</v>
      </c>
      <c r="D149" t="s">
        <v>268</v>
      </c>
      <c r="E149" t="s">
        <v>204</v>
      </c>
      <c r="F149" t="s">
        <v>198</v>
      </c>
      <c r="G149" t="s">
        <v>201</v>
      </c>
      <c r="H149">
        <v>1</v>
      </c>
    </row>
    <row r="150" spans="1:8" x14ac:dyDescent="0.3">
      <c r="A150">
        <v>2019</v>
      </c>
      <c r="B150" t="s">
        <v>34</v>
      </c>
      <c r="C150" t="s">
        <v>267</v>
      </c>
      <c r="D150" t="s">
        <v>268</v>
      </c>
      <c r="E150" t="s">
        <v>205</v>
      </c>
      <c r="F150" t="s">
        <v>198</v>
      </c>
      <c r="G150" t="s">
        <v>201</v>
      </c>
      <c r="H150">
        <v>0</v>
      </c>
    </row>
    <row r="151" spans="1:8" x14ac:dyDescent="0.3">
      <c r="A151">
        <v>2019</v>
      </c>
      <c r="B151" t="s">
        <v>34</v>
      </c>
      <c r="C151" t="s">
        <v>267</v>
      </c>
      <c r="D151" t="s">
        <v>268</v>
      </c>
      <c r="E151" t="s">
        <v>206</v>
      </c>
      <c r="F151" t="s">
        <v>198</v>
      </c>
      <c r="G151" t="s">
        <v>201</v>
      </c>
      <c r="H151">
        <v>10</v>
      </c>
    </row>
    <row r="152" spans="1:8" x14ac:dyDescent="0.3">
      <c r="A152">
        <v>2019</v>
      </c>
      <c r="B152" t="s">
        <v>35</v>
      </c>
      <c r="C152" t="s">
        <v>267</v>
      </c>
      <c r="D152" t="s">
        <v>268</v>
      </c>
      <c r="E152" t="s">
        <v>1</v>
      </c>
      <c r="F152" t="s">
        <v>198</v>
      </c>
      <c r="G152" t="s">
        <v>201</v>
      </c>
      <c r="H152">
        <v>13</v>
      </c>
    </row>
    <row r="153" spans="1:8" x14ac:dyDescent="0.3">
      <c r="A153">
        <v>2019</v>
      </c>
      <c r="B153" t="s">
        <v>35</v>
      </c>
      <c r="C153" t="s">
        <v>267</v>
      </c>
      <c r="D153" t="s">
        <v>268</v>
      </c>
      <c r="E153" t="s">
        <v>203</v>
      </c>
      <c r="F153" t="s">
        <v>198</v>
      </c>
      <c r="G153" t="s">
        <v>201</v>
      </c>
      <c r="H153">
        <v>3</v>
      </c>
    </row>
    <row r="154" spans="1:8" x14ac:dyDescent="0.3">
      <c r="A154">
        <v>2019</v>
      </c>
      <c r="B154" t="s">
        <v>35</v>
      </c>
      <c r="C154" t="s">
        <v>267</v>
      </c>
      <c r="D154" t="s">
        <v>268</v>
      </c>
      <c r="E154" t="s">
        <v>204</v>
      </c>
      <c r="F154" t="s">
        <v>198</v>
      </c>
      <c r="G154" t="s">
        <v>201</v>
      </c>
      <c r="H154">
        <v>0</v>
      </c>
    </row>
    <row r="155" spans="1:8" x14ac:dyDescent="0.3">
      <c r="A155">
        <v>2019</v>
      </c>
      <c r="B155" t="s">
        <v>35</v>
      </c>
      <c r="C155" t="s">
        <v>267</v>
      </c>
      <c r="D155" t="s">
        <v>268</v>
      </c>
      <c r="E155" t="s">
        <v>205</v>
      </c>
      <c r="F155" t="s">
        <v>198</v>
      </c>
      <c r="G155" t="s">
        <v>201</v>
      </c>
      <c r="H155">
        <v>0</v>
      </c>
    </row>
    <row r="156" spans="1:8" x14ac:dyDescent="0.3">
      <c r="A156">
        <v>2019</v>
      </c>
      <c r="B156" t="s">
        <v>35</v>
      </c>
      <c r="C156" t="s">
        <v>267</v>
      </c>
      <c r="D156" t="s">
        <v>268</v>
      </c>
      <c r="E156" t="s">
        <v>206</v>
      </c>
      <c r="F156" t="s">
        <v>198</v>
      </c>
      <c r="G156" t="s">
        <v>201</v>
      </c>
    </row>
    <row r="157" spans="1:8" x14ac:dyDescent="0.3">
      <c r="A157">
        <v>2019</v>
      </c>
      <c r="B157" t="s">
        <v>36</v>
      </c>
      <c r="C157" t="s">
        <v>267</v>
      </c>
      <c r="D157" t="s">
        <v>268</v>
      </c>
      <c r="E157" t="s">
        <v>1</v>
      </c>
      <c r="F157" t="s">
        <v>198</v>
      </c>
      <c r="G157" t="s">
        <v>201</v>
      </c>
      <c r="H157">
        <v>2</v>
      </c>
    </row>
    <row r="158" spans="1:8" x14ac:dyDescent="0.3">
      <c r="A158">
        <v>2019</v>
      </c>
      <c r="B158" t="s">
        <v>36</v>
      </c>
      <c r="C158" t="s">
        <v>267</v>
      </c>
      <c r="D158" t="s">
        <v>268</v>
      </c>
      <c r="E158" t="s">
        <v>203</v>
      </c>
      <c r="F158" t="s">
        <v>198</v>
      </c>
      <c r="G158" t="s">
        <v>201</v>
      </c>
      <c r="H158">
        <v>0</v>
      </c>
    </row>
    <row r="159" spans="1:8" x14ac:dyDescent="0.3">
      <c r="A159">
        <v>2019</v>
      </c>
      <c r="B159" t="s">
        <v>36</v>
      </c>
      <c r="C159" t="s">
        <v>267</v>
      </c>
      <c r="D159" t="s">
        <v>268</v>
      </c>
      <c r="E159" t="s">
        <v>204</v>
      </c>
      <c r="F159" t="s">
        <v>198</v>
      </c>
      <c r="G159" t="s">
        <v>201</v>
      </c>
      <c r="H159">
        <v>0</v>
      </c>
    </row>
    <row r="160" spans="1:8" x14ac:dyDescent="0.3">
      <c r="A160">
        <v>2019</v>
      </c>
      <c r="B160" t="s">
        <v>36</v>
      </c>
      <c r="C160" t="s">
        <v>267</v>
      </c>
      <c r="D160" t="s">
        <v>268</v>
      </c>
      <c r="E160" t="s">
        <v>205</v>
      </c>
      <c r="F160" t="s">
        <v>198</v>
      </c>
      <c r="G160" t="s">
        <v>201</v>
      </c>
      <c r="H160">
        <v>0</v>
      </c>
    </row>
    <row r="161" spans="1:8" x14ac:dyDescent="0.3">
      <c r="A161">
        <v>2019</v>
      </c>
      <c r="B161" t="s">
        <v>36</v>
      </c>
      <c r="C161" t="s">
        <v>267</v>
      </c>
      <c r="D161" t="s">
        <v>268</v>
      </c>
      <c r="E161" t="s">
        <v>206</v>
      </c>
      <c r="F161" t="s">
        <v>198</v>
      </c>
      <c r="G161" t="s">
        <v>201</v>
      </c>
      <c r="H161">
        <v>0</v>
      </c>
    </row>
    <row r="162" spans="1:8" x14ac:dyDescent="0.3">
      <c r="A162">
        <v>2019</v>
      </c>
      <c r="B162" t="s">
        <v>37</v>
      </c>
      <c r="C162" t="s">
        <v>267</v>
      </c>
      <c r="D162" t="s">
        <v>268</v>
      </c>
      <c r="E162" t="s">
        <v>1</v>
      </c>
      <c r="F162" t="s">
        <v>198</v>
      </c>
      <c r="G162" t="s">
        <v>201</v>
      </c>
      <c r="H162">
        <v>3</v>
      </c>
    </row>
    <row r="163" spans="1:8" x14ac:dyDescent="0.3">
      <c r="A163">
        <v>2019</v>
      </c>
      <c r="B163" t="s">
        <v>37</v>
      </c>
      <c r="C163" t="s">
        <v>267</v>
      </c>
      <c r="D163" t="s">
        <v>268</v>
      </c>
      <c r="E163" t="s">
        <v>203</v>
      </c>
      <c r="F163" t="s">
        <v>198</v>
      </c>
      <c r="G163" t="s">
        <v>201</v>
      </c>
      <c r="H163">
        <v>0</v>
      </c>
    </row>
    <row r="164" spans="1:8" x14ac:dyDescent="0.3">
      <c r="A164">
        <v>2019</v>
      </c>
      <c r="B164" t="s">
        <v>37</v>
      </c>
      <c r="C164" t="s">
        <v>267</v>
      </c>
      <c r="D164" t="s">
        <v>268</v>
      </c>
      <c r="E164" t="s">
        <v>204</v>
      </c>
      <c r="F164" t="s">
        <v>198</v>
      </c>
      <c r="G164" t="s">
        <v>201</v>
      </c>
      <c r="H164">
        <v>0</v>
      </c>
    </row>
    <row r="165" spans="1:8" x14ac:dyDescent="0.3">
      <c r="A165">
        <v>2019</v>
      </c>
      <c r="B165" t="s">
        <v>37</v>
      </c>
      <c r="C165" t="s">
        <v>267</v>
      </c>
      <c r="D165" t="s">
        <v>268</v>
      </c>
      <c r="E165" t="s">
        <v>205</v>
      </c>
      <c r="F165" t="s">
        <v>198</v>
      </c>
      <c r="G165" t="s">
        <v>201</v>
      </c>
      <c r="H165">
        <v>0</v>
      </c>
    </row>
    <row r="166" spans="1:8" x14ac:dyDescent="0.3">
      <c r="A166">
        <v>2019</v>
      </c>
      <c r="B166" t="s">
        <v>37</v>
      </c>
      <c r="C166" t="s">
        <v>267</v>
      </c>
      <c r="D166" t="s">
        <v>268</v>
      </c>
      <c r="E166" t="s">
        <v>206</v>
      </c>
      <c r="F166" t="s">
        <v>198</v>
      </c>
      <c r="G166" t="s">
        <v>201</v>
      </c>
      <c r="H166">
        <v>0</v>
      </c>
    </row>
    <row r="167" spans="1:8" x14ac:dyDescent="0.3">
      <c r="A167">
        <v>2019</v>
      </c>
      <c r="B167" t="s">
        <v>38</v>
      </c>
      <c r="C167" t="s">
        <v>267</v>
      </c>
      <c r="D167" t="s">
        <v>268</v>
      </c>
      <c r="E167" t="s">
        <v>1</v>
      </c>
      <c r="F167" t="s">
        <v>198</v>
      </c>
      <c r="G167" t="s">
        <v>201</v>
      </c>
      <c r="H167">
        <v>4</v>
      </c>
    </row>
    <row r="168" spans="1:8" x14ac:dyDescent="0.3">
      <c r="A168">
        <v>2019</v>
      </c>
      <c r="B168" t="s">
        <v>38</v>
      </c>
      <c r="C168" t="s">
        <v>267</v>
      </c>
      <c r="D168" t="s">
        <v>268</v>
      </c>
      <c r="E168" t="s">
        <v>203</v>
      </c>
      <c r="F168" t="s">
        <v>198</v>
      </c>
      <c r="G168" t="s">
        <v>201</v>
      </c>
      <c r="H168">
        <v>0</v>
      </c>
    </row>
    <row r="169" spans="1:8" x14ac:dyDescent="0.3">
      <c r="A169">
        <v>2019</v>
      </c>
      <c r="B169" t="s">
        <v>38</v>
      </c>
      <c r="C169" t="s">
        <v>267</v>
      </c>
      <c r="D169" t="s">
        <v>268</v>
      </c>
      <c r="E169" t="s">
        <v>204</v>
      </c>
      <c r="F169" t="s">
        <v>198</v>
      </c>
      <c r="G169" t="s">
        <v>201</v>
      </c>
      <c r="H169">
        <v>0</v>
      </c>
    </row>
    <row r="170" spans="1:8" x14ac:dyDescent="0.3">
      <c r="A170">
        <v>2019</v>
      </c>
      <c r="B170" t="s">
        <v>38</v>
      </c>
      <c r="C170" t="s">
        <v>267</v>
      </c>
      <c r="D170" t="s">
        <v>268</v>
      </c>
      <c r="E170" t="s">
        <v>205</v>
      </c>
      <c r="F170" t="s">
        <v>198</v>
      </c>
      <c r="G170" t="s">
        <v>201</v>
      </c>
      <c r="H170">
        <v>0</v>
      </c>
    </row>
    <row r="171" spans="1:8" x14ac:dyDescent="0.3">
      <c r="A171">
        <v>2019</v>
      </c>
      <c r="B171" t="s">
        <v>38</v>
      </c>
      <c r="C171" t="s">
        <v>267</v>
      </c>
      <c r="D171" t="s">
        <v>268</v>
      </c>
      <c r="E171" t="s">
        <v>206</v>
      </c>
      <c r="F171" t="s">
        <v>198</v>
      </c>
      <c r="G171" t="s">
        <v>201</v>
      </c>
      <c r="H171">
        <v>4</v>
      </c>
    </row>
    <row r="172" spans="1:8" x14ac:dyDescent="0.3">
      <c r="A172">
        <v>2019</v>
      </c>
      <c r="B172" t="s">
        <v>39</v>
      </c>
      <c r="C172" t="s">
        <v>267</v>
      </c>
      <c r="D172" t="s">
        <v>268</v>
      </c>
      <c r="E172" t="s">
        <v>1</v>
      </c>
      <c r="F172" t="s">
        <v>198</v>
      </c>
      <c r="G172" t="s">
        <v>201</v>
      </c>
      <c r="H172">
        <v>3</v>
      </c>
    </row>
    <row r="173" spans="1:8" x14ac:dyDescent="0.3">
      <c r="A173">
        <v>2019</v>
      </c>
      <c r="B173" t="s">
        <v>39</v>
      </c>
      <c r="C173" t="s">
        <v>267</v>
      </c>
      <c r="D173" t="s">
        <v>268</v>
      </c>
      <c r="E173" t="s">
        <v>203</v>
      </c>
      <c r="F173" t="s">
        <v>198</v>
      </c>
      <c r="G173" t="s">
        <v>201</v>
      </c>
      <c r="H173">
        <v>0</v>
      </c>
    </row>
    <row r="174" spans="1:8" x14ac:dyDescent="0.3">
      <c r="A174">
        <v>2019</v>
      </c>
      <c r="B174" t="s">
        <v>39</v>
      </c>
      <c r="C174" t="s">
        <v>267</v>
      </c>
      <c r="D174" t="s">
        <v>268</v>
      </c>
      <c r="E174" t="s">
        <v>204</v>
      </c>
      <c r="F174" t="s">
        <v>198</v>
      </c>
      <c r="G174" t="s">
        <v>201</v>
      </c>
      <c r="H174">
        <v>0</v>
      </c>
    </row>
    <row r="175" spans="1:8" x14ac:dyDescent="0.3">
      <c r="A175">
        <v>2019</v>
      </c>
      <c r="B175" t="s">
        <v>39</v>
      </c>
      <c r="C175" t="s">
        <v>267</v>
      </c>
      <c r="D175" t="s">
        <v>268</v>
      </c>
      <c r="E175" t="s">
        <v>205</v>
      </c>
      <c r="F175" t="s">
        <v>198</v>
      </c>
      <c r="G175" t="s">
        <v>201</v>
      </c>
      <c r="H175">
        <v>0</v>
      </c>
    </row>
    <row r="176" spans="1:8" x14ac:dyDescent="0.3">
      <c r="A176">
        <v>2019</v>
      </c>
      <c r="B176" t="s">
        <v>39</v>
      </c>
      <c r="C176" t="s">
        <v>267</v>
      </c>
      <c r="D176" t="s">
        <v>268</v>
      </c>
      <c r="E176" t="s">
        <v>206</v>
      </c>
      <c r="F176" t="s">
        <v>198</v>
      </c>
      <c r="G176" t="s">
        <v>201</v>
      </c>
      <c r="H176">
        <v>0</v>
      </c>
    </row>
    <row r="177" spans="1:8" x14ac:dyDescent="0.3">
      <c r="A177">
        <v>2019</v>
      </c>
      <c r="B177" t="s">
        <v>50</v>
      </c>
      <c r="C177" t="s">
        <v>267</v>
      </c>
      <c r="D177" t="s">
        <v>268</v>
      </c>
      <c r="E177" t="s">
        <v>1</v>
      </c>
      <c r="F177" t="s">
        <v>198</v>
      </c>
      <c r="G177" t="s">
        <v>201</v>
      </c>
      <c r="H177">
        <v>46</v>
      </c>
    </row>
    <row r="178" spans="1:8" x14ac:dyDescent="0.3">
      <c r="A178">
        <v>2019</v>
      </c>
      <c r="B178" t="s">
        <v>50</v>
      </c>
      <c r="C178" t="s">
        <v>267</v>
      </c>
      <c r="D178" t="s">
        <v>268</v>
      </c>
      <c r="E178" t="s">
        <v>203</v>
      </c>
      <c r="F178" t="s">
        <v>198</v>
      </c>
      <c r="G178" t="s">
        <v>201</v>
      </c>
      <c r="H178">
        <v>5</v>
      </c>
    </row>
    <row r="179" spans="1:8" x14ac:dyDescent="0.3">
      <c r="A179">
        <v>2019</v>
      </c>
      <c r="B179" t="s">
        <v>50</v>
      </c>
      <c r="C179" t="s">
        <v>267</v>
      </c>
      <c r="D179" t="s">
        <v>268</v>
      </c>
      <c r="E179" t="s">
        <v>204</v>
      </c>
      <c r="F179" t="s">
        <v>198</v>
      </c>
      <c r="G179" t="s">
        <v>201</v>
      </c>
      <c r="H179">
        <v>0</v>
      </c>
    </row>
    <row r="180" spans="1:8" x14ac:dyDescent="0.3">
      <c r="A180">
        <v>2019</v>
      </c>
      <c r="B180" t="s">
        <v>50</v>
      </c>
      <c r="C180" t="s">
        <v>267</v>
      </c>
      <c r="D180" t="s">
        <v>268</v>
      </c>
      <c r="E180" t="s">
        <v>205</v>
      </c>
      <c r="F180" t="s">
        <v>198</v>
      </c>
      <c r="G180" t="s">
        <v>201</v>
      </c>
      <c r="H180">
        <v>0</v>
      </c>
    </row>
    <row r="181" spans="1:8" x14ac:dyDescent="0.3">
      <c r="A181">
        <v>2019</v>
      </c>
      <c r="B181" t="s">
        <v>50</v>
      </c>
      <c r="C181" t="s">
        <v>267</v>
      </c>
      <c r="D181" t="s">
        <v>268</v>
      </c>
      <c r="E181" t="s">
        <v>206</v>
      </c>
      <c r="F181" t="s">
        <v>198</v>
      </c>
      <c r="G181" t="s">
        <v>201</v>
      </c>
      <c r="H181">
        <v>82</v>
      </c>
    </row>
    <row r="182" spans="1:8" x14ac:dyDescent="0.3">
      <c r="A182">
        <v>2019</v>
      </c>
      <c r="B182" t="s">
        <v>40</v>
      </c>
      <c r="C182" t="s">
        <v>267</v>
      </c>
      <c r="D182" t="s">
        <v>268</v>
      </c>
      <c r="E182" t="s">
        <v>1</v>
      </c>
      <c r="F182" t="s">
        <v>198</v>
      </c>
      <c r="G182" t="s">
        <v>201</v>
      </c>
      <c r="H182">
        <v>13</v>
      </c>
    </row>
    <row r="183" spans="1:8" x14ac:dyDescent="0.3">
      <c r="A183">
        <v>2019</v>
      </c>
      <c r="B183" t="s">
        <v>40</v>
      </c>
      <c r="C183" t="s">
        <v>267</v>
      </c>
      <c r="D183" t="s">
        <v>268</v>
      </c>
      <c r="E183" t="s">
        <v>203</v>
      </c>
      <c r="F183" t="s">
        <v>198</v>
      </c>
      <c r="G183" t="s">
        <v>201</v>
      </c>
      <c r="H183">
        <v>1</v>
      </c>
    </row>
    <row r="184" spans="1:8" x14ac:dyDescent="0.3">
      <c r="A184">
        <v>2019</v>
      </c>
      <c r="B184" t="s">
        <v>40</v>
      </c>
      <c r="C184" t="s">
        <v>267</v>
      </c>
      <c r="D184" t="s">
        <v>268</v>
      </c>
      <c r="E184" t="s">
        <v>204</v>
      </c>
      <c r="F184" t="s">
        <v>198</v>
      </c>
      <c r="G184" t="s">
        <v>201</v>
      </c>
      <c r="H184">
        <v>0</v>
      </c>
    </row>
    <row r="185" spans="1:8" x14ac:dyDescent="0.3">
      <c r="A185">
        <v>2019</v>
      </c>
      <c r="B185" t="s">
        <v>40</v>
      </c>
      <c r="C185" t="s">
        <v>267</v>
      </c>
      <c r="D185" t="s">
        <v>268</v>
      </c>
      <c r="E185" t="s">
        <v>205</v>
      </c>
      <c r="F185" t="s">
        <v>198</v>
      </c>
      <c r="G185" t="s">
        <v>201</v>
      </c>
      <c r="H185">
        <v>0</v>
      </c>
    </row>
    <row r="186" spans="1:8" x14ac:dyDescent="0.3">
      <c r="A186">
        <v>2019</v>
      </c>
      <c r="B186" t="s">
        <v>40</v>
      </c>
      <c r="C186" t="s">
        <v>267</v>
      </c>
      <c r="D186" t="s">
        <v>268</v>
      </c>
      <c r="E186" t="s">
        <v>206</v>
      </c>
      <c r="F186" t="s">
        <v>198</v>
      </c>
      <c r="G186" t="s">
        <v>201</v>
      </c>
      <c r="H186">
        <v>13</v>
      </c>
    </row>
    <row r="187" spans="1:8" x14ac:dyDescent="0.3">
      <c r="A187">
        <v>2019</v>
      </c>
      <c r="B187" t="s">
        <v>41</v>
      </c>
      <c r="C187" t="s">
        <v>267</v>
      </c>
      <c r="D187" t="s">
        <v>268</v>
      </c>
      <c r="E187" t="s">
        <v>1</v>
      </c>
      <c r="F187" t="s">
        <v>198</v>
      </c>
      <c r="G187" t="s">
        <v>201</v>
      </c>
      <c r="H187">
        <v>4</v>
      </c>
    </row>
    <row r="188" spans="1:8" x14ac:dyDescent="0.3">
      <c r="A188">
        <v>2019</v>
      </c>
      <c r="B188" t="s">
        <v>41</v>
      </c>
      <c r="C188" t="s">
        <v>267</v>
      </c>
      <c r="D188" t="s">
        <v>268</v>
      </c>
      <c r="E188" t="s">
        <v>203</v>
      </c>
      <c r="F188" t="s">
        <v>198</v>
      </c>
      <c r="G188" t="s">
        <v>201</v>
      </c>
      <c r="H188">
        <v>0</v>
      </c>
    </row>
    <row r="189" spans="1:8" x14ac:dyDescent="0.3">
      <c r="A189">
        <v>2019</v>
      </c>
      <c r="B189" t="s">
        <v>41</v>
      </c>
      <c r="C189" t="s">
        <v>267</v>
      </c>
      <c r="D189" t="s">
        <v>268</v>
      </c>
      <c r="E189" t="s">
        <v>204</v>
      </c>
      <c r="F189" t="s">
        <v>198</v>
      </c>
      <c r="G189" t="s">
        <v>201</v>
      </c>
      <c r="H189">
        <v>0</v>
      </c>
    </row>
    <row r="190" spans="1:8" x14ac:dyDescent="0.3">
      <c r="A190">
        <v>2019</v>
      </c>
      <c r="B190" t="s">
        <v>41</v>
      </c>
      <c r="C190" t="s">
        <v>267</v>
      </c>
      <c r="D190" t="s">
        <v>268</v>
      </c>
      <c r="E190" t="s">
        <v>205</v>
      </c>
      <c r="F190" t="s">
        <v>198</v>
      </c>
      <c r="G190" t="s">
        <v>201</v>
      </c>
      <c r="H190">
        <v>0</v>
      </c>
    </row>
    <row r="191" spans="1:8" x14ac:dyDescent="0.3">
      <c r="A191">
        <v>2019</v>
      </c>
      <c r="B191" t="s">
        <v>41</v>
      </c>
      <c r="C191" t="s">
        <v>267</v>
      </c>
      <c r="D191" t="s">
        <v>268</v>
      </c>
      <c r="E191" t="s">
        <v>206</v>
      </c>
      <c r="F191" t="s">
        <v>198</v>
      </c>
      <c r="G191" t="s">
        <v>201</v>
      </c>
      <c r="H191">
        <v>6</v>
      </c>
    </row>
    <row r="192" spans="1:8" x14ac:dyDescent="0.3">
      <c r="A192">
        <v>2019</v>
      </c>
      <c r="B192" t="s">
        <v>42</v>
      </c>
      <c r="C192" t="s">
        <v>267</v>
      </c>
      <c r="D192" t="s">
        <v>268</v>
      </c>
      <c r="E192" t="s">
        <v>1</v>
      </c>
      <c r="F192" t="s">
        <v>198</v>
      </c>
      <c r="G192" t="s">
        <v>201</v>
      </c>
      <c r="H192">
        <v>11</v>
      </c>
    </row>
    <row r="193" spans="1:8" x14ac:dyDescent="0.3">
      <c r="A193">
        <v>2019</v>
      </c>
      <c r="B193" t="s">
        <v>42</v>
      </c>
      <c r="C193" t="s">
        <v>267</v>
      </c>
      <c r="D193" t="s">
        <v>268</v>
      </c>
      <c r="E193" t="s">
        <v>203</v>
      </c>
      <c r="F193" t="s">
        <v>198</v>
      </c>
      <c r="G193" t="s">
        <v>201</v>
      </c>
      <c r="H193">
        <v>3</v>
      </c>
    </row>
    <row r="194" spans="1:8" x14ac:dyDescent="0.3">
      <c r="A194">
        <v>2019</v>
      </c>
      <c r="B194" t="s">
        <v>42</v>
      </c>
      <c r="C194" t="s">
        <v>267</v>
      </c>
      <c r="D194" t="s">
        <v>268</v>
      </c>
      <c r="E194" t="s">
        <v>204</v>
      </c>
      <c r="F194" t="s">
        <v>198</v>
      </c>
      <c r="G194" t="s">
        <v>201</v>
      </c>
      <c r="H194">
        <v>0</v>
      </c>
    </row>
    <row r="195" spans="1:8" x14ac:dyDescent="0.3">
      <c r="A195">
        <v>2019</v>
      </c>
      <c r="B195" t="s">
        <v>42</v>
      </c>
      <c r="C195" t="s">
        <v>267</v>
      </c>
      <c r="D195" t="s">
        <v>268</v>
      </c>
      <c r="E195" t="s">
        <v>205</v>
      </c>
      <c r="F195" t="s">
        <v>198</v>
      </c>
      <c r="G195" t="s">
        <v>201</v>
      </c>
      <c r="H195">
        <v>0</v>
      </c>
    </row>
    <row r="196" spans="1:8" x14ac:dyDescent="0.3">
      <c r="A196">
        <v>2019</v>
      </c>
      <c r="B196" t="s">
        <v>42</v>
      </c>
      <c r="C196" t="s">
        <v>267</v>
      </c>
      <c r="D196" t="s">
        <v>268</v>
      </c>
      <c r="E196" t="s">
        <v>206</v>
      </c>
      <c r="F196" t="s">
        <v>198</v>
      </c>
      <c r="G196" t="s">
        <v>201</v>
      </c>
      <c r="H196">
        <v>184</v>
      </c>
    </row>
    <row r="197" spans="1:8" x14ac:dyDescent="0.3">
      <c r="A197">
        <v>2019</v>
      </c>
      <c r="B197" t="s">
        <v>215</v>
      </c>
      <c r="C197" t="s">
        <v>267</v>
      </c>
      <c r="D197" t="s">
        <v>268</v>
      </c>
      <c r="E197" t="s">
        <v>1</v>
      </c>
      <c r="F197" t="s">
        <v>198</v>
      </c>
      <c r="G197" t="s">
        <v>201</v>
      </c>
      <c r="H197">
        <v>11</v>
      </c>
    </row>
    <row r="198" spans="1:8" x14ac:dyDescent="0.3">
      <c r="A198">
        <v>2019</v>
      </c>
      <c r="B198" t="s">
        <v>215</v>
      </c>
      <c r="C198" t="s">
        <v>267</v>
      </c>
      <c r="D198" t="s">
        <v>268</v>
      </c>
      <c r="E198" t="s">
        <v>203</v>
      </c>
      <c r="F198" t="s">
        <v>198</v>
      </c>
      <c r="G198" t="s">
        <v>201</v>
      </c>
      <c r="H198">
        <v>3</v>
      </c>
    </row>
    <row r="199" spans="1:8" x14ac:dyDescent="0.3">
      <c r="A199">
        <v>2019</v>
      </c>
      <c r="B199" t="s">
        <v>215</v>
      </c>
      <c r="C199" t="s">
        <v>267</v>
      </c>
      <c r="D199" t="s">
        <v>268</v>
      </c>
      <c r="E199" t="s">
        <v>204</v>
      </c>
      <c r="F199" t="s">
        <v>198</v>
      </c>
      <c r="G199" t="s">
        <v>201</v>
      </c>
      <c r="H199">
        <v>0</v>
      </c>
    </row>
    <row r="200" spans="1:8" x14ac:dyDescent="0.3">
      <c r="A200">
        <v>2019</v>
      </c>
      <c r="B200" t="s">
        <v>215</v>
      </c>
      <c r="C200" t="s">
        <v>267</v>
      </c>
      <c r="D200" t="s">
        <v>268</v>
      </c>
      <c r="E200" t="s">
        <v>205</v>
      </c>
      <c r="F200" t="s">
        <v>198</v>
      </c>
      <c r="G200" t="s">
        <v>201</v>
      </c>
      <c r="H200">
        <v>0</v>
      </c>
    </row>
    <row r="201" spans="1:8" x14ac:dyDescent="0.3">
      <c r="A201">
        <v>2019</v>
      </c>
      <c r="B201" t="s">
        <v>215</v>
      </c>
      <c r="C201" t="s">
        <v>267</v>
      </c>
      <c r="D201" t="s">
        <v>268</v>
      </c>
      <c r="E201" t="s">
        <v>206</v>
      </c>
      <c r="F201" t="s">
        <v>198</v>
      </c>
      <c r="G201" t="s">
        <v>201</v>
      </c>
      <c r="H201">
        <v>58</v>
      </c>
    </row>
    <row r="202" spans="1:8" x14ac:dyDescent="0.3">
      <c r="A202">
        <v>2019</v>
      </c>
      <c r="B202" t="s">
        <v>43</v>
      </c>
      <c r="C202" t="s">
        <v>267</v>
      </c>
      <c r="D202" t="s">
        <v>268</v>
      </c>
      <c r="E202" t="s">
        <v>1</v>
      </c>
      <c r="F202" t="s">
        <v>198</v>
      </c>
      <c r="G202" t="s">
        <v>201</v>
      </c>
      <c r="H202">
        <v>6</v>
      </c>
    </row>
    <row r="203" spans="1:8" x14ac:dyDescent="0.3">
      <c r="A203">
        <v>2019</v>
      </c>
      <c r="B203" t="s">
        <v>43</v>
      </c>
      <c r="C203" t="s">
        <v>267</v>
      </c>
      <c r="D203" t="s">
        <v>268</v>
      </c>
      <c r="E203" t="s">
        <v>203</v>
      </c>
      <c r="F203" t="s">
        <v>198</v>
      </c>
      <c r="G203" t="s">
        <v>201</v>
      </c>
      <c r="H203">
        <v>1</v>
      </c>
    </row>
    <row r="204" spans="1:8" x14ac:dyDescent="0.3">
      <c r="A204">
        <v>2019</v>
      </c>
      <c r="B204" t="s">
        <v>43</v>
      </c>
      <c r="C204" t="s">
        <v>267</v>
      </c>
      <c r="D204" t="s">
        <v>268</v>
      </c>
      <c r="E204" t="s">
        <v>204</v>
      </c>
      <c r="F204" t="s">
        <v>198</v>
      </c>
      <c r="G204" t="s">
        <v>201</v>
      </c>
      <c r="H204">
        <v>0</v>
      </c>
    </row>
    <row r="205" spans="1:8" x14ac:dyDescent="0.3">
      <c r="A205">
        <v>2019</v>
      </c>
      <c r="B205" t="s">
        <v>43</v>
      </c>
      <c r="C205" t="s">
        <v>267</v>
      </c>
      <c r="D205" t="s">
        <v>268</v>
      </c>
      <c r="E205" t="s">
        <v>205</v>
      </c>
      <c r="F205" t="s">
        <v>198</v>
      </c>
      <c r="G205" t="s">
        <v>201</v>
      </c>
      <c r="H205">
        <v>0</v>
      </c>
    </row>
    <row r="206" spans="1:8" x14ac:dyDescent="0.3">
      <c r="A206">
        <v>2019</v>
      </c>
      <c r="B206" t="s">
        <v>43</v>
      </c>
      <c r="C206" t="s">
        <v>267</v>
      </c>
      <c r="D206" t="s">
        <v>268</v>
      </c>
      <c r="E206" t="s">
        <v>206</v>
      </c>
      <c r="F206" t="s">
        <v>198</v>
      </c>
      <c r="G206" t="s">
        <v>201</v>
      </c>
      <c r="H206">
        <v>13</v>
      </c>
    </row>
    <row r="207" spans="1:8" x14ac:dyDescent="0.3">
      <c r="A207">
        <v>2019</v>
      </c>
      <c r="B207" t="s">
        <v>52</v>
      </c>
      <c r="C207" t="s">
        <v>267</v>
      </c>
      <c r="D207" t="s">
        <v>268</v>
      </c>
      <c r="E207" t="s">
        <v>1</v>
      </c>
      <c r="F207" t="s">
        <v>198</v>
      </c>
      <c r="G207" t="s">
        <v>201</v>
      </c>
      <c r="H207">
        <v>34</v>
      </c>
    </row>
    <row r="208" spans="1:8" x14ac:dyDescent="0.3">
      <c r="A208">
        <v>2019</v>
      </c>
      <c r="B208" t="s">
        <v>52</v>
      </c>
      <c r="C208" t="s">
        <v>267</v>
      </c>
      <c r="D208" t="s">
        <v>268</v>
      </c>
      <c r="E208" t="s">
        <v>203</v>
      </c>
      <c r="F208" t="s">
        <v>198</v>
      </c>
      <c r="G208" t="s">
        <v>201</v>
      </c>
      <c r="H208">
        <v>4</v>
      </c>
    </row>
    <row r="209" spans="1:8" x14ac:dyDescent="0.3">
      <c r="A209">
        <v>2019</v>
      </c>
      <c r="B209" t="s">
        <v>52</v>
      </c>
      <c r="C209" t="s">
        <v>267</v>
      </c>
      <c r="D209" t="s">
        <v>268</v>
      </c>
      <c r="E209" t="s">
        <v>204</v>
      </c>
      <c r="F209" t="s">
        <v>198</v>
      </c>
      <c r="G209" t="s">
        <v>201</v>
      </c>
      <c r="H209">
        <v>1</v>
      </c>
    </row>
    <row r="210" spans="1:8" x14ac:dyDescent="0.3">
      <c r="A210">
        <v>2019</v>
      </c>
      <c r="B210" t="s">
        <v>52</v>
      </c>
      <c r="C210" t="s">
        <v>267</v>
      </c>
      <c r="D210" t="s">
        <v>268</v>
      </c>
      <c r="E210" t="s">
        <v>205</v>
      </c>
      <c r="F210" t="s">
        <v>198</v>
      </c>
      <c r="G210" t="s">
        <v>201</v>
      </c>
      <c r="H210">
        <v>0</v>
      </c>
    </row>
    <row r="211" spans="1:8" x14ac:dyDescent="0.3">
      <c r="A211">
        <v>2019</v>
      </c>
      <c r="B211" t="s">
        <v>52</v>
      </c>
      <c r="C211" t="s">
        <v>267</v>
      </c>
      <c r="D211" t="s">
        <v>268</v>
      </c>
      <c r="E211" t="s">
        <v>206</v>
      </c>
      <c r="F211" t="s">
        <v>198</v>
      </c>
      <c r="G211" t="s">
        <v>201</v>
      </c>
      <c r="H211">
        <v>83</v>
      </c>
    </row>
    <row r="212" spans="1:8" x14ac:dyDescent="0.3">
      <c r="A212">
        <v>2019</v>
      </c>
      <c r="B212" t="s">
        <v>44</v>
      </c>
      <c r="C212" t="s">
        <v>267</v>
      </c>
      <c r="D212" t="s">
        <v>268</v>
      </c>
      <c r="E212" t="s">
        <v>1</v>
      </c>
      <c r="F212" t="s">
        <v>198</v>
      </c>
      <c r="G212" t="s">
        <v>201</v>
      </c>
      <c r="H212">
        <v>10</v>
      </c>
    </row>
    <row r="213" spans="1:8" x14ac:dyDescent="0.3">
      <c r="A213">
        <v>2019</v>
      </c>
      <c r="B213" t="s">
        <v>44</v>
      </c>
      <c r="C213" t="s">
        <v>267</v>
      </c>
      <c r="D213" t="s">
        <v>268</v>
      </c>
      <c r="E213" t="s">
        <v>203</v>
      </c>
      <c r="F213" t="s">
        <v>198</v>
      </c>
      <c r="G213" t="s">
        <v>201</v>
      </c>
      <c r="H213">
        <v>1</v>
      </c>
    </row>
    <row r="214" spans="1:8" x14ac:dyDescent="0.3">
      <c r="A214">
        <v>2019</v>
      </c>
      <c r="B214" t="s">
        <v>44</v>
      </c>
      <c r="C214" t="s">
        <v>267</v>
      </c>
      <c r="D214" t="s">
        <v>268</v>
      </c>
      <c r="E214" t="s">
        <v>204</v>
      </c>
      <c r="F214" t="s">
        <v>198</v>
      </c>
      <c r="G214" t="s">
        <v>201</v>
      </c>
      <c r="H214">
        <v>0</v>
      </c>
    </row>
    <row r="215" spans="1:8" x14ac:dyDescent="0.3">
      <c r="A215">
        <v>2019</v>
      </c>
      <c r="B215" t="s">
        <v>44</v>
      </c>
      <c r="C215" t="s">
        <v>267</v>
      </c>
      <c r="D215" t="s">
        <v>268</v>
      </c>
      <c r="E215" t="s">
        <v>205</v>
      </c>
      <c r="F215" t="s">
        <v>198</v>
      </c>
      <c r="G215" t="s">
        <v>201</v>
      </c>
      <c r="H215">
        <v>0</v>
      </c>
    </row>
    <row r="216" spans="1:8" x14ac:dyDescent="0.3">
      <c r="A216">
        <v>2019</v>
      </c>
      <c r="B216" t="s">
        <v>44</v>
      </c>
      <c r="C216" t="s">
        <v>267</v>
      </c>
      <c r="D216" t="s">
        <v>268</v>
      </c>
      <c r="E216" t="s">
        <v>206</v>
      </c>
      <c r="F216" t="s">
        <v>198</v>
      </c>
      <c r="G216" t="s">
        <v>201</v>
      </c>
      <c r="H216">
        <v>6</v>
      </c>
    </row>
    <row r="217" spans="1:8" x14ac:dyDescent="0.3">
      <c r="A217">
        <v>2019</v>
      </c>
      <c r="B217" t="s">
        <v>53</v>
      </c>
      <c r="C217" t="s">
        <v>267</v>
      </c>
      <c r="D217" t="s">
        <v>268</v>
      </c>
      <c r="E217" t="s">
        <v>1</v>
      </c>
      <c r="F217" t="s">
        <v>198</v>
      </c>
      <c r="G217" t="s">
        <v>201</v>
      </c>
      <c r="H217">
        <v>30</v>
      </c>
    </row>
    <row r="218" spans="1:8" x14ac:dyDescent="0.3">
      <c r="A218">
        <v>2019</v>
      </c>
      <c r="B218" t="s">
        <v>53</v>
      </c>
      <c r="C218" t="s">
        <v>267</v>
      </c>
      <c r="D218" t="s">
        <v>268</v>
      </c>
      <c r="E218" t="s">
        <v>203</v>
      </c>
      <c r="F218" t="s">
        <v>198</v>
      </c>
      <c r="G218" t="s">
        <v>201</v>
      </c>
      <c r="H218">
        <v>0</v>
      </c>
    </row>
    <row r="219" spans="1:8" x14ac:dyDescent="0.3">
      <c r="A219">
        <v>2019</v>
      </c>
      <c r="B219" t="s">
        <v>53</v>
      </c>
      <c r="C219" t="s">
        <v>267</v>
      </c>
      <c r="D219" t="s">
        <v>268</v>
      </c>
      <c r="E219" t="s">
        <v>204</v>
      </c>
      <c r="F219" t="s">
        <v>198</v>
      </c>
      <c r="G219" t="s">
        <v>201</v>
      </c>
      <c r="H219">
        <v>1</v>
      </c>
    </row>
    <row r="220" spans="1:8" x14ac:dyDescent="0.3">
      <c r="A220">
        <v>2019</v>
      </c>
      <c r="B220" t="s">
        <v>53</v>
      </c>
      <c r="C220" t="s">
        <v>267</v>
      </c>
      <c r="D220" t="s">
        <v>268</v>
      </c>
      <c r="E220" t="s">
        <v>205</v>
      </c>
      <c r="F220" t="s">
        <v>198</v>
      </c>
      <c r="G220" t="s">
        <v>201</v>
      </c>
      <c r="H220">
        <v>0</v>
      </c>
    </row>
    <row r="221" spans="1:8" x14ac:dyDescent="0.3">
      <c r="A221">
        <v>2019</v>
      </c>
      <c r="B221" t="s">
        <v>53</v>
      </c>
      <c r="C221" t="s">
        <v>267</v>
      </c>
      <c r="D221" t="s">
        <v>268</v>
      </c>
      <c r="E221" t="s">
        <v>206</v>
      </c>
      <c r="F221" t="s">
        <v>198</v>
      </c>
      <c r="G221" t="s">
        <v>201</v>
      </c>
      <c r="H221">
        <v>57</v>
      </c>
    </row>
    <row r="222" spans="1:8" x14ac:dyDescent="0.3">
      <c r="A222">
        <v>2019</v>
      </c>
      <c r="B222" t="s">
        <v>197</v>
      </c>
      <c r="C222" t="s">
        <v>267</v>
      </c>
      <c r="D222" t="s">
        <v>268</v>
      </c>
      <c r="E222" t="s">
        <v>1</v>
      </c>
      <c r="F222" t="s">
        <v>198</v>
      </c>
      <c r="G222" t="s">
        <v>201</v>
      </c>
      <c r="H222">
        <v>11</v>
      </c>
    </row>
    <row r="223" spans="1:8" x14ac:dyDescent="0.3">
      <c r="A223">
        <v>2019</v>
      </c>
      <c r="B223" t="s">
        <v>197</v>
      </c>
      <c r="C223" t="s">
        <v>267</v>
      </c>
      <c r="D223" t="s">
        <v>268</v>
      </c>
      <c r="E223" t="s">
        <v>203</v>
      </c>
      <c r="F223" t="s">
        <v>198</v>
      </c>
      <c r="G223" t="s">
        <v>201</v>
      </c>
      <c r="H223">
        <v>0</v>
      </c>
    </row>
    <row r="224" spans="1:8" x14ac:dyDescent="0.3">
      <c r="A224">
        <v>2019</v>
      </c>
      <c r="B224" t="s">
        <v>197</v>
      </c>
      <c r="C224" t="s">
        <v>267</v>
      </c>
      <c r="D224" t="s">
        <v>268</v>
      </c>
      <c r="E224" t="s">
        <v>204</v>
      </c>
      <c r="F224" t="s">
        <v>198</v>
      </c>
      <c r="G224" t="s">
        <v>201</v>
      </c>
      <c r="H224">
        <v>0</v>
      </c>
    </row>
    <row r="225" spans="1:8" x14ac:dyDescent="0.3">
      <c r="A225">
        <v>2019</v>
      </c>
      <c r="B225" t="s">
        <v>197</v>
      </c>
      <c r="C225" t="s">
        <v>267</v>
      </c>
      <c r="D225" t="s">
        <v>268</v>
      </c>
      <c r="E225" t="s">
        <v>205</v>
      </c>
      <c r="F225" t="s">
        <v>198</v>
      </c>
      <c r="G225" t="s">
        <v>201</v>
      </c>
      <c r="H225">
        <v>0</v>
      </c>
    </row>
    <row r="226" spans="1:8" x14ac:dyDescent="0.3">
      <c r="A226">
        <v>2019</v>
      </c>
      <c r="B226" t="s">
        <v>197</v>
      </c>
      <c r="C226" t="s">
        <v>267</v>
      </c>
      <c r="D226" t="s">
        <v>268</v>
      </c>
      <c r="E226" t="s">
        <v>206</v>
      </c>
      <c r="F226" t="s">
        <v>198</v>
      </c>
      <c r="G226" t="s">
        <v>201</v>
      </c>
      <c r="H226">
        <v>4</v>
      </c>
    </row>
    <row r="227" spans="1:8" x14ac:dyDescent="0.3">
      <c r="A227">
        <v>2019</v>
      </c>
      <c r="B227" t="s">
        <v>8</v>
      </c>
      <c r="C227" t="s">
        <v>267</v>
      </c>
      <c r="D227" t="s">
        <v>268</v>
      </c>
      <c r="E227" t="s">
        <v>1</v>
      </c>
      <c r="F227" t="s">
        <v>198</v>
      </c>
      <c r="G227" t="s">
        <v>202</v>
      </c>
      <c r="H227">
        <v>3</v>
      </c>
    </row>
    <row r="228" spans="1:8" x14ac:dyDescent="0.3">
      <c r="A228">
        <v>2019</v>
      </c>
      <c r="B228" t="s">
        <v>8</v>
      </c>
      <c r="C228" t="s">
        <v>267</v>
      </c>
      <c r="D228" t="s">
        <v>268</v>
      </c>
      <c r="E228" t="s">
        <v>203</v>
      </c>
      <c r="F228" t="s">
        <v>198</v>
      </c>
      <c r="G228" t="s">
        <v>202</v>
      </c>
      <c r="H228">
        <v>0</v>
      </c>
    </row>
    <row r="229" spans="1:8" x14ac:dyDescent="0.3">
      <c r="A229">
        <v>2019</v>
      </c>
      <c r="B229" t="s">
        <v>8</v>
      </c>
      <c r="C229" t="s">
        <v>267</v>
      </c>
      <c r="D229" t="s">
        <v>268</v>
      </c>
      <c r="E229" t="s">
        <v>204</v>
      </c>
      <c r="F229" t="s">
        <v>198</v>
      </c>
      <c r="G229" t="s">
        <v>202</v>
      </c>
      <c r="H229">
        <v>0</v>
      </c>
    </row>
    <row r="230" spans="1:8" x14ac:dyDescent="0.3">
      <c r="A230">
        <v>2019</v>
      </c>
      <c r="B230" t="s">
        <v>8</v>
      </c>
      <c r="C230" t="s">
        <v>267</v>
      </c>
      <c r="D230" t="s">
        <v>268</v>
      </c>
      <c r="E230" t="s">
        <v>205</v>
      </c>
      <c r="F230" t="s">
        <v>198</v>
      </c>
      <c r="G230" t="s">
        <v>202</v>
      </c>
      <c r="H230">
        <v>0</v>
      </c>
    </row>
    <row r="231" spans="1:8" x14ac:dyDescent="0.3">
      <c r="A231">
        <v>2019</v>
      </c>
      <c r="B231" t="s">
        <v>8</v>
      </c>
      <c r="C231" t="s">
        <v>267</v>
      </c>
      <c r="D231" t="s">
        <v>268</v>
      </c>
      <c r="E231" t="s">
        <v>206</v>
      </c>
      <c r="F231" t="s">
        <v>198</v>
      </c>
      <c r="G231" t="s">
        <v>202</v>
      </c>
      <c r="H231">
        <v>0</v>
      </c>
    </row>
    <row r="232" spans="1:8" x14ac:dyDescent="0.3">
      <c r="A232">
        <v>2019</v>
      </c>
      <c r="B232" t="s">
        <v>9</v>
      </c>
      <c r="C232" t="s">
        <v>267</v>
      </c>
      <c r="D232" t="s">
        <v>268</v>
      </c>
      <c r="E232" t="s">
        <v>1</v>
      </c>
      <c r="F232" t="s">
        <v>198</v>
      </c>
      <c r="G232" t="s">
        <v>202</v>
      </c>
      <c r="H232">
        <v>1</v>
      </c>
    </row>
    <row r="233" spans="1:8" x14ac:dyDescent="0.3">
      <c r="A233">
        <v>2019</v>
      </c>
      <c r="B233" t="s">
        <v>9</v>
      </c>
      <c r="C233" t="s">
        <v>267</v>
      </c>
      <c r="D233" t="s">
        <v>268</v>
      </c>
      <c r="E233" t="s">
        <v>203</v>
      </c>
      <c r="F233" t="s">
        <v>198</v>
      </c>
      <c r="G233" t="s">
        <v>202</v>
      </c>
      <c r="H233">
        <v>0</v>
      </c>
    </row>
    <row r="234" spans="1:8" x14ac:dyDescent="0.3">
      <c r="A234">
        <v>2019</v>
      </c>
      <c r="B234" t="s">
        <v>9</v>
      </c>
      <c r="C234" t="s">
        <v>267</v>
      </c>
      <c r="D234" t="s">
        <v>268</v>
      </c>
      <c r="E234" t="s">
        <v>204</v>
      </c>
      <c r="F234" t="s">
        <v>198</v>
      </c>
      <c r="G234" t="s">
        <v>202</v>
      </c>
      <c r="H234">
        <v>0</v>
      </c>
    </row>
    <row r="235" spans="1:8" x14ac:dyDescent="0.3">
      <c r="A235">
        <v>2019</v>
      </c>
      <c r="B235" t="s">
        <v>9</v>
      </c>
      <c r="C235" t="s">
        <v>267</v>
      </c>
      <c r="D235" t="s">
        <v>268</v>
      </c>
      <c r="E235" t="s">
        <v>205</v>
      </c>
      <c r="F235" t="s">
        <v>198</v>
      </c>
      <c r="G235" t="s">
        <v>202</v>
      </c>
    </row>
    <row r="236" spans="1:8" x14ac:dyDescent="0.3">
      <c r="A236">
        <v>2019</v>
      </c>
      <c r="B236" t="s">
        <v>9</v>
      </c>
      <c r="C236" t="s">
        <v>267</v>
      </c>
      <c r="D236" t="s">
        <v>268</v>
      </c>
      <c r="E236" t="s">
        <v>206</v>
      </c>
      <c r="F236" t="s">
        <v>198</v>
      </c>
      <c r="G236" t="s">
        <v>202</v>
      </c>
      <c r="H236">
        <v>0</v>
      </c>
    </row>
    <row r="237" spans="1:8" x14ac:dyDescent="0.3">
      <c r="A237">
        <v>2019</v>
      </c>
      <c r="B237" t="s">
        <v>10</v>
      </c>
      <c r="C237" t="s">
        <v>267</v>
      </c>
      <c r="D237" t="s">
        <v>268</v>
      </c>
      <c r="E237" t="s">
        <v>1</v>
      </c>
      <c r="F237" t="s">
        <v>198</v>
      </c>
      <c r="G237" t="s">
        <v>202</v>
      </c>
      <c r="H237">
        <v>2</v>
      </c>
    </row>
    <row r="238" spans="1:8" x14ac:dyDescent="0.3">
      <c r="A238">
        <v>2019</v>
      </c>
      <c r="B238" t="s">
        <v>10</v>
      </c>
      <c r="C238" t="s">
        <v>267</v>
      </c>
      <c r="D238" t="s">
        <v>268</v>
      </c>
      <c r="E238" t="s">
        <v>203</v>
      </c>
      <c r="F238" t="s">
        <v>198</v>
      </c>
      <c r="G238" t="s">
        <v>202</v>
      </c>
      <c r="H238">
        <v>0</v>
      </c>
    </row>
    <row r="239" spans="1:8" x14ac:dyDescent="0.3">
      <c r="A239">
        <v>2019</v>
      </c>
      <c r="B239" t="s">
        <v>10</v>
      </c>
      <c r="C239" t="s">
        <v>267</v>
      </c>
      <c r="D239" t="s">
        <v>268</v>
      </c>
      <c r="E239" t="s">
        <v>204</v>
      </c>
      <c r="F239" t="s">
        <v>198</v>
      </c>
      <c r="G239" t="s">
        <v>202</v>
      </c>
      <c r="H239">
        <v>0</v>
      </c>
    </row>
    <row r="240" spans="1:8" x14ac:dyDescent="0.3">
      <c r="A240">
        <v>2019</v>
      </c>
      <c r="B240" t="s">
        <v>10</v>
      </c>
      <c r="C240" t="s">
        <v>267</v>
      </c>
      <c r="D240" t="s">
        <v>268</v>
      </c>
      <c r="E240" t="s">
        <v>205</v>
      </c>
      <c r="F240" t="s">
        <v>198</v>
      </c>
      <c r="G240" t="s">
        <v>202</v>
      </c>
      <c r="H240">
        <v>0</v>
      </c>
    </row>
    <row r="241" spans="1:8" x14ac:dyDescent="0.3">
      <c r="A241">
        <v>2019</v>
      </c>
      <c r="B241" t="s">
        <v>10</v>
      </c>
      <c r="C241" t="s">
        <v>267</v>
      </c>
      <c r="D241" t="s">
        <v>268</v>
      </c>
      <c r="E241" t="s">
        <v>206</v>
      </c>
      <c r="F241" t="s">
        <v>198</v>
      </c>
      <c r="G241" t="s">
        <v>202</v>
      </c>
      <c r="H241">
        <v>1</v>
      </c>
    </row>
    <row r="242" spans="1:8" x14ac:dyDescent="0.3">
      <c r="A242">
        <v>2019</v>
      </c>
      <c r="B242" t="s">
        <v>11</v>
      </c>
      <c r="C242" t="s">
        <v>267</v>
      </c>
      <c r="D242" t="s">
        <v>268</v>
      </c>
      <c r="E242" t="s">
        <v>1</v>
      </c>
      <c r="F242" t="s">
        <v>198</v>
      </c>
      <c r="G242" t="s">
        <v>202</v>
      </c>
      <c r="H242">
        <v>0</v>
      </c>
    </row>
    <row r="243" spans="1:8" x14ac:dyDescent="0.3">
      <c r="A243">
        <v>2019</v>
      </c>
      <c r="B243" t="s">
        <v>11</v>
      </c>
      <c r="C243" t="s">
        <v>267</v>
      </c>
      <c r="D243" t="s">
        <v>268</v>
      </c>
      <c r="E243" t="s">
        <v>203</v>
      </c>
      <c r="F243" t="s">
        <v>198</v>
      </c>
      <c r="G243" t="s">
        <v>202</v>
      </c>
      <c r="H243">
        <v>0</v>
      </c>
    </row>
    <row r="244" spans="1:8" x14ac:dyDescent="0.3">
      <c r="A244">
        <v>2019</v>
      </c>
      <c r="B244" t="s">
        <v>11</v>
      </c>
      <c r="C244" t="s">
        <v>267</v>
      </c>
      <c r="D244" t="s">
        <v>268</v>
      </c>
      <c r="E244" t="s">
        <v>204</v>
      </c>
      <c r="F244" t="s">
        <v>198</v>
      </c>
      <c r="G244" t="s">
        <v>202</v>
      </c>
      <c r="H244">
        <v>0</v>
      </c>
    </row>
    <row r="245" spans="1:8" x14ac:dyDescent="0.3">
      <c r="A245">
        <v>2019</v>
      </c>
      <c r="B245" t="s">
        <v>11</v>
      </c>
      <c r="C245" t="s">
        <v>267</v>
      </c>
      <c r="D245" t="s">
        <v>268</v>
      </c>
      <c r="E245" t="s">
        <v>205</v>
      </c>
      <c r="F245" t="s">
        <v>198</v>
      </c>
      <c r="G245" t="s">
        <v>202</v>
      </c>
      <c r="H245">
        <v>0</v>
      </c>
    </row>
    <row r="246" spans="1:8" x14ac:dyDescent="0.3">
      <c r="A246">
        <v>2019</v>
      </c>
      <c r="B246" t="s">
        <v>11</v>
      </c>
      <c r="C246" t="s">
        <v>267</v>
      </c>
      <c r="D246" t="s">
        <v>268</v>
      </c>
      <c r="E246" t="s">
        <v>206</v>
      </c>
      <c r="F246" t="s">
        <v>198</v>
      </c>
      <c r="G246" t="s">
        <v>202</v>
      </c>
      <c r="H246">
        <v>0</v>
      </c>
    </row>
    <row r="247" spans="1:8" x14ac:dyDescent="0.3">
      <c r="A247">
        <v>2019</v>
      </c>
      <c r="B247" t="s">
        <v>12</v>
      </c>
      <c r="C247" t="s">
        <v>267</v>
      </c>
      <c r="D247" t="s">
        <v>268</v>
      </c>
      <c r="E247" t="s">
        <v>1</v>
      </c>
      <c r="F247" t="s">
        <v>198</v>
      </c>
      <c r="G247" t="s">
        <v>202</v>
      </c>
      <c r="H247">
        <v>14</v>
      </c>
    </row>
    <row r="248" spans="1:8" x14ac:dyDescent="0.3">
      <c r="A248">
        <v>2019</v>
      </c>
      <c r="B248" t="s">
        <v>12</v>
      </c>
      <c r="C248" t="s">
        <v>267</v>
      </c>
      <c r="D248" t="s">
        <v>268</v>
      </c>
      <c r="E248" t="s">
        <v>203</v>
      </c>
      <c r="F248" t="s">
        <v>198</v>
      </c>
      <c r="G248" t="s">
        <v>202</v>
      </c>
    </row>
    <row r="249" spans="1:8" x14ac:dyDescent="0.3">
      <c r="A249">
        <v>2019</v>
      </c>
      <c r="B249" t="s">
        <v>12</v>
      </c>
      <c r="C249" t="s">
        <v>267</v>
      </c>
      <c r="D249" t="s">
        <v>268</v>
      </c>
      <c r="E249" t="s">
        <v>204</v>
      </c>
      <c r="F249" t="s">
        <v>198</v>
      </c>
      <c r="G249" t="s">
        <v>202</v>
      </c>
      <c r="H249">
        <v>1</v>
      </c>
    </row>
    <row r="250" spans="1:8" x14ac:dyDescent="0.3">
      <c r="A250">
        <v>2019</v>
      </c>
      <c r="B250" t="s">
        <v>12</v>
      </c>
      <c r="C250" t="s">
        <v>267</v>
      </c>
      <c r="D250" t="s">
        <v>268</v>
      </c>
      <c r="E250" t="s">
        <v>205</v>
      </c>
      <c r="F250" t="s">
        <v>198</v>
      </c>
      <c r="G250" t="s">
        <v>202</v>
      </c>
    </row>
    <row r="251" spans="1:8" x14ac:dyDescent="0.3">
      <c r="A251">
        <v>2019</v>
      </c>
      <c r="B251" t="s">
        <v>12</v>
      </c>
      <c r="C251" t="s">
        <v>267</v>
      </c>
      <c r="D251" t="s">
        <v>268</v>
      </c>
      <c r="E251" t="s">
        <v>206</v>
      </c>
      <c r="F251" t="s">
        <v>198</v>
      </c>
      <c r="G251" t="s">
        <v>202</v>
      </c>
      <c r="H251">
        <v>22</v>
      </c>
    </row>
    <row r="252" spans="1:8" x14ac:dyDescent="0.3">
      <c r="A252">
        <v>2019</v>
      </c>
      <c r="B252" t="s">
        <v>13</v>
      </c>
      <c r="C252" t="s">
        <v>267</v>
      </c>
      <c r="D252" t="s">
        <v>268</v>
      </c>
      <c r="E252" t="s">
        <v>1</v>
      </c>
      <c r="F252" t="s">
        <v>198</v>
      </c>
      <c r="G252" t="s">
        <v>202</v>
      </c>
      <c r="H252">
        <v>1</v>
      </c>
    </row>
    <row r="253" spans="1:8" x14ac:dyDescent="0.3">
      <c r="A253">
        <v>2019</v>
      </c>
      <c r="B253" t="s">
        <v>13</v>
      </c>
      <c r="C253" t="s">
        <v>267</v>
      </c>
      <c r="D253" t="s">
        <v>268</v>
      </c>
      <c r="E253" t="s">
        <v>203</v>
      </c>
      <c r="F253" t="s">
        <v>198</v>
      </c>
      <c r="G253" t="s">
        <v>202</v>
      </c>
      <c r="H253">
        <v>0</v>
      </c>
    </row>
    <row r="254" spans="1:8" x14ac:dyDescent="0.3">
      <c r="A254">
        <v>2019</v>
      </c>
      <c r="B254" t="s">
        <v>13</v>
      </c>
      <c r="C254" t="s">
        <v>267</v>
      </c>
      <c r="D254" t="s">
        <v>268</v>
      </c>
      <c r="E254" t="s">
        <v>204</v>
      </c>
      <c r="F254" t="s">
        <v>198</v>
      </c>
      <c r="G254" t="s">
        <v>202</v>
      </c>
      <c r="H254">
        <v>0</v>
      </c>
    </row>
    <row r="255" spans="1:8" x14ac:dyDescent="0.3">
      <c r="A255">
        <v>2019</v>
      </c>
      <c r="B255" t="s">
        <v>13</v>
      </c>
      <c r="C255" t="s">
        <v>267</v>
      </c>
      <c r="D255" t="s">
        <v>268</v>
      </c>
      <c r="E255" t="s">
        <v>205</v>
      </c>
      <c r="F255" t="s">
        <v>198</v>
      </c>
      <c r="G255" t="s">
        <v>202</v>
      </c>
      <c r="H255">
        <v>0</v>
      </c>
    </row>
    <row r="256" spans="1:8" x14ac:dyDescent="0.3">
      <c r="A256">
        <v>2019</v>
      </c>
      <c r="B256" t="s">
        <v>13</v>
      </c>
      <c r="C256" t="s">
        <v>267</v>
      </c>
      <c r="D256" t="s">
        <v>268</v>
      </c>
      <c r="E256" t="s">
        <v>206</v>
      </c>
      <c r="F256" t="s">
        <v>198</v>
      </c>
      <c r="G256" t="s">
        <v>202</v>
      </c>
      <c r="H256">
        <v>0</v>
      </c>
    </row>
    <row r="257" spans="1:8" x14ac:dyDescent="0.3">
      <c r="A257">
        <v>2019</v>
      </c>
      <c r="B257" t="s">
        <v>14</v>
      </c>
      <c r="C257" t="s">
        <v>267</v>
      </c>
      <c r="D257" t="s">
        <v>268</v>
      </c>
      <c r="E257" t="s">
        <v>1</v>
      </c>
      <c r="F257" t="s">
        <v>198</v>
      </c>
      <c r="G257" t="s">
        <v>202</v>
      </c>
      <c r="H257">
        <v>0</v>
      </c>
    </row>
    <row r="258" spans="1:8" x14ac:dyDescent="0.3">
      <c r="A258">
        <v>2019</v>
      </c>
      <c r="B258" t="s">
        <v>14</v>
      </c>
      <c r="C258" t="s">
        <v>267</v>
      </c>
      <c r="D258" t="s">
        <v>268</v>
      </c>
      <c r="E258" t="s">
        <v>203</v>
      </c>
      <c r="F258" t="s">
        <v>198</v>
      </c>
      <c r="G258" t="s">
        <v>202</v>
      </c>
      <c r="H258">
        <v>0</v>
      </c>
    </row>
    <row r="259" spans="1:8" x14ac:dyDescent="0.3">
      <c r="A259">
        <v>2019</v>
      </c>
      <c r="B259" t="s">
        <v>14</v>
      </c>
      <c r="C259" t="s">
        <v>267</v>
      </c>
      <c r="D259" t="s">
        <v>268</v>
      </c>
      <c r="E259" t="s">
        <v>204</v>
      </c>
      <c r="F259" t="s">
        <v>198</v>
      </c>
      <c r="G259" t="s">
        <v>202</v>
      </c>
      <c r="H259">
        <v>0</v>
      </c>
    </row>
    <row r="260" spans="1:8" x14ac:dyDescent="0.3">
      <c r="A260">
        <v>2019</v>
      </c>
      <c r="B260" t="s">
        <v>14</v>
      </c>
      <c r="C260" t="s">
        <v>267</v>
      </c>
      <c r="D260" t="s">
        <v>268</v>
      </c>
      <c r="E260" t="s">
        <v>205</v>
      </c>
      <c r="F260" t="s">
        <v>198</v>
      </c>
      <c r="G260" t="s">
        <v>202</v>
      </c>
      <c r="H260">
        <v>0</v>
      </c>
    </row>
    <row r="261" spans="1:8" x14ac:dyDescent="0.3">
      <c r="A261">
        <v>2019</v>
      </c>
      <c r="B261" t="s">
        <v>14</v>
      </c>
      <c r="C261" t="s">
        <v>267</v>
      </c>
      <c r="D261" t="s">
        <v>268</v>
      </c>
      <c r="E261" t="s">
        <v>206</v>
      </c>
      <c r="F261" t="s">
        <v>198</v>
      </c>
      <c r="G261" t="s">
        <v>202</v>
      </c>
      <c r="H261">
        <v>0</v>
      </c>
    </row>
    <row r="262" spans="1:8" x14ac:dyDescent="0.3">
      <c r="A262">
        <v>2019</v>
      </c>
      <c r="B262" t="s">
        <v>15</v>
      </c>
      <c r="C262" t="s">
        <v>267</v>
      </c>
      <c r="D262" t="s">
        <v>268</v>
      </c>
      <c r="E262" t="s">
        <v>1</v>
      </c>
      <c r="F262" t="s">
        <v>198</v>
      </c>
      <c r="G262" t="s">
        <v>202</v>
      </c>
      <c r="H262">
        <v>0</v>
      </c>
    </row>
    <row r="263" spans="1:8" x14ac:dyDescent="0.3">
      <c r="A263">
        <v>2019</v>
      </c>
      <c r="B263" t="s">
        <v>15</v>
      </c>
      <c r="C263" t="s">
        <v>267</v>
      </c>
      <c r="D263" t="s">
        <v>268</v>
      </c>
      <c r="E263" t="s">
        <v>203</v>
      </c>
      <c r="F263" t="s">
        <v>198</v>
      </c>
      <c r="G263" t="s">
        <v>202</v>
      </c>
      <c r="H263">
        <v>0</v>
      </c>
    </row>
    <row r="264" spans="1:8" x14ac:dyDescent="0.3">
      <c r="A264">
        <v>2019</v>
      </c>
      <c r="B264" t="s">
        <v>15</v>
      </c>
      <c r="C264" t="s">
        <v>267</v>
      </c>
      <c r="D264" t="s">
        <v>268</v>
      </c>
      <c r="E264" t="s">
        <v>204</v>
      </c>
      <c r="F264" t="s">
        <v>198</v>
      </c>
      <c r="G264" t="s">
        <v>202</v>
      </c>
      <c r="H264">
        <v>0</v>
      </c>
    </row>
    <row r="265" spans="1:8" x14ac:dyDescent="0.3">
      <c r="A265">
        <v>2019</v>
      </c>
      <c r="B265" t="s">
        <v>15</v>
      </c>
      <c r="C265" t="s">
        <v>267</v>
      </c>
      <c r="D265" t="s">
        <v>268</v>
      </c>
      <c r="E265" t="s">
        <v>205</v>
      </c>
      <c r="F265" t="s">
        <v>198</v>
      </c>
      <c r="G265" t="s">
        <v>202</v>
      </c>
      <c r="H265">
        <v>0</v>
      </c>
    </row>
    <row r="266" spans="1:8" x14ac:dyDescent="0.3">
      <c r="A266">
        <v>2019</v>
      </c>
      <c r="B266" t="s">
        <v>15</v>
      </c>
      <c r="C266" t="s">
        <v>267</v>
      </c>
      <c r="D266" t="s">
        <v>268</v>
      </c>
      <c r="E266" t="s">
        <v>206</v>
      </c>
      <c r="F266" t="s">
        <v>198</v>
      </c>
      <c r="G266" t="s">
        <v>202</v>
      </c>
    </row>
    <row r="267" spans="1:8" x14ac:dyDescent="0.3">
      <c r="A267">
        <v>2019</v>
      </c>
      <c r="B267" t="s">
        <v>16</v>
      </c>
      <c r="C267" t="s">
        <v>267</v>
      </c>
      <c r="D267" t="s">
        <v>268</v>
      </c>
      <c r="E267" t="s">
        <v>1</v>
      </c>
      <c r="F267" t="s">
        <v>198</v>
      </c>
      <c r="G267" t="s">
        <v>202</v>
      </c>
      <c r="H267">
        <v>3</v>
      </c>
    </row>
    <row r="268" spans="1:8" x14ac:dyDescent="0.3">
      <c r="A268">
        <v>2019</v>
      </c>
      <c r="B268" t="s">
        <v>16</v>
      </c>
      <c r="C268" t="s">
        <v>267</v>
      </c>
      <c r="D268" t="s">
        <v>268</v>
      </c>
      <c r="E268" t="s">
        <v>203</v>
      </c>
      <c r="F268" t="s">
        <v>198</v>
      </c>
      <c r="G268" t="s">
        <v>202</v>
      </c>
      <c r="H268">
        <v>1</v>
      </c>
    </row>
    <row r="269" spans="1:8" x14ac:dyDescent="0.3">
      <c r="A269">
        <v>2019</v>
      </c>
      <c r="B269" t="s">
        <v>16</v>
      </c>
      <c r="C269" t="s">
        <v>267</v>
      </c>
      <c r="D269" t="s">
        <v>268</v>
      </c>
      <c r="E269" t="s">
        <v>204</v>
      </c>
      <c r="F269" t="s">
        <v>198</v>
      </c>
      <c r="G269" t="s">
        <v>202</v>
      </c>
      <c r="H269">
        <v>0</v>
      </c>
    </row>
    <row r="270" spans="1:8" x14ac:dyDescent="0.3">
      <c r="A270">
        <v>2019</v>
      </c>
      <c r="B270" t="s">
        <v>16</v>
      </c>
      <c r="C270" t="s">
        <v>267</v>
      </c>
      <c r="D270" t="s">
        <v>268</v>
      </c>
      <c r="E270" t="s">
        <v>205</v>
      </c>
      <c r="F270" t="s">
        <v>198</v>
      </c>
      <c r="G270" t="s">
        <v>202</v>
      </c>
      <c r="H270">
        <v>0</v>
      </c>
    </row>
    <row r="271" spans="1:8" x14ac:dyDescent="0.3">
      <c r="A271">
        <v>2019</v>
      </c>
      <c r="B271" t="s">
        <v>16</v>
      </c>
      <c r="C271" t="s">
        <v>267</v>
      </c>
      <c r="D271" t="s">
        <v>268</v>
      </c>
      <c r="E271" t="s">
        <v>206</v>
      </c>
      <c r="F271" t="s">
        <v>198</v>
      </c>
      <c r="G271" t="s">
        <v>202</v>
      </c>
      <c r="H271">
        <v>74</v>
      </c>
    </row>
    <row r="272" spans="1:8" x14ac:dyDescent="0.3">
      <c r="A272">
        <v>2019</v>
      </c>
      <c r="B272" t="s">
        <v>17</v>
      </c>
      <c r="C272" t="s">
        <v>267</v>
      </c>
      <c r="D272" t="s">
        <v>268</v>
      </c>
      <c r="E272" t="s">
        <v>1</v>
      </c>
      <c r="F272" t="s">
        <v>198</v>
      </c>
      <c r="G272" t="s">
        <v>202</v>
      </c>
      <c r="H272">
        <v>3</v>
      </c>
    </row>
    <row r="273" spans="1:8" x14ac:dyDescent="0.3">
      <c r="A273">
        <v>2019</v>
      </c>
      <c r="B273" t="s">
        <v>17</v>
      </c>
      <c r="C273" t="s">
        <v>267</v>
      </c>
      <c r="D273" t="s">
        <v>268</v>
      </c>
      <c r="E273" t="s">
        <v>203</v>
      </c>
      <c r="F273" t="s">
        <v>198</v>
      </c>
      <c r="G273" t="s">
        <v>202</v>
      </c>
      <c r="H273">
        <v>2</v>
      </c>
    </row>
    <row r="274" spans="1:8" x14ac:dyDescent="0.3">
      <c r="A274">
        <v>2019</v>
      </c>
      <c r="B274" t="s">
        <v>17</v>
      </c>
      <c r="C274" t="s">
        <v>267</v>
      </c>
      <c r="D274" t="s">
        <v>268</v>
      </c>
      <c r="E274" t="s">
        <v>204</v>
      </c>
      <c r="F274" t="s">
        <v>198</v>
      </c>
      <c r="G274" t="s">
        <v>202</v>
      </c>
      <c r="H274">
        <v>2</v>
      </c>
    </row>
    <row r="275" spans="1:8" x14ac:dyDescent="0.3">
      <c r="A275">
        <v>2019</v>
      </c>
      <c r="B275" t="s">
        <v>17</v>
      </c>
      <c r="C275" t="s">
        <v>267</v>
      </c>
      <c r="D275" t="s">
        <v>268</v>
      </c>
      <c r="E275" t="s">
        <v>205</v>
      </c>
      <c r="F275" t="s">
        <v>198</v>
      </c>
      <c r="G275" t="s">
        <v>202</v>
      </c>
      <c r="H275">
        <v>0</v>
      </c>
    </row>
    <row r="276" spans="1:8" x14ac:dyDescent="0.3">
      <c r="A276">
        <v>2019</v>
      </c>
      <c r="B276" t="s">
        <v>17</v>
      </c>
      <c r="C276" t="s">
        <v>267</v>
      </c>
      <c r="D276" t="s">
        <v>268</v>
      </c>
      <c r="E276" t="s">
        <v>206</v>
      </c>
      <c r="F276" t="s">
        <v>198</v>
      </c>
      <c r="G276" t="s">
        <v>202</v>
      </c>
      <c r="H276">
        <v>200</v>
      </c>
    </row>
    <row r="277" spans="1:8" x14ac:dyDescent="0.3">
      <c r="A277">
        <v>2019</v>
      </c>
      <c r="B277" t="s">
        <v>163</v>
      </c>
      <c r="C277" t="s">
        <v>267</v>
      </c>
      <c r="D277" t="s">
        <v>268</v>
      </c>
      <c r="E277" t="s">
        <v>1</v>
      </c>
      <c r="F277" t="s">
        <v>198</v>
      </c>
      <c r="G277" t="s">
        <v>202</v>
      </c>
      <c r="H277">
        <v>8</v>
      </c>
    </row>
    <row r="278" spans="1:8" x14ac:dyDescent="0.3">
      <c r="A278">
        <v>2019</v>
      </c>
      <c r="B278" t="s">
        <v>163</v>
      </c>
      <c r="C278" t="s">
        <v>267</v>
      </c>
      <c r="D278" t="s">
        <v>268</v>
      </c>
      <c r="E278" t="s">
        <v>203</v>
      </c>
      <c r="F278" t="s">
        <v>198</v>
      </c>
      <c r="G278" t="s">
        <v>202</v>
      </c>
      <c r="H278">
        <v>3</v>
      </c>
    </row>
    <row r="279" spans="1:8" x14ac:dyDescent="0.3">
      <c r="A279">
        <v>2019</v>
      </c>
      <c r="B279" t="s">
        <v>163</v>
      </c>
      <c r="C279" t="s">
        <v>267</v>
      </c>
      <c r="D279" t="s">
        <v>268</v>
      </c>
      <c r="E279" t="s">
        <v>204</v>
      </c>
      <c r="F279" t="s">
        <v>198</v>
      </c>
      <c r="G279" t="s">
        <v>202</v>
      </c>
      <c r="H279">
        <v>0</v>
      </c>
    </row>
    <row r="280" spans="1:8" x14ac:dyDescent="0.3">
      <c r="A280">
        <v>2019</v>
      </c>
      <c r="B280" t="s">
        <v>163</v>
      </c>
      <c r="C280" t="s">
        <v>267</v>
      </c>
      <c r="D280" t="s">
        <v>268</v>
      </c>
      <c r="E280" t="s">
        <v>205</v>
      </c>
      <c r="F280" t="s">
        <v>198</v>
      </c>
      <c r="G280" t="s">
        <v>202</v>
      </c>
      <c r="H280">
        <v>0</v>
      </c>
    </row>
    <row r="281" spans="1:8" x14ac:dyDescent="0.3">
      <c r="A281">
        <v>2019</v>
      </c>
      <c r="B281" t="s">
        <v>163</v>
      </c>
      <c r="C281" t="s">
        <v>267</v>
      </c>
      <c r="D281" t="s">
        <v>268</v>
      </c>
      <c r="E281" t="s">
        <v>206</v>
      </c>
      <c r="F281" t="s">
        <v>198</v>
      </c>
      <c r="G281" t="s">
        <v>202</v>
      </c>
      <c r="H281">
        <v>152</v>
      </c>
    </row>
    <row r="282" spans="1:8" x14ac:dyDescent="0.3">
      <c r="A282">
        <v>2019</v>
      </c>
      <c r="B282" t="s">
        <v>20</v>
      </c>
      <c r="C282" t="s">
        <v>267</v>
      </c>
      <c r="D282" t="s">
        <v>268</v>
      </c>
      <c r="E282" t="s">
        <v>1</v>
      </c>
      <c r="F282" t="s">
        <v>198</v>
      </c>
      <c r="G282" t="s">
        <v>202</v>
      </c>
      <c r="H282">
        <v>0</v>
      </c>
    </row>
    <row r="283" spans="1:8" x14ac:dyDescent="0.3">
      <c r="A283">
        <v>2019</v>
      </c>
      <c r="B283" t="s">
        <v>20</v>
      </c>
      <c r="C283" t="s">
        <v>267</v>
      </c>
      <c r="D283" t="s">
        <v>268</v>
      </c>
      <c r="E283" t="s">
        <v>203</v>
      </c>
      <c r="F283" t="s">
        <v>198</v>
      </c>
      <c r="G283" t="s">
        <v>202</v>
      </c>
      <c r="H283">
        <v>0</v>
      </c>
    </row>
    <row r="284" spans="1:8" x14ac:dyDescent="0.3">
      <c r="A284">
        <v>2019</v>
      </c>
      <c r="B284" t="s">
        <v>20</v>
      </c>
      <c r="C284" t="s">
        <v>267</v>
      </c>
      <c r="D284" t="s">
        <v>268</v>
      </c>
      <c r="E284" t="s">
        <v>204</v>
      </c>
      <c r="F284" t="s">
        <v>198</v>
      </c>
      <c r="G284" t="s">
        <v>202</v>
      </c>
      <c r="H284">
        <v>0</v>
      </c>
    </row>
    <row r="285" spans="1:8" x14ac:dyDescent="0.3">
      <c r="A285">
        <v>2019</v>
      </c>
      <c r="B285" t="s">
        <v>20</v>
      </c>
      <c r="C285" t="s">
        <v>267</v>
      </c>
      <c r="D285" t="s">
        <v>268</v>
      </c>
      <c r="E285" t="s">
        <v>205</v>
      </c>
      <c r="F285" t="s">
        <v>198</v>
      </c>
      <c r="G285" t="s">
        <v>202</v>
      </c>
      <c r="H285">
        <v>0</v>
      </c>
    </row>
    <row r="286" spans="1:8" x14ac:dyDescent="0.3">
      <c r="A286">
        <v>2019</v>
      </c>
      <c r="B286" t="s">
        <v>20</v>
      </c>
      <c r="C286" t="s">
        <v>267</v>
      </c>
      <c r="D286" t="s">
        <v>268</v>
      </c>
      <c r="E286" t="s">
        <v>206</v>
      </c>
      <c r="F286" t="s">
        <v>198</v>
      </c>
      <c r="G286" t="s">
        <v>202</v>
      </c>
      <c r="H286">
        <v>0</v>
      </c>
    </row>
    <row r="287" spans="1:8" x14ac:dyDescent="0.3">
      <c r="A287">
        <v>2019</v>
      </c>
      <c r="B287" t="s">
        <v>21</v>
      </c>
      <c r="C287" t="s">
        <v>267</v>
      </c>
      <c r="D287" t="s">
        <v>268</v>
      </c>
      <c r="E287" t="s">
        <v>1</v>
      </c>
      <c r="F287" t="s">
        <v>198</v>
      </c>
      <c r="G287" t="s">
        <v>202</v>
      </c>
      <c r="H287">
        <v>2</v>
      </c>
    </row>
    <row r="288" spans="1:8" x14ac:dyDescent="0.3">
      <c r="A288">
        <v>2019</v>
      </c>
      <c r="B288" t="s">
        <v>21</v>
      </c>
      <c r="C288" t="s">
        <v>267</v>
      </c>
      <c r="D288" t="s">
        <v>268</v>
      </c>
      <c r="E288" t="s">
        <v>203</v>
      </c>
      <c r="F288" t="s">
        <v>198</v>
      </c>
      <c r="G288" t="s">
        <v>202</v>
      </c>
      <c r="H288">
        <v>1</v>
      </c>
    </row>
    <row r="289" spans="1:8" x14ac:dyDescent="0.3">
      <c r="A289">
        <v>2019</v>
      </c>
      <c r="B289" t="s">
        <v>21</v>
      </c>
      <c r="C289" t="s">
        <v>267</v>
      </c>
      <c r="D289" t="s">
        <v>268</v>
      </c>
      <c r="E289" t="s">
        <v>204</v>
      </c>
      <c r="F289" t="s">
        <v>198</v>
      </c>
      <c r="G289" t="s">
        <v>202</v>
      </c>
      <c r="H289">
        <v>0</v>
      </c>
    </row>
    <row r="290" spans="1:8" x14ac:dyDescent="0.3">
      <c r="A290">
        <v>2019</v>
      </c>
      <c r="B290" t="s">
        <v>21</v>
      </c>
      <c r="C290" t="s">
        <v>267</v>
      </c>
      <c r="D290" t="s">
        <v>268</v>
      </c>
      <c r="E290" t="s">
        <v>205</v>
      </c>
      <c r="F290" t="s">
        <v>198</v>
      </c>
      <c r="G290" t="s">
        <v>202</v>
      </c>
      <c r="H290">
        <v>0</v>
      </c>
    </row>
    <row r="291" spans="1:8" x14ac:dyDescent="0.3">
      <c r="A291">
        <v>2019</v>
      </c>
      <c r="B291" t="s">
        <v>21</v>
      </c>
      <c r="C291" t="s">
        <v>267</v>
      </c>
      <c r="D291" t="s">
        <v>268</v>
      </c>
      <c r="E291" t="s">
        <v>206</v>
      </c>
      <c r="F291" t="s">
        <v>198</v>
      </c>
      <c r="G291" t="s">
        <v>202</v>
      </c>
      <c r="H291">
        <v>82</v>
      </c>
    </row>
    <row r="292" spans="1:8" x14ac:dyDescent="0.3">
      <c r="A292">
        <v>2019</v>
      </c>
      <c r="B292" t="s">
        <v>22</v>
      </c>
      <c r="C292" t="s">
        <v>267</v>
      </c>
      <c r="D292" t="s">
        <v>268</v>
      </c>
      <c r="E292" t="s">
        <v>1</v>
      </c>
      <c r="F292" t="s">
        <v>198</v>
      </c>
      <c r="G292" t="s">
        <v>202</v>
      </c>
      <c r="H292">
        <v>14</v>
      </c>
    </row>
    <row r="293" spans="1:8" x14ac:dyDescent="0.3">
      <c r="A293">
        <v>2019</v>
      </c>
      <c r="B293" t="s">
        <v>22</v>
      </c>
      <c r="C293" t="s">
        <v>267</v>
      </c>
      <c r="D293" t="s">
        <v>268</v>
      </c>
      <c r="E293" t="s">
        <v>203</v>
      </c>
      <c r="F293" t="s">
        <v>198</v>
      </c>
      <c r="G293" t="s">
        <v>202</v>
      </c>
      <c r="H293">
        <v>3</v>
      </c>
    </row>
    <row r="294" spans="1:8" x14ac:dyDescent="0.3">
      <c r="A294">
        <v>2019</v>
      </c>
      <c r="B294" t="s">
        <v>22</v>
      </c>
      <c r="C294" t="s">
        <v>267</v>
      </c>
      <c r="D294" t="s">
        <v>268</v>
      </c>
      <c r="E294" t="s">
        <v>204</v>
      </c>
      <c r="F294" t="s">
        <v>198</v>
      </c>
      <c r="G294" t="s">
        <v>202</v>
      </c>
      <c r="H294">
        <v>1</v>
      </c>
    </row>
    <row r="295" spans="1:8" x14ac:dyDescent="0.3">
      <c r="A295">
        <v>2019</v>
      </c>
      <c r="B295" t="s">
        <v>22</v>
      </c>
      <c r="C295" t="s">
        <v>267</v>
      </c>
      <c r="D295" t="s">
        <v>268</v>
      </c>
      <c r="E295" t="s">
        <v>205</v>
      </c>
      <c r="F295" t="s">
        <v>198</v>
      </c>
      <c r="G295" t="s">
        <v>202</v>
      </c>
      <c r="H295">
        <v>0</v>
      </c>
    </row>
    <row r="296" spans="1:8" x14ac:dyDescent="0.3">
      <c r="A296">
        <v>2019</v>
      </c>
      <c r="B296" t="s">
        <v>22</v>
      </c>
      <c r="C296" t="s">
        <v>267</v>
      </c>
      <c r="D296" t="s">
        <v>268</v>
      </c>
      <c r="E296" t="s">
        <v>206</v>
      </c>
      <c r="F296" t="s">
        <v>198</v>
      </c>
      <c r="G296" t="s">
        <v>202</v>
      </c>
      <c r="H296">
        <v>89</v>
      </c>
    </row>
    <row r="297" spans="1:8" x14ac:dyDescent="0.3">
      <c r="A297">
        <v>2019</v>
      </c>
      <c r="B297" t="s">
        <v>23</v>
      </c>
      <c r="C297" t="s">
        <v>267</v>
      </c>
      <c r="D297" t="s">
        <v>268</v>
      </c>
      <c r="E297" t="s">
        <v>1</v>
      </c>
      <c r="F297" t="s">
        <v>198</v>
      </c>
      <c r="G297" t="s">
        <v>202</v>
      </c>
      <c r="H297">
        <v>2</v>
      </c>
    </row>
    <row r="298" spans="1:8" x14ac:dyDescent="0.3">
      <c r="A298">
        <v>2019</v>
      </c>
      <c r="B298" t="s">
        <v>23</v>
      </c>
      <c r="C298" t="s">
        <v>267</v>
      </c>
      <c r="D298" t="s">
        <v>268</v>
      </c>
      <c r="E298" t="s">
        <v>203</v>
      </c>
      <c r="F298" t="s">
        <v>198</v>
      </c>
      <c r="G298" t="s">
        <v>202</v>
      </c>
      <c r="H298">
        <v>0</v>
      </c>
    </row>
    <row r="299" spans="1:8" x14ac:dyDescent="0.3">
      <c r="A299">
        <v>2019</v>
      </c>
      <c r="B299" t="s">
        <v>23</v>
      </c>
      <c r="C299" t="s">
        <v>267</v>
      </c>
      <c r="D299" t="s">
        <v>268</v>
      </c>
      <c r="E299" t="s">
        <v>204</v>
      </c>
      <c r="F299" t="s">
        <v>198</v>
      </c>
      <c r="G299" t="s">
        <v>202</v>
      </c>
      <c r="H299">
        <v>1</v>
      </c>
    </row>
    <row r="300" spans="1:8" x14ac:dyDescent="0.3">
      <c r="A300">
        <v>2019</v>
      </c>
      <c r="B300" t="s">
        <v>23</v>
      </c>
      <c r="C300" t="s">
        <v>267</v>
      </c>
      <c r="D300" t="s">
        <v>268</v>
      </c>
      <c r="E300" t="s">
        <v>205</v>
      </c>
      <c r="F300" t="s">
        <v>198</v>
      </c>
      <c r="G300" t="s">
        <v>202</v>
      </c>
      <c r="H300">
        <v>0</v>
      </c>
    </row>
    <row r="301" spans="1:8" x14ac:dyDescent="0.3">
      <c r="A301">
        <v>2019</v>
      </c>
      <c r="B301" t="s">
        <v>23</v>
      </c>
      <c r="C301" t="s">
        <v>267</v>
      </c>
      <c r="D301" t="s">
        <v>268</v>
      </c>
      <c r="E301" t="s">
        <v>206</v>
      </c>
      <c r="F301" t="s">
        <v>198</v>
      </c>
      <c r="G301" t="s">
        <v>202</v>
      </c>
      <c r="H301">
        <v>0</v>
      </c>
    </row>
    <row r="302" spans="1:8" x14ac:dyDescent="0.3">
      <c r="A302">
        <v>2019</v>
      </c>
      <c r="B302" t="s">
        <v>54</v>
      </c>
      <c r="C302" t="s">
        <v>267</v>
      </c>
      <c r="D302" t="s">
        <v>268</v>
      </c>
      <c r="E302" t="s">
        <v>1</v>
      </c>
      <c r="F302" t="s">
        <v>198</v>
      </c>
      <c r="G302" t="s">
        <v>202</v>
      </c>
      <c r="H302" t="s">
        <v>274</v>
      </c>
    </row>
    <row r="303" spans="1:8" x14ac:dyDescent="0.3">
      <c r="A303">
        <v>2019</v>
      </c>
      <c r="B303" t="s">
        <v>54</v>
      </c>
      <c r="C303" t="s">
        <v>267</v>
      </c>
      <c r="D303" t="s">
        <v>268</v>
      </c>
      <c r="E303" t="s">
        <v>203</v>
      </c>
      <c r="F303" t="s">
        <v>198</v>
      </c>
      <c r="G303" t="s">
        <v>202</v>
      </c>
      <c r="H303" t="s">
        <v>274</v>
      </c>
    </row>
    <row r="304" spans="1:8" x14ac:dyDescent="0.3">
      <c r="A304">
        <v>2019</v>
      </c>
      <c r="B304" t="s">
        <v>54</v>
      </c>
      <c r="C304" t="s">
        <v>267</v>
      </c>
      <c r="D304" t="s">
        <v>268</v>
      </c>
      <c r="E304" t="s">
        <v>204</v>
      </c>
      <c r="F304" t="s">
        <v>198</v>
      </c>
      <c r="G304" t="s">
        <v>202</v>
      </c>
      <c r="H304" t="s">
        <v>274</v>
      </c>
    </row>
    <row r="305" spans="1:8" x14ac:dyDescent="0.3">
      <c r="A305">
        <v>2019</v>
      </c>
      <c r="B305" t="s">
        <v>54</v>
      </c>
      <c r="C305" t="s">
        <v>267</v>
      </c>
      <c r="D305" t="s">
        <v>268</v>
      </c>
      <c r="E305" t="s">
        <v>205</v>
      </c>
      <c r="F305" t="s">
        <v>198</v>
      </c>
      <c r="G305" t="s">
        <v>202</v>
      </c>
      <c r="H305" t="s">
        <v>274</v>
      </c>
    </row>
    <row r="306" spans="1:8" x14ac:dyDescent="0.3">
      <c r="A306">
        <v>2019</v>
      </c>
      <c r="B306" t="s">
        <v>54</v>
      </c>
      <c r="C306" t="s">
        <v>267</v>
      </c>
      <c r="D306" t="s">
        <v>268</v>
      </c>
      <c r="E306" t="s">
        <v>206</v>
      </c>
      <c r="F306" t="s">
        <v>198</v>
      </c>
      <c r="G306" t="s">
        <v>202</v>
      </c>
      <c r="H306" t="s">
        <v>274</v>
      </c>
    </row>
    <row r="307" spans="1:8" x14ac:dyDescent="0.3">
      <c r="A307">
        <v>2019</v>
      </c>
      <c r="B307" t="s">
        <v>48</v>
      </c>
      <c r="C307" t="s">
        <v>267</v>
      </c>
      <c r="D307" t="s">
        <v>268</v>
      </c>
      <c r="E307" t="s">
        <v>1</v>
      </c>
      <c r="F307" t="s">
        <v>198</v>
      </c>
      <c r="G307" t="s">
        <v>202</v>
      </c>
      <c r="H307">
        <v>6</v>
      </c>
    </row>
    <row r="308" spans="1:8" x14ac:dyDescent="0.3">
      <c r="A308">
        <v>2019</v>
      </c>
      <c r="B308" t="s">
        <v>48</v>
      </c>
      <c r="C308" t="s">
        <v>267</v>
      </c>
      <c r="D308" t="s">
        <v>268</v>
      </c>
      <c r="E308" t="s">
        <v>203</v>
      </c>
      <c r="F308" t="s">
        <v>198</v>
      </c>
      <c r="G308" t="s">
        <v>202</v>
      </c>
      <c r="H308">
        <v>0</v>
      </c>
    </row>
    <row r="309" spans="1:8" x14ac:dyDescent="0.3">
      <c r="A309">
        <v>2019</v>
      </c>
      <c r="B309" t="s">
        <v>48</v>
      </c>
      <c r="C309" t="s">
        <v>267</v>
      </c>
      <c r="D309" t="s">
        <v>268</v>
      </c>
      <c r="E309" t="s">
        <v>204</v>
      </c>
      <c r="F309" t="s">
        <v>198</v>
      </c>
      <c r="G309" t="s">
        <v>202</v>
      </c>
      <c r="H309">
        <v>0</v>
      </c>
    </row>
    <row r="310" spans="1:8" x14ac:dyDescent="0.3">
      <c r="A310">
        <v>2019</v>
      </c>
      <c r="B310" t="s">
        <v>48</v>
      </c>
      <c r="C310" t="s">
        <v>267</v>
      </c>
      <c r="D310" t="s">
        <v>268</v>
      </c>
      <c r="E310" t="s">
        <v>205</v>
      </c>
      <c r="F310" t="s">
        <v>198</v>
      </c>
      <c r="G310" t="s">
        <v>202</v>
      </c>
      <c r="H310">
        <v>0</v>
      </c>
    </row>
    <row r="311" spans="1:8" x14ac:dyDescent="0.3">
      <c r="A311">
        <v>2019</v>
      </c>
      <c r="B311" t="s">
        <v>48</v>
      </c>
      <c r="C311" t="s">
        <v>267</v>
      </c>
      <c r="D311" t="s">
        <v>268</v>
      </c>
      <c r="E311" t="s">
        <v>206</v>
      </c>
      <c r="F311" t="s">
        <v>198</v>
      </c>
      <c r="G311" t="s">
        <v>202</v>
      </c>
      <c r="H311">
        <v>7</v>
      </c>
    </row>
    <row r="312" spans="1:8" x14ac:dyDescent="0.3">
      <c r="A312">
        <v>2019</v>
      </c>
      <c r="B312" t="s">
        <v>24</v>
      </c>
      <c r="C312" t="s">
        <v>267</v>
      </c>
      <c r="D312" t="s">
        <v>268</v>
      </c>
      <c r="E312" t="s">
        <v>1</v>
      </c>
      <c r="F312" t="s">
        <v>198</v>
      </c>
      <c r="G312" t="s">
        <v>202</v>
      </c>
      <c r="H312">
        <v>7</v>
      </c>
    </row>
    <row r="313" spans="1:8" x14ac:dyDescent="0.3">
      <c r="A313">
        <v>2019</v>
      </c>
      <c r="B313" t="s">
        <v>24</v>
      </c>
      <c r="C313" t="s">
        <v>267</v>
      </c>
      <c r="D313" t="s">
        <v>268</v>
      </c>
      <c r="E313" t="s">
        <v>203</v>
      </c>
      <c r="F313" t="s">
        <v>198</v>
      </c>
      <c r="G313" t="s">
        <v>202</v>
      </c>
      <c r="H313">
        <v>2</v>
      </c>
    </row>
    <row r="314" spans="1:8" x14ac:dyDescent="0.3">
      <c r="A314">
        <v>2019</v>
      </c>
      <c r="B314" t="s">
        <v>24</v>
      </c>
      <c r="C314" t="s">
        <v>267</v>
      </c>
      <c r="D314" t="s">
        <v>268</v>
      </c>
      <c r="E314" t="s">
        <v>204</v>
      </c>
      <c r="F314" t="s">
        <v>198</v>
      </c>
      <c r="G314" t="s">
        <v>202</v>
      </c>
      <c r="H314">
        <v>0</v>
      </c>
    </row>
    <row r="315" spans="1:8" x14ac:dyDescent="0.3">
      <c r="A315">
        <v>2019</v>
      </c>
      <c r="B315" t="s">
        <v>24</v>
      </c>
      <c r="C315" t="s">
        <v>267</v>
      </c>
      <c r="D315" t="s">
        <v>268</v>
      </c>
      <c r="E315" t="s">
        <v>205</v>
      </c>
      <c r="F315" t="s">
        <v>198</v>
      </c>
      <c r="G315" t="s">
        <v>202</v>
      </c>
      <c r="H315">
        <v>0</v>
      </c>
    </row>
    <row r="316" spans="1:8" x14ac:dyDescent="0.3">
      <c r="A316">
        <v>2019</v>
      </c>
      <c r="B316" t="s">
        <v>24</v>
      </c>
      <c r="C316" t="s">
        <v>267</v>
      </c>
      <c r="D316" t="s">
        <v>268</v>
      </c>
      <c r="E316" t="s">
        <v>206</v>
      </c>
      <c r="F316" t="s">
        <v>198</v>
      </c>
      <c r="G316" t="s">
        <v>202</v>
      </c>
      <c r="H316">
        <v>10.5</v>
      </c>
    </row>
    <row r="317" spans="1:8" x14ac:dyDescent="0.3">
      <c r="A317">
        <v>2019</v>
      </c>
      <c r="B317" t="s">
        <v>214</v>
      </c>
      <c r="C317" t="s">
        <v>267</v>
      </c>
      <c r="D317" t="s">
        <v>268</v>
      </c>
      <c r="E317" t="s">
        <v>1</v>
      </c>
      <c r="F317" t="s">
        <v>198</v>
      </c>
      <c r="G317" t="s">
        <v>202</v>
      </c>
      <c r="H317">
        <v>5</v>
      </c>
    </row>
    <row r="318" spans="1:8" x14ac:dyDescent="0.3">
      <c r="A318">
        <v>2019</v>
      </c>
      <c r="B318" t="s">
        <v>214</v>
      </c>
      <c r="C318" t="s">
        <v>267</v>
      </c>
      <c r="D318" t="s">
        <v>268</v>
      </c>
      <c r="E318" t="s">
        <v>203</v>
      </c>
      <c r="F318" t="s">
        <v>198</v>
      </c>
      <c r="G318" t="s">
        <v>202</v>
      </c>
      <c r="H318">
        <v>1</v>
      </c>
    </row>
    <row r="319" spans="1:8" x14ac:dyDescent="0.3">
      <c r="A319">
        <v>2019</v>
      </c>
      <c r="B319" t="s">
        <v>214</v>
      </c>
      <c r="C319" t="s">
        <v>267</v>
      </c>
      <c r="D319" t="s">
        <v>268</v>
      </c>
      <c r="E319" t="s">
        <v>204</v>
      </c>
      <c r="F319" t="s">
        <v>198</v>
      </c>
      <c r="G319" t="s">
        <v>202</v>
      </c>
      <c r="H319">
        <v>0</v>
      </c>
    </row>
    <row r="320" spans="1:8" x14ac:dyDescent="0.3">
      <c r="A320">
        <v>2019</v>
      </c>
      <c r="B320" t="s">
        <v>214</v>
      </c>
      <c r="C320" t="s">
        <v>267</v>
      </c>
      <c r="D320" t="s">
        <v>268</v>
      </c>
      <c r="E320" t="s">
        <v>205</v>
      </c>
      <c r="F320" t="s">
        <v>198</v>
      </c>
      <c r="G320" t="s">
        <v>202</v>
      </c>
      <c r="H320">
        <v>0</v>
      </c>
    </row>
    <row r="321" spans="1:8" x14ac:dyDescent="0.3">
      <c r="A321">
        <v>2019</v>
      </c>
      <c r="B321" t="s">
        <v>214</v>
      </c>
      <c r="C321" t="s">
        <v>267</v>
      </c>
      <c r="D321" t="s">
        <v>268</v>
      </c>
      <c r="E321" t="s">
        <v>206</v>
      </c>
      <c r="F321" t="s">
        <v>198</v>
      </c>
      <c r="G321" t="s">
        <v>202</v>
      </c>
      <c r="H321">
        <v>56</v>
      </c>
    </row>
    <row r="322" spans="1:8" x14ac:dyDescent="0.3">
      <c r="A322">
        <v>2019</v>
      </c>
      <c r="B322" t="s">
        <v>26</v>
      </c>
      <c r="C322" t="s">
        <v>267</v>
      </c>
      <c r="D322" t="s">
        <v>268</v>
      </c>
      <c r="E322" t="s">
        <v>1</v>
      </c>
      <c r="F322" t="s">
        <v>198</v>
      </c>
      <c r="G322" t="s">
        <v>202</v>
      </c>
      <c r="H322">
        <v>5</v>
      </c>
    </row>
    <row r="323" spans="1:8" x14ac:dyDescent="0.3">
      <c r="A323">
        <v>2019</v>
      </c>
      <c r="B323" t="s">
        <v>26</v>
      </c>
      <c r="C323" t="s">
        <v>267</v>
      </c>
      <c r="D323" t="s">
        <v>268</v>
      </c>
      <c r="E323" t="s">
        <v>203</v>
      </c>
      <c r="F323" t="s">
        <v>198</v>
      </c>
      <c r="G323" t="s">
        <v>202</v>
      </c>
      <c r="H323">
        <v>0</v>
      </c>
    </row>
    <row r="324" spans="1:8" x14ac:dyDescent="0.3">
      <c r="A324">
        <v>2019</v>
      </c>
      <c r="B324" t="s">
        <v>26</v>
      </c>
      <c r="C324" t="s">
        <v>267</v>
      </c>
      <c r="D324" t="s">
        <v>268</v>
      </c>
      <c r="E324" t="s">
        <v>204</v>
      </c>
      <c r="F324" t="s">
        <v>198</v>
      </c>
      <c r="G324" t="s">
        <v>202</v>
      </c>
      <c r="H324">
        <v>0</v>
      </c>
    </row>
    <row r="325" spans="1:8" x14ac:dyDescent="0.3">
      <c r="A325">
        <v>2019</v>
      </c>
      <c r="B325" t="s">
        <v>26</v>
      </c>
      <c r="C325" t="s">
        <v>267</v>
      </c>
      <c r="D325" t="s">
        <v>268</v>
      </c>
      <c r="E325" t="s">
        <v>205</v>
      </c>
      <c r="F325" t="s">
        <v>198</v>
      </c>
      <c r="G325" t="s">
        <v>202</v>
      </c>
      <c r="H325">
        <v>0</v>
      </c>
    </row>
    <row r="326" spans="1:8" x14ac:dyDescent="0.3">
      <c r="A326">
        <v>2019</v>
      </c>
      <c r="B326" t="s">
        <v>26</v>
      </c>
      <c r="C326" t="s">
        <v>267</v>
      </c>
      <c r="D326" t="s">
        <v>268</v>
      </c>
      <c r="E326" t="s">
        <v>206</v>
      </c>
      <c r="F326" t="s">
        <v>198</v>
      </c>
      <c r="G326" t="s">
        <v>202</v>
      </c>
      <c r="H326">
        <v>2</v>
      </c>
    </row>
    <row r="327" spans="1:8" x14ac:dyDescent="0.3">
      <c r="A327">
        <v>2019</v>
      </c>
      <c r="B327" t="s">
        <v>27</v>
      </c>
      <c r="C327" t="s">
        <v>267</v>
      </c>
      <c r="D327" t="s">
        <v>268</v>
      </c>
      <c r="E327" t="s">
        <v>1</v>
      </c>
      <c r="F327" t="s">
        <v>198</v>
      </c>
      <c r="G327" t="s">
        <v>202</v>
      </c>
      <c r="H327">
        <v>4</v>
      </c>
    </row>
    <row r="328" spans="1:8" x14ac:dyDescent="0.3">
      <c r="A328">
        <v>2019</v>
      </c>
      <c r="B328" t="s">
        <v>27</v>
      </c>
      <c r="C328" t="s">
        <v>267</v>
      </c>
      <c r="D328" t="s">
        <v>268</v>
      </c>
      <c r="E328" t="s">
        <v>203</v>
      </c>
      <c r="F328" t="s">
        <v>198</v>
      </c>
      <c r="G328" t="s">
        <v>202</v>
      </c>
      <c r="H328">
        <v>0</v>
      </c>
    </row>
    <row r="329" spans="1:8" x14ac:dyDescent="0.3">
      <c r="A329">
        <v>2019</v>
      </c>
      <c r="B329" t="s">
        <v>27</v>
      </c>
      <c r="C329" t="s">
        <v>267</v>
      </c>
      <c r="D329" t="s">
        <v>268</v>
      </c>
      <c r="E329" t="s">
        <v>204</v>
      </c>
      <c r="F329" t="s">
        <v>198</v>
      </c>
      <c r="G329" t="s">
        <v>202</v>
      </c>
      <c r="H329">
        <v>0</v>
      </c>
    </row>
    <row r="330" spans="1:8" x14ac:dyDescent="0.3">
      <c r="A330">
        <v>2019</v>
      </c>
      <c r="B330" t="s">
        <v>27</v>
      </c>
      <c r="C330" t="s">
        <v>267</v>
      </c>
      <c r="D330" t="s">
        <v>268</v>
      </c>
      <c r="E330" t="s">
        <v>205</v>
      </c>
      <c r="F330" t="s">
        <v>198</v>
      </c>
      <c r="G330" t="s">
        <v>202</v>
      </c>
      <c r="H330">
        <v>0</v>
      </c>
    </row>
    <row r="331" spans="1:8" x14ac:dyDescent="0.3">
      <c r="A331">
        <v>2019</v>
      </c>
      <c r="B331" t="s">
        <v>27</v>
      </c>
      <c r="C331" t="s">
        <v>267</v>
      </c>
      <c r="D331" t="s">
        <v>268</v>
      </c>
      <c r="E331" t="s">
        <v>206</v>
      </c>
      <c r="F331" t="s">
        <v>198</v>
      </c>
      <c r="G331" t="s">
        <v>202</v>
      </c>
      <c r="H331">
        <v>6</v>
      </c>
    </row>
    <row r="332" spans="1:8" x14ac:dyDescent="0.3">
      <c r="A332">
        <v>2019</v>
      </c>
      <c r="B332" t="s">
        <v>219</v>
      </c>
      <c r="C332" t="s">
        <v>267</v>
      </c>
      <c r="D332" t="s">
        <v>268</v>
      </c>
      <c r="E332" t="s">
        <v>1</v>
      </c>
      <c r="F332" t="s">
        <v>198</v>
      </c>
      <c r="G332" t="s">
        <v>202</v>
      </c>
    </row>
    <row r="333" spans="1:8" x14ac:dyDescent="0.3">
      <c r="A333">
        <v>2019</v>
      </c>
      <c r="B333" t="s">
        <v>219</v>
      </c>
      <c r="C333" t="s">
        <v>267</v>
      </c>
      <c r="D333" t="s">
        <v>268</v>
      </c>
      <c r="E333" t="s">
        <v>203</v>
      </c>
      <c r="F333" t="s">
        <v>198</v>
      </c>
      <c r="G333" t="s">
        <v>202</v>
      </c>
    </row>
    <row r="334" spans="1:8" x14ac:dyDescent="0.3">
      <c r="A334">
        <v>2019</v>
      </c>
      <c r="B334" t="s">
        <v>219</v>
      </c>
      <c r="C334" t="s">
        <v>267</v>
      </c>
      <c r="D334" t="s">
        <v>268</v>
      </c>
      <c r="E334" t="s">
        <v>204</v>
      </c>
      <c r="F334" t="s">
        <v>198</v>
      </c>
      <c r="G334" t="s">
        <v>202</v>
      </c>
    </row>
    <row r="335" spans="1:8" x14ac:dyDescent="0.3">
      <c r="A335">
        <v>2019</v>
      </c>
      <c r="B335" t="s">
        <v>219</v>
      </c>
      <c r="C335" t="s">
        <v>267</v>
      </c>
      <c r="D335" t="s">
        <v>268</v>
      </c>
      <c r="E335" t="s">
        <v>205</v>
      </c>
      <c r="F335" t="s">
        <v>198</v>
      </c>
      <c r="G335" t="s">
        <v>202</v>
      </c>
    </row>
    <row r="336" spans="1:8" x14ac:dyDescent="0.3">
      <c r="A336">
        <v>2019</v>
      </c>
      <c r="B336" t="s">
        <v>219</v>
      </c>
      <c r="C336" t="s">
        <v>267</v>
      </c>
      <c r="D336" t="s">
        <v>268</v>
      </c>
      <c r="E336" t="s">
        <v>206</v>
      </c>
      <c r="F336" t="s">
        <v>198</v>
      </c>
      <c r="G336" t="s">
        <v>202</v>
      </c>
    </row>
    <row r="337" spans="1:8" x14ac:dyDescent="0.3">
      <c r="A337">
        <v>2019</v>
      </c>
      <c r="B337" t="s">
        <v>46</v>
      </c>
      <c r="C337" t="s">
        <v>267</v>
      </c>
      <c r="D337" t="s">
        <v>268</v>
      </c>
      <c r="E337" t="s">
        <v>1</v>
      </c>
      <c r="F337" t="s">
        <v>198</v>
      </c>
      <c r="G337" t="s">
        <v>202</v>
      </c>
    </row>
    <row r="338" spans="1:8" x14ac:dyDescent="0.3">
      <c r="A338">
        <v>2019</v>
      </c>
      <c r="B338" t="s">
        <v>46</v>
      </c>
      <c r="C338" t="s">
        <v>267</v>
      </c>
      <c r="D338" t="s">
        <v>268</v>
      </c>
      <c r="E338" t="s">
        <v>203</v>
      </c>
      <c r="F338" t="s">
        <v>198</v>
      </c>
      <c r="G338" t="s">
        <v>202</v>
      </c>
    </row>
    <row r="339" spans="1:8" x14ac:dyDescent="0.3">
      <c r="A339">
        <v>2019</v>
      </c>
      <c r="B339" t="s">
        <v>46</v>
      </c>
      <c r="C339" t="s">
        <v>267</v>
      </c>
      <c r="D339" t="s">
        <v>268</v>
      </c>
      <c r="E339" t="s">
        <v>204</v>
      </c>
      <c r="F339" t="s">
        <v>198</v>
      </c>
      <c r="G339" t="s">
        <v>202</v>
      </c>
    </row>
    <row r="340" spans="1:8" x14ac:dyDescent="0.3">
      <c r="A340">
        <v>2019</v>
      </c>
      <c r="B340" t="s">
        <v>46</v>
      </c>
      <c r="C340" t="s">
        <v>267</v>
      </c>
      <c r="D340" t="s">
        <v>268</v>
      </c>
      <c r="E340" t="s">
        <v>205</v>
      </c>
      <c r="F340" t="s">
        <v>198</v>
      </c>
      <c r="G340" t="s">
        <v>202</v>
      </c>
    </row>
    <row r="341" spans="1:8" x14ac:dyDescent="0.3">
      <c r="A341">
        <v>2019</v>
      </c>
      <c r="B341" t="s">
        <v>46</v>
      </c>
      <c r="C341" t="s">
        <v>267</v>
      </c>
      <c r="D341" t="s">
        <v>268</v>
      </c>
      <c r="E341" t="s">
        <v>206</v>
      </c>
      <c r="F341" t="s">
        <v>198</v>
      </c>
      <c r="G341" t="s">
        <v>202</v>
      </c>
    </row>
    <row r="342" spans="1:8" x14ac:dyDescent="0.3">
      <c r="A342">
        <v>2019</v>
      </c>
      <c r="B342" t="s">
        <v>29</v>
      </c>
      <c r="C342" t="s">
        <v>267</v>
      </c>
      <c r="D342" t="s">
        <v>268</v>
      </c>
      <c r="E342" t="s">
        <v>1</v>
      </c>
      <c r="F342" t="s">
        <v>198</v>
      </c>
      <c r="G342" t="s">
        <v>202</v>
      </c>
      <c r="H342">
        <v>5</v>
      </c>
    </row>
    <row r="343" spans="1:8" x14ac:dyDescent="0.3">
      <c r="A343">
        <v>2019</v>
      </c>
      <c r="B343" t="s">
        <v>29</v>
      </c>
      <c r="C343" t="s">
        <v>267</v>
      </c>
      <c r="D343" t="s">
        <v>268</v>
      </c>
      <c r="E343" t="s">
        <v>203</v>
      </c>
      <c r="F343" t="s">
        <v>198</v>
      </c>
      <c r="G343" t="s">
        <v>202</v>
      </c>
      <c r="H343">
        <v>0</v>
      </c>
    </row>
    <row r="344" spans="1:8" x14ac:dyDescent="0.3">
      <c r="A344">
        <v>2019</v>
      </c>
      <c r="B344" t="s">
        <v>29</v>
      </c>
      <c r="C344" t="s">
        <v>267</v>
      </c>
      <c r="D344" t="s">
        <v>268</v>
      </c>
      <c r="E344" t="s">
        <v>204</v>
      </c>
      <c r="F344" t="s">
        <v>198</v>
      </c>
      <c r="G344" t="s">
        <v>202</v>
      </c>
      <c r="H344">
        <v>0</v>
      </c>
    </row>
    <row r="345" spans="1:8" x14ac:dyDescent="0.3">
      <c r="A345">
        <v>2019</v>
      </c>
      <c r="B345" t="s">
        <v>29</v>
      </c>
      <c r="C345" t="s">
        <v>267</v>
      </c>
      <c r="D345" t="s">
        <v>268</v>
      </c>
      <c r="E345" t="s">
        <v>205</v>
      </c>
      <c r="F345" t="s">
        <v>198</v>
      </c>
      <c r="G345" t="s">
        <v>202</v>
      </c>
      <c r="H345">
        <v>0</v>
      </c>
    </row>
    <row r="346" spans="1:8" x14ac:dyDescent="0.3">
      <c r="A346">
        <v>2019</v>
      </c>
      <c r="B346" t="s">
        <v>29</v>
      </c>
      <c r="C346" t="s">
        <v>267</v>
      </c>
      <c r="D346" t="s">
        <v>268</v>
      </c>
      <c r="E346" t="s">
        <v>206</v>
      </c>
      <c r="F346" t="s">
        <v>198</v>
      </c>
      <c r="G346" t="s">
        <v>202</v>
      </c>
      <c r="H346">
        <v>17</v>
      </c>
    </row>
    <row r="347" spans="1:8" x14ac:dyDescent="0.3">
      <c r="A347">
        <v>2019</v>
      </c>
      <c r="B347" t="s">
        <v>30</v>
      </c>
      <c r="C347" t="s">
        <v>267</v>
      </c>
      <c r="D347" t="s">
        <v>268</v>
      </c>
      <c r="E347" t="s">
        <v>1</v>
      </c>
      <c r="F347" t="s">
        <v>198</v>
      </c>
      <c r="G347" t="s">
        <v>202</v>
      </c>
      <c r="H347">
        <v>3</v>
      </c>
    </row>
    <row r="348" spans="1:8" x14ac:dyDescent="0.3">
      <c r="A348">
        <v>2019</v>
      </c>
      <c r="B348" t="s">
        <v>30</v>
      </c>
      <c r="C348" t="s">
        <v>267</v>
      </c>
      <c r="D348" t="s">
        <v>268</v>
      </c>
      <c r="E348" t="s">
        <v>203</v>
      </c>
      <c r="F348" t="s">
        <v>198</v>
      </c>
      <c r="G348" t="s">
        <v>202</v>
      </c>
      <c r="H348">
        <v>0</v>
      </c>
    </row>
    <row r="349" spans="1:8" x14ac:dyDescent="0.3">
      <c r="A349">
        <v>2019</v>
      </c>
      <c r="B349" t="s">
        <v>30</v>
      </c>
      <c r="C349" t="s">
        <v>267</v>
      </c>
      <c r="D349" t="s">
        <v>268</v>
      </c>
      <c r="E349" t="s">
        <v>204</v>
      </c>
      <c r="F349" t="s">
        <v>198</v>
      </c>
      <c r="G349" t="s">
        <v>202</v>
      </c>
      <c r="H349">
        <v>0</v>
      </c>
    </row>
    <row r="350" spans="1:8" x14ac:dyDescent="0.3">
      <c r="A350">
        <v>2019</v>
      </c>
      <c r="B350" t="s">
        <v>30</v>
      </c>
      <c r="C350" t="s">
        <v>267</v>
      </c>
      <c r="D350" t="s">
        <v>268</v>
      </c>
      <c r="E350" t="s">
        <v>205</v>
      </c>
      <c r="F350" t="s">
        <v>198</v>
      </c>
      <c r="G350" t="s">
        <v>202</v>
      </c>
      <c r="H350">
        <v>0</v>
      </c>
    </row>
    <row r="351" spans="1:8" x14ac:dyDescent="0.3">
      <c r="A351">
        <v>2019</v>
      </c>
      <c r="B351" t="s">
        <v>30</v>
      </c>
      <c r="C351" t="s">
        <v>267</v>
      </c>
      <c r="D351" t="s">
        <v>268</v>
      </c>
      <c r="E351" t="s">
        <v>206</v>
      </c>
      <c r="F351" t="s">
        <v>198</v>
      </c>
      <c r="G351" t="s">
        <v>202</v>
      </c>
      <c r="H351">
        <v>0</v>
      </c>
    </row>
    <row r="352" spans="1:8" x14ac:dyDescent="0.3">
      <c r="A352">
        <v>2019</v>
      </c>
      <c r="B352" t="s">
        <v>31</v>
      </c>
      <c r="C352" t="s">
        <v>267</v>
      </c>
      <c r="D352" t="s">
        <v>268</v>
      </c>
      <c r="E352" t="s">
        <v>1</v>
      </c>
      <c r="F352" t="s">
        <v>198</v>
      </c>
      <c r="G352" t="s">
        <v>202</v>
      </c>
      <c r="H352">
        <v>0</v>
      </c>
    </row>
    <row r="353" spans="1:8" x14ac:dyDescent="0.3">
      <c r="A353">
        <v>2019</v>
      </c>
      <c r="B353" t="s">
        <v>31</v>
      </c>
      <c r="C353" t="s">
        <v>267</v>
      </c>
      <c r="D353" t="s">
        <v>268</v>
      </c>
      <c r="E353" t="s">
        <v>203</v>
      </c>
      <c r="F353" t="s">
        <v>198</v>
      </c>
      <c r="G353" t="s">
        <v>202</v>
      </c>
      <c r="H353">
        <v>0</v>
      </c>
    </row>
    <row r="354" spans="1:8" x14ac:dyDescent="0.3">
      <c r="A354">
        <v>2019</v>
      </c>
      <c r="B354" t="s">
        <v>31</v>
      </c>
      <c r="C354" t="s">
        <v>267</v>
      </c>
      <c r="D354" t="s">
        <v>268</v>
      </c>
      <c r="E354" t="s">
        <v>204</v>
      </c>
      <c r="F354" t="s">
        <v>198</v>
      </c>
      <c r="G354" t="s">
        <v>202</v>
      </c>
      <c r="H354">
        <v>0</v>
      </c>
    </row>
    <row r="355" spans="1:8" x14ac:dyDescent="0.3">
      <c r="A355">
        <v>2019</v>
      </c>
      <c r="B355" t="s">
        <v>31</v>
      </c>
      <c r="C355" t="s">
        <v>267</v>
      </c>
      <c r="D355" t="s">
        <v>268</v>
      </c>
      <c r="E355" t="s">
        <v>205</v>
      </c>
      <c r="F355" t="s">
        <v>198</v>
      </c>
      <c r="G355" t="s">
        <v>202</v>
      </c>
      <c r="H355">
        <v>0</v>
      </c>
    </row>
    <row r="356" spans="1:8" x14ac:dyDescent="0.3">
      <c r="A356">
        <v>2019</v>
      </c>
      <c r="B356" t="s">
        <v>31</v>
      </c>
      <c r="C356" t="s">
        <v>267</v>
      </c>
      <c r="D356" t="s">
        <v>268</v>
      </c>
      <c r="E356" t="s">
        <v>206</v>
      </c>
      <c r="F356" t="s">
        <v>198</v>
      </c>
      <c r="G356" t="s">
        <v>202</v>
      </c>
      <c r="H356">
        <v>0</v>
      </c>
    </row>
    <row r="357" spans="1:8" x14ac:dyDescent="0.3">
      <c r="A357">
        <v>2019</v>
      </c>
      <c r="B357" t="s">
        <v>32</v>
      </c>
      <c r="C357" t="s">
        <v>267</v>
      </c>
      <c r="D357" t="s">
        <v>268</v>
      </c>
      <c r="E357" t="s">
        <v>1</v>
      </c>
      <c r="F357" t="s">
        <v>198</v>
      </c>
      <c r="G357" t="s">
        <v>202</v>
      </c>
      <c r="H357">
        <v>6</v>
      </c>
    </row>
    <row r="358" spans="1:8" x14ac:dyDescent="0.3">
      <c r="A358">
        <v>2019</v>
      </c>
      <c r="B358" t="s">
        <v>32</v>
      </c>
      <c r="C358" t="s">
        <v>267</v>
      </c>
      <c r="D358" t="s">
        <v>268</v>
      </c>
      <c r="E358" t="s">
        <v>203</v>
      </c>
      <c r="F358" t="s">
        <v>198</v>
      </c>
      <c r="G358" t="s">
        <v>202</v>
      </c>
      <c r="H358">
        <v>3</v>
      </c>
    </row>
    <row r="359" spans="1:8" x14ac:dyDescent="0.3">
      <c r="A359">
        <v>2019</v>
      </c>
      <c r="B359" t="s">
        <v>32</v>
      </c>
      <c r="C359" t="s">
        <v>267</v>
      </c>
      <c r="D359" t="s">
        <v>268</v>
      </c>
      <c r="E359" t="s">
        <v>204</v>
      </c>
      <c r="F359" t="s">
        <v>198</v>
      </c>
      <c r="G359" t="s">
        <v>202</v>
      </c>
      <c r="H359">
        <v>1</v>
      </c>
    </row>
    <row r="360" spans="1:8" x14ac:dyDescent="0.3">
      <c r="A360">
        <v>2019</v>
      </c>
      <c r="B360" t="s">
        <v>32</v>
      </c>
      <c r="C360" t="s">
        <v>267</v>
      </c>
      <c r="D360" t="s">
        <v>268</v>
      </c>
      <c r="E360" t="s">
        <v>205</v>
      </c>
      <c r="F360" t="s">
        <v>198</v>
      </c>
      <c r="G360" t="s">
        <v>202</v>
      </c>
    </row>
    <row r="361" spans="1:8" x14ac:dyDescent="0.3">
      <c r="A361">
        <v>2019</v>
      </c>
      <c r="B361" t="s">
        <v>32</v>
      </c>
      <c r="C361" t="s">
        <v>267</v>
      </c>
      <c r="D361" t="s">
        <v>268</v>
      </c>
      <c r="E361" t="s">
        <v>206</v>
      </c>
      <c r="F361" t="s">
        <v>198</v>
      </c>
      <c r="G361" t="s">
        <v>202</v>
      </c>
    </row>
    <row r="362" spans="1:8" x14ac:dyDescent="0.3">
      <c r="A362">
        <v>2019</v>
      </c>
      <c r="B362" t="s">
        <v>49</v>
      </c>
      <c r="C362" t="s">
        <v>267</v>
      </c>
      <c r="D362" t="s">
        <v>268</v>
      </c>
      <c r="E362" t="s">
        <v>1</v>
      </c>
      <c r="F362" t="s">
        <v>198</v>
      </c>
      <c r="G362" t="s">
        <v>202</v>
      </c>
      <c r="H362">
        <v>0</v>
      </c>
    </row>
    <row r="363" spans="1:8" x14ac:dyDescent="0.3">
      <c r="A363">
        <v>2019</v>
      </c>
      <c r="B363" t="s">
        <v>49</v>
      </c>
      <c r="C363" t="s">
        <v>267</v>
      </c>
      <c r="D363" t="s">
        <v>268</v>
      </c>
      <c r="E363" t="s">
        <v>203</v>
      </c>
      <c r="F363" t="s">
        <v>198</v>
      </c>
      <c r="G363" t="s">
        <v>202</v>
      </c>
      <c r="H363">
        <v>0</v>
      </c>
    </row>
    <row r="364" spans="1:8" x14ac:dyDescent="0.3">
      <c r="A364">
        <v>2019</v>
      </c>
      <c r="B364" t="s">
        <v>49</v>
      </c>
      <c r="C364" t="s">
        <v>267</v>
      </c>
      <c r="D364" t="s">
        <v>268</v>
      </c>
      <c r="E364" t="s">
        <v>204</v>
      </c>
      <c r="F364" t="s">
        <v>198</v>
      </c>
      <c r="G364" t="s">
        <v>202</v>
      </c>
      <c r="H364">
        <v>0</v>
      </c>
    </row>
    <row r="365" spans="1:8" x14ac:dyDescent="0.3">
      <c r="A365">
        <v>2019</v>
      </c>
      <c r="B365" t="s">
        <v>49</v>
      </c>
      <c r="C365" t="s">
        <v>267</v>
      </c>
      <c r="D365" t="s">
        <v>268</v>
      </c>
      <c r="E365" t="s">
        <v>205</v>
      </c>
      <c r="F365" t="s">
        <v>198</v>
      </c>
      <c r="G365" t="s">
        <v>202</v>
      </c>
      <c r="H365">
        <v>0</v>
      </c>
    </row>
    <row r="366" spans="1:8" x14ac:dyDescent="0.3">
      <c r="A366">
        <v>2019</v>
      </c>
      <c r="B366" t="s">
        <v>49</v>
      </c>
      <c r="C366" t="s">
        <v>267</v>
      </c>
      <c r="D366" t="s">
        <v>268</v>
      </c>
      <c r="E366" t="s">
        <v>206</v>
      </c>
      <c r="F366" t="s">
        <v>198</v>
      </c>
      <c r="G366" t="s">
        <v>202</v>
      </c>
      <c r="H366">
        <v>0</v>
      </c>
    </row>
    <row r="367" spans="1:8" x14ac:dyDescent="0.3">
      <c r="A367">
        <v>2019</v>
      </c>
      <c r="B367" t="s">
        <v>33</v>
      </c>
      <c r="C367" t="s">
        <v>267</v>
      </c>
      <c r="D367" t="s">
        <v>268</v>
      </c>
      <c r="E367" t="s">
        <v>1</v>
      </c>
      <c r="F367" t="s">
        <v>198</v>
      </c>
      <c r="G367" t="s">
        <v>202</v>
      </c>
      <c r="H367">
        <v>10</v>
      </c>
    </row>
    <row r="368" spans="1:8" x14ac:dyDescent="0.3">
      <c r="A368">
        <v>2019</v>
      </c>
      <c r="B368" t="s">
        <v>33</v>
      </c>
      <c r="C368" t="s">
        <v>267</v>
      </c>
      <c r="D368" t="s">
        <v>268</v>
      </c>
      <c r="E368" t="s">
        <v>203</v>
      </c>
      <c r="F368" t="s">
        <v>198</v>
      </c>
      <c r="G368" t="s">
        <v>202</v>
      </c>
      <c r="H368">
        <v>3</v>
      </c>
    </row>
    <row r="369" spans="1:8" x14ac:dyDescent="0.3">
      <c r="A369">
        <v>2019</v>
      </c>
      <c r="B369" t="s">
        <v>33</v>
      </c>
      <c r="C369" t="s">
        <v>267</v>
      </c>
      <c r="D369" t="s">
        <v>268</v>
      </c>
      <c r="E369" t="s">
        <v>204</v>
      </c>
      <c r="F369" t="s">
        <v>198</v>
      </c>
      <c r="G369" t="s">
        <v>202</v>
      </c>
      <c r="H369">
        <v>0</v>
      </c>
    </row>
    <row r="370" spans="1:8" x14ac:dyDescent="0.3">
      <c r="A370">
        <v>2019</v>
      </c>
      <c r="B370" t="s">
        <v>33</v>
      </c>
      <c r="C370" t="s">
        <v>267</v>
      </c>
      <c r="D370" t="s">
        <v>268</v>
      </c>
      <c r="E370" t="s">
        <v>205</v>
      </c>
      <c r="F370" t="s">
        <v>198</v>
      </c>
      <c r="G370" t="s">
        <v>202</v>
      </c>
      <c r="H370">
        <v>0</v>
      </c>
    </row>
    <row r="371" spans="1:8" x14ac:dyDescent="0.3">
      <c r="A371">
        <v>2019</v>
      </c>
      <c r="B371" t="s">
        <v>33</v>
      </c>
      <c r="C371" t="s">
        <v>267</v>
      </c>
      <c r="D371" t="s">
        <v>268</v>
      </c>
      <c r="E371" t="s">
        <v>206</v>
      </c>
      <c r="F371" t="s">
        <v>198</v>
      </c>
      <c r="G371" t="s">
        <v>202</v>
      </c>
      <c r="H371">
        <v>30</v>
      </c>
    </row>
    <row r="372" spans="1:8" x14ac:dyDescent="0.3">
      <c r="A372">
        <v>2019</v>
      </c>
      <c r="B372" t="s">
        <v>34</v>
      </c>
      <c r="C372" t="s">
        <v>267</v>
      </c>
      <c r="D372" t="s">
        <v>268</v>
      </c>
      <c r="E372" t="s">
        <v>1</v>
      </c>
      <c r="F372" t="s">
        <v>198</v>
      </c>
      <c r="G372" t="s">
        <v>202</v>
      </c>
      <c r="H372">
        <v>6</v>
      </c>
    </row>
    <row r="373" spans="1:8" x14ac:dyDescent="0.3">
      <c r="A373">
        <v>2019</v>
      </c>
      <c r="B373" t="s">
        <v>34</v>
      </c>
      <c r="C373" t="s">
        <v>267</v>
      </c>
      <c r="D373" t="s">
        <v>268</v>
      </c>
      <c r="E373" t="s">
        <v>203</v>
      </c>
      <c r="F373" t="s">
        <v>198</v>
      </c>
      <c r="G373" t="s">
        <v>202</v>
      </c>
      <c r="H373">
        <v>1</v>
      </c>
    </row>
    <row r="374" spans="1:8" x14ac:dyDescent="0.3">
      <c r="A374">
        <v>2019</v>
      </c>
      <c r="B374" t="s">
        <v>34</v>
      </c>
      <c r="C374" t="s">
        <v>267</v>
      </c>
      <c r="D374" t="s">
        <v>268</v>
      </c>
      <c r="E374" t="s">
        <v>204</v>
      </c>
      <c r="F374" t="s">
        <v>198</v>
      </c>
      <c r="G374" t="s">
        <v>202</v>
      </c>
      <c r="H374">
        <v>0</v>
      </c>
    </row>
    <row r="375" spans="1:8" x14ac:dyDescent="0.3">
      <c r="A375">
        <v>2019</v>
      </c>
      <c r="B375" t="s">
        <v>34</v>
      </c>
      <c r="C375" t="s">
        <v>267</v>
      </c>
      <c r="D375" t="s">
        <v>268</v>
      </c>
      <c r="E375" t="s">
        <v>205</v>
      </c>
      <c r="F375" t="s">
        <v>198</v>
      </c>
      <c r="G375" t="s">
        <v>202</v>
      </c>
      <c r="H375">
        <v>0</v>
      </c>
    </row>
    <row r="376" spans="1:8" x14ac:dyDescent="0.3">
      <c r="A376">
        <v>2019</v>
      </c>
      <c r="B376" t="s">
        <v>34</v>
      </c>
      <c r="C376" t="s">
        <v>267</v>
      </c>
      <c r="D376" t="s">
        <v>268</v>
      </c>
      <c r="E376" t="s">
        <v>206</v>
      </c>
      <c r="F376" t="s">
        <v>198</v>
      </c>
      <c r="G376" t="s">
        <v>202</v>
      </c>
      <c r="H376">
        <v>10</v>
      </c>
    </row>
    <row r="377" spans="1:8" x14ac:dyDescent="0.3">
      <c r="A377">
        <v>2019</v>
      </c>
      <c r="B377" t="s">
        <v>35</v>
      </c>
      <c r="C377" t="s">
        <v>267</v>
      </c>
      <c r="D377" t="s">
        <v>268</v>
      </c>
      <c r="E377" t="s">
        <v>1</v>
      </c>
      <c r="F377" t="s">
        <v>198</v>
      </c>
      <c r="G377" t="s">
        <v>202</v>
      </c>
      <c r="H377">
        <v>0</v>
      </c>
    </row>
    <row r="378" spans="1:8" x14ac:dyDescent="0.3">
      <c r="A378">
        <v>2019</v>
      </c>
      <c r="B378" t="s">
        <v>35</v>
      </c>
      <c r="C378" t="s">
        <v>267</v>
      </c>
      <c r="D378" t="s">
        <v>268</v>
      </c>
      <c r="E378" t="s">
        <v>203</v>
      </c>
      <c r="F378" t="s">
        <v>198</v>
      </c>
      <c r="G378" t="s">
        <v>202</v>
      </c>
      <c r="H378">
        <v>0</v>
      </c>
    </row>
    <row r="379" spans="1:8" x14ac:dyDescent="0.3">
      <c r="A379">
        <v>2019</v>
      </c>
      <c r="B379" t="s">
        <v>35</v>
      </c>
      <c r="C379" t="s">
        <v>267</v>
      </c>
      <c r="D379" t="s">
        <v>268</v>
      </c>
      <c r="E379" t="s">
        <v>204</v>
      </c>
      <c r="F379" t="s">
        <v>198</v>
      </c>
      <c r="G379" t="s">
        <v>202</v>
      </c>
      <c r="H379">
        <v>0</v>
      </c>
    </row>
    <row r="380" spans="1:8" x14ac:dyDescent="0.3">
      <c r="A380">
        <v>2019</v>
      </c>
      <c r="B380" t="s">
        <v>35</v>
      </c>
      <c r="C380" t="s">
        <v>267</v>
      </c>
      <c r="D380" t="s">
        <v>268</v>
      </c>
      <c r="E380" t="s">
        <v>205</v>
      </c>
      <c r="F380" t="s">
        <v>198</v>
      </c>
      <c r="G380" t="s">
        <v>202</v>
      </c>
      <c r="H380">
        <v>0</v>
      </c>
    </row>
    <row r="381" spans="1:8" x14ac:dyDescent="0.3">
      <c r="A381">
        <v>2019</v>
      </c>
      <c r="B381" t="s">
        <v>35</v>
      </c>
      <c r="C381" t="s">
        <v>267</v>
      </c>
      <c r="D381" t="s">
        <v>268</v>
      </c>
      <c r="E381" t="s">
        <v>206</v>
      </c>
      <c r="F381" t="s">
        <v>198</v>
      </c>
      <c r="G381" t="s">
        <v>202</v>
      </c>
    </row>
    <row r="382" spans="1:8" x14ac:dyDescent="0.3">
      <c r="A382">
        <v>2019</v>
      </c>
      <c r="B382" t="s">
        <v>36</v>
      </c>
      <c r="C382" t="s">
        <v>267</v>
      </c>
      <c r="D382" t="s">
        <v>268</v>
      </c>
      <c r="E382" t="s">
        <v>1</v>
      </c>
      <c r="F382" t="s">
        <v>198</v>
      </c>
      <c r="G382" t="s">
        <v>202</v>
      </c>
      <c r="H382">
        <v>0</v>
      </c>
    </row>
    <row r="383" spans="1:8" x14ac:dyDescent="0.3">
      <c r="A383">
        <v>2019</v>
      </c>
      <c r="B383" t="s">
        <v>36</v>
      </c>
      <c r="C383" t="s">
        <v>267</v>
      </c>
      <c r="D383" t="s">
        <v>268</v>
      </c>
      <c r="E383" t="s">
        <v>203</v>
      </c>
      <c r="F383" t="s">
        <v>198</v>
      </c>
      <c r="G383" t="s">
        <v>202</v>
      </c>
      <c r="H383">
        <v>0</v>
      </c>
    </row>
    <row r="384" spans="1:8" x14ac:dyDescent="0.3">
      <c r="A384">
        <v>2019</v>
      </c>
      <c r="B384" t="s">
        <v>36</v>
      </c>
      <c r="C384" t="s">
        <v>267</v>
      </c>
      <c r="D384" t="s">
        <v>268</v>
      </c>
      <c r="E384" t="s">
        <v>204</v>
      </c>
      <c r="F384" t="s">
        <v>198</v>
      </c>
      <c r="G384" t="s">
        <v>202</v>
      </c>
      <c r="H384">
        <v>0</v>
      </c>
    </row>
    <row r="385" spans="1:8" x14ac:dyDescent="0.3">
      <c r="A385">
        <v>2019</v>
      </c>
      <c r="B385" t="s">
        <v>36</v>
      </c>
      <c r="C385" t="s">
        <v>267</v>
      </c>
      <c r="D385" t="s">
        <v>268</v>
      </c>
      <c r="E385" t="s">
        <v>205</v>
      </c>
      <c r="F385" t="s">
        <v>198</v>
      </c>
      <c r="G385" t="s">
        <v>202</v>
      </c>
      <c r="H385">
        <v>0</v>
      </c>
    </row>
    <row r="386" spans="1:8" x14ac:dyDescent="0.3">
      <c r="A386">
        <v>2019</v>
      </c>
      <c r="B386" t="s">
        <v>36</v>
      </c>
      <c r="C386" t="s">
        <v>267</v>
      </c>
      <c r="D386" t="s">
        <v>268</v>
      </c>
      <c r="E386" t="s">
        <v>206</v>
      </c>
      <c r="F386" t="s">
        <v>198</v>
      </c>
      <c r="G386" t="s">
        <v>202</v>
      </c>
      <c r="H386">
        <v>0</v>
      </c>
    </row>
    <row r="387" spans="1:8" x14ac:dyDescent="0.3">
      <c r="A387">
        <v>2019</v>
      </c>
      <c r="B387" t="s">
        <v>37</v>
      </c>
      <c r="C387" t="s">
        <v>267</v>
      </c>
      <c r="D387" t="s">
        <v>268</v>
      </c>
      <c r="E387" t="s">
        <v>1</v>
      </c>
      <c r="F387" t="s">
        <v>198</v>
      </c>
      <c r="G387" t="s">
        <v>202</v>
      </c>
      <c r="H387">
        <v>4</v>
      </c>
    </row>
    <row r="388" spans="1:8" x14ac:dyDescent="0.3">
      <c r="A388">
        <v>2019</v>
      </c>
      <c r="B388" t="s">
        <v>37</v>
      </c>
      <c r="C388" t="s">
        <v>267</v>
      </c>
      <c r="D388" t="s">
        <v>268</v>
      </c>
      <c r="E388" t="s">
        <v>203</v>
      </c>
      <c r="F388" t="s">
        <v>198</v>
      </c>
      <c r="G388" t="s">
        <v>202</v>
      </c>
      <c r="H388">
        <v>0</v>
      </c>
    </row>
    <row r="389" spans="1:8" x14ac:dyDescent="0.3">
      <c r="A389">
        <v>2019</v>
      </c>
      <c r="B389" t="s">
        <v>37</v>
      </c>
      <c r="C389" t="s">
        <v>267</v>
      </c>
      <c r="D389" t="s">
        <v>268</v>
      </c>
      <c r="E389" t="s">
        <v>204</v>
      </c>
      <c r="F389" t="s">
        <v>198</v>
      </c>
      <c r="G389" t="s">
        <v>202</v>
      </c>
      <c r="H389">
        <v>0</v>
      </c>
    </row>
    <row r="390" spans="1:8" x14ac:dyDescent="0.3">
      <c r="A390">
        <v>2019</v>
      </c>
      <c r="B390" t="s">
        <v>37</v>
      </c>
      <c r="C390" t="s">
        <v>267</v>
      </c>
      <c r="D390" t="s">
        <v>268</v>
      </c>
      <c r="E390" t="s">
        <v>205</v>
      </c>
      <c r="F390" t="s">
        <v>198</v>
      </c>
      <c r="G390" t="s">
        <v>202</v>
      </c>
      <c r="H390">
        <v>0</v>
      </c>
    </row>
    <row r="391" spans="1:8" x14ac:dyDescent="0.3">
      <c r="A391">
        <v>2019</v>
      </c>
      <c r="B391" t="s">
        <v>37</v>
      </c>
      <c r="C391" t="s">
        <v>267</v>
      </c>
      <c r="D391" t="s">
        <v>268</v>
      </c>
      <c r="E391" t="s">
        <v>206</v>
      </c>
      <c r="F391" t="s">
        <v>198</v>
      </c>
      <c r="G391" t="s">
        <v>202</v>
      </c>
      <c r="H391">
        <v>6</v>
      </c>
    </row>
    <row r="392" spans="1:8" x14ac:dyDescent="0.3">
      <c r="A392">
        <v>2019</v>
      </c>
      <c r="B392" t="s">
        <v>38</v>
      </c>
      <c r="C392" t="s">
        <v>267</v>
      </c>
      <c r="D392" t="s">
        <v>268</v>
      </c>
      <c r="E392" t="s">
        <v>1</v>
      </c>
      <c r="F392" t="s">
        <v>198</v>
      </c>
      <c r="G392" t="s">
        <v>202</v>
      </c>
      <c r="H392">
        <v>3</v>
      </c>
    </row>
    <row r="393" spans="1:8" x14ac:dyDescent="0.3">
      <c r="A393">
        <v>2019</v>
      </c>
      <c r="B393" t="s">
        <v>38</v>
      </c>
      <c r="C393" t="s">
        <v>267</v>
      </c>
      <c r="D393" t="s">
        <v>268</v>
      </c>
      <c r="E393" t="s">
        <v>203</v>
      </c>
      <c r="F393" t="s">
        <v>198</v>
      </c>
      <c r="G393" t="s">
        <v>202</v>
      </c>
      <c r="H393">
        <v>0</v>
      </c>
    </row>
    <row r="394" spans="1:8" x14ac:dyDescent="0.3">
      <c r="A394">
        <v>2019</v>
      </c>
      <c r="B394" t="s">
        <v>38</v>
      </c>
      <c r="C394" t="s">
        <v>267</v>
      </c>
      <c r="D394" t="s">
        <v>268</v>
      </c>
      <c r="E394" t="s">
        <v>204</v>
      </c>
      <c r="F394" t="s">
        <v>198</v>
      </c>
      <c r="G394" t="s">
        <v>202</v>
      </c>
      <c r="H394">
        <v>0</v>
      </c>
    </row>
    <row r="395" spans="1:8" x14ac:dyDescent="0.3">
      <c r="A395">
        <v>2019</v>
      </c>
      <c r="B395" t="s">
        <v>38</v>
      </c>
      <c r="C395" t="s">
        <v>267</v>
      </c>
      <c r="D395" t="s">
        <v>268</v>
      </c>
      <c r="E395" t="s">
        <v>205</v>
      </c>
      <c r="F395" t="s">
        <v>198</v>
      </c>
      <c r="G395" t="s">
        <v>202</v>
      </c>
      <c r="H395">
        <v>0</v>
      </c>
    </row>
    <row r="396" spans="1:8" x14ac:dyDescent="0.3">
      <c r="A396">
        <v>2019</v>
      </c>
      <c r="B396" t="s">
        <v>38</v>
      </c>
      <c r="C396" t="s">
        <v>267</v>
      </c>
      <c r="D396" t="s">
        <v>268</v>
      </c>
      <c r="E396" t="s">
        <v>206</v>
      </c>
      <c r="F396" t="s">
        <v>198</v>
      </c>
      <c r="G396" t="s">
        <v>202</v>
      </c>
      <c r="H396">
        <v>1</v>
      </c>
    </row>
    <row r="397" spans="1:8" x14ac:dyDescent="0.3">
      <c r="A397">
        <v>2019</v>
      </c>
      <c r="B397" t="s">
        <v>39</v>
      </c>
      <c r="C397" t="s">
        <v>267</v>
      </c>
      <c r="D397" t="s">
        <v>268</v>
      </c>
      <c r="E397" t="s">
        <v>1</v>
      </c>
      <c r="F397" t="s">
        <v>198</v>
      </c>
      <c r="G397" t="s">
        <v>202</v>
      </c>
      <c r="H397">
        <v>3</v>
      </c>
    </row>
    <row r="398" spans="1:8" x14ac:dyDescent="0.3">
      <c r="A398">
        <v>2019</v>
      </c>
      <c r="B398" t="s">
        <v>39</v>
      </c>
      <c r="C398" t="s">
        <v>267</v>
      </c>
      <c r="D398" t="s">
        <v>268</v>
      </c>
      <c r="E398" t="s">
        <v>203</v>
      </c>
      <c r="F398" t="s">
        <v>198</v>
      </c>
      <c r="G398" t="s">
        <v>202</v>
      </c>
      <c r="H398">
        <v>0</v>
      </c>
    </row>
    <row r="399" spans="1:8" x14ac:dyDescent="0.3">
      <c r="A399">
        <v>2019</v>
      </c>
      <c r="B399" t="s">
        <v>39</v>
      </c>
      <c r="C399" t="s">
        <v>267</v>
      </c>
      <c r="D399" t="s">
        <v>268</v>
      </c>
      <c r="E399" t="s">
        <v>204</v>
      </c>
      <c r="F399" t="s">
        <v>198</v>
      </c>
      <c r="G399" t="s">
        <v>202</v>
      </c>
      <c r="H399">
        <v>1</v>
      </c>
    </row>
    <row r="400" spans="1:8" x14ac:dyDescent="0.3">
      <c r="A400">
        <v>2019</v>
      </c>
      <c r="B400" t="s">
        <v>39</v>
      </c>
      <c r="C400" t="s">
        <v>267</v>
      </c>
      <c r="D400" t="s">
        <v>268</v>
      </c>
      <c r="E400" t="s">
        <v>205</v>
      </c>
      <c r="F400" t="s">
        <v>198</v>
      </c>
      <c r="G400" t="s">
        <v>202</v>
      </c>
      <c r="H400">
        <v>0</v>
      </c>
    </row>
    <row r="401" spans="1:8" x14ac:dyDescent="0.3">
      <c r="A401">
        <v>2019</v>
      </c>
      <c r="B401" t="s">
        <v>39</v>
      </c>
      <c r="C401" t="s">
        <v>267</v>
      </c>
      <c r="D401" t="s">
        <v>268</v>
      </c>
      <c r="E401" t="s">
        <v>206</v>
      </c>
      <c r="F401" t="s">
        <v>198</v>
      </c>
      <c r="G401" t="s">
        <v>202</v>
      </c>
      <c r="H401">
        <v>125</v>
      </c>
    </row>
    <row r="402" spans="1:8" x14ac:dyDescent="0.3">
      <c r="A402">
        <v>2019</v>
      </c>
      <c r="B402" t="s">
        <v>50</v>
      </c>
      <c r="C402" t="s">
        <v>267</v>
      </c>
      <c r="D402" t="s">
        <v>268</v>
      </c>
      <c r="E402" t="s">
        <v>1</v>
      </c>
      <c r="F402" t="s">
        <v>198</v>
      </c>
      <c r="G402" t="s">
        <v>202</v>
      </c>
      <c r="H402">
        <v>1</v>
      </c>
    </row>
    <row r="403" spans="1:8" x14ac:dyDescent="0.3">
      <c r="A403">
        <v>2019</v>
      </c>
      <c r="B403" t="s">
        <v>50</v>
      </c>
      <c r="C403" t="s">
        <v>267</v>
      </c>
      <c r="D403" t="s">
        <v>268</v>
      </c>
      <c r="E403" t="s">
        <v>203</v>
      </c>
      <c r="F403" t="s">
        <v>198</v>
      </c>
      <c r="G403" t="s">
        <v>202</v>
      </c>
      <c r="H403">
        <v>0</v>
      </c>
    </row>
    <row r="404" spans="1:8" x14ac:dyDescent="0.3">
      <c r="A404">
        <v>2019</v>
      </c>
      <c r="B404" t="s">
        <v>50</v>
      </c>
      <c r="C404" t="s">
        <v>267</v>
      </c>
      <c r="D404" t="s">
        <v>268</v>
      </c>
      <c r="E404" t="s">
        <v>204</v>
      </c>
      <c r="F404" t="s">
        <v>198</v>
      </c>
      <c r="G404" t="s">
        <v>202</v>
      </c>
      <c r="H404">
        <v>0</v>
      </c>
    </row>
    <row r="405" spans="1:8" x14ac:dyDescent="0.3">
      <c r="A405">
        <v>2019</v>
      </c>
      <c r="B405" t="s">
        <v>50</v>
      </c>
      <c r="C405" t="s">
        <v>267</v>
      </c>
      <c r="D405" t="s">
        <v>268</v>
      </c>
      <c r="E405" t="s">
        <v>205</v>
      </c>
      <c r="F405" t="s">
        <v>198</v>
      </c>
      <c r="G405" t="s">
        <v>202</v>
      </c>
      <c r="H405">
        <v>0</v>
      </c>
    </row>
    <row r="406" spans="1:8" x14ac:dyDescent="0.3">
      <c r="A406">
        <v>2019</v>
      </c>
      <c r="B406" t="s">
        <v>50</v>
      </c>
      <c r="C406" t="s">
        <v>267</v>
      </c>
      <c r="D406" t="s">
        <v>268</v>
      </c>
      <c r="E406" t="s">
        <v>206</v>
      </c>
      <c r="F406" t="s">
        <v>198</v>
      </c>
      <c r="G406" t="s">
        <v>202</v>
      </c>
      <c r="H406">
        <v>0</v>
      </c>
    </row>
    <row r="407" spans="1:8" x14ac:dyDescent="0.3">
      <c r="A407">
        <v>2019</v>
      </c>
      <c r="B407" t="s">
        <v>40</v>
      </c>
      <c r="C407" t="s">
        <v>267</v>
      </c>
      <c r="D407" t="s">
        <v>268</v>
      </c>
      <c r="E407" t="s">
        <v>1</v>
      </c>
      <c r="F407" t="s">
        <v>198</v>
      </c>
      <c r="G407" t="s">
        <v>202</v>
      </c>
      <c r="H407">
        <v>5</v>
      </c>
    </row>
    <row r="408" spans="1:8" x14ac:dyDescent="0.3">
      <c r="A408">
        <v>2019</v>
      </c>
      <c r="B408" t="s">
        <v>40</v>
      </c>
      <c r="C408" t="s">
        <v>267</v>
      </c>
      <c r="D408" t="s">
        <v>268</v>
      </c>
      <c r="E408" t="s">
        <v>203</v>
      </c>
      <c r="F408" t="s">
        <v>198</v>
      </c>
      <c r="G408" t="s">
        <v>202</v>
      </c>
      <c r="H408">
        <v>1</v>
      </c>
    </row>
    <row r="409" spans="1:8" x14ac:dyDescent="0.3">
      <c r="A409">
        <v>2019</v>
      </c>
      <c r="B409" t="s">
        <v>40</v>
      </c>
      <c r="C409" t="s">
        <v>267</v>
      </c>
      <c r="D409" t="s">
        <v>268</v>
      </c>
      <c r="E409" t="s">
        <v>204</v>
      </c>
      <c r="F409" t="s">
        <v>198</v>
      </c>
      <c r="G409" t="s">
        <v>202</v>
      </c>
      <c r="H409">
        <v>0</v>
      </c>
    </row>
    <row r="410" spans="1:8" x14ac:dyDescent="0.3">
      <c r="A410">
        <v>2019</v>
      </c>
      <c r="B410" t="s">
        <v>40</v>
      </c>
      <c r="C410" t="s">
        <v>267</v>
      </c>
      <c r="D410" t="s">
        <v>268</v>
      </c>
      <c r="E410" t="s">
        <v>205</v>
      </c>
      <c r="F410" t="s">
        <v>198</v>
      </c>
      <c r="G410" t="s">
        <v>202</v>
      </c>
      <c r="H410">
        <v>0</v>
      </c>
    </row>
    <row r="411" spans="1:8" x14ac:dyDescent="0.3">
      <c r="A411">
        <v>2019</v>
      </c>
      <c r="B411" t="s">
        <v>40</v>
      </c>
      <c r="C411" t="s">
        <v>267</v>
      </c>
      <c r="D411" t="s">
        <v>268</v>
      </c>
      <c r="E411" t="s">
        <v>206</v>
      </c>
      <c r="F411" t="s">
        <v>198</v>
      </c>
      <c r="G411" t="s">
        <v>202</v>
      </c>
      <c r="H411">
        <v>62</v>
      </c>
    </row>
    <row r="412" spans="1:8" x14ac:dyDescent="0.3">
      <c r="A412">
        <v>2019</v>
      </c>
      <c r="B412" t="s">
        <v>41</v>
      </c>
      <c r="C412" t="s">
        <v>267</v>
      </c>
      <c r="D412" t="s">
        <v>268</v>
      </c>
      <c r="E412" t="s">
        <v>1</v>
      </c>
      <c r="F412" t="s">
        <v>198</v>
      </c>
      <c r="G412" t="s">
        <v>202</v>
      </c>
      <c r="H412">
        <v>3</v>
      </c>
    </row>
    <row r="413" spans="1:8" x14ac:dyDescent="0.3">
      <c r="A413">
        <v>2019</v>
      </c>
      <c r="B413" t="s">
        <v>41</v>
      </c>
      <c r="C413" t="s">
        <v>267</v>
      </c>
      <c r="D413" t="s">
        <v>268</v>
      </c>
      <c r="E413" t="s">
        <v>203</v>
      </c>
      <c r="F413" t="s">
        <v>198</v>
      </c>
      <c r="G413" t="s">
        <v>202</v>
      </c>
      <c r="H413">
        <v>0</v>
      </c>
    </row>
    <row r="414" spans="1:8" x14ac:dyDescent="0.3">
      <c r="A414">
        <v>2019</v>
      </c>
      <c r="B414" t="s">
        <v>41</v>
      </c>
      <c r="C414" t="s">
        <v>267</v>
      </c>
      <c r="D414" t="s">
        <v>268</v>
      </c>
      <c r="E414" t="s">
        <v>204</v>
      </c>
      <c r="F414" t="s">
        <v>198</v>
      </c>
      <c r="G414" t="s">
        <v>202</v>
      </c>
      <c r="H414">
        <v>0</v>
      </c>
    </row>
    <row r="415" spans="1:8" x14ac:dyDescent="0.3">
      <c r="A415">
        <v>2019</v>
      </c>
      <c r="B415" t="s">
        <v>41</v>
      </c>
      <c r="C415" t="s">
        <v>267</v>
      </c>
      <c r="D415" t="s">
        <v>268</v>
      </c>
      <c r="E415" t="s">
        <v>205</v>
      </c>
      <c r="F415" t="s">
        <v>198</v>
      </c>
      <c r="G415" t="s">
        <v>202</v>
      </c>
      <c r="H415">
        <v>0</v>
      </c>
    </row>
    <row r="416" spans="1:8" x14ac:dyDescent="0.3">
      <c r="A416">
        <v>2019</v>
      </c>
      <c r="B416" t="s">
        <v>41</v>
      </c>
      <c r="C416" t="s">
        <v>267</v>
      </c>
      <c r="D416" t="s">
        <v>268</v>
      </c>
      <c r="E416" t="s">
        <v>206</v>
      </c>
      <c r="F416" t="s">
        <v>198</v>
      </c>
      <c r="G416" t="s">
        <v>202</v>
      </c>
      <c r="H416">
        <v>0</v>
      </c>
    </row>
    <row r="417" spans="1:8" x14ac:dyDescent="0.3">
      <c r="A417">
        <v>2019</v>
      </c>
      <c r="B417" t="s">
        <v>42</v>
      </c>
      <c r="C417" t="s">
        <v>267</v>
      </c>
      <c r="D417" t="s">
        <v>268</v>
      </c>
      <c r="E417" t="s">
        <v>1</v>
      </c>
      <c r="F417" t="s">
        <v>198</v>
      </c>
      <c r="G417" t="s">
        <v>202</v>
      </c>
      <c r="H417">
        <v>1</v>
      </c>
    </row>
    <row r="418" spans="1:8" x14ac:dyDescent="0.3">
      <c r="A418">
        <v>2019</v>
      </c>
      <c r="B418" t="s">
        <v>42</v>
      </c>
      <c r="C418" t="s">
        <v>267</v>
      </c>
      <c r="D418" t="s">
        <v>268</v>
      </c>
      <c r="E418" t="s">
        <v>203</v>
      </c>
      <c r="F418" t="s">
        <v>198</v>
      </c>
      <c r="G418" t="s">
        <v>202</v>
      </c>
      <c r="H418">
        <v>1</v>
      </c>
    </row>
    <row r="419" spans="1:8" x14ac:dyDescent="0.3">
      <c r="A419">
        <v>2019</v>
      </c>
      <c r="B419" t="s">
        <v>42</v>
      </c>
      <c r="C419" t="s">
        <v>267</v>
      </c>
      <c r="D419" t="s">
        <v>268</v>
      </c>
      <c r="E419" t="s">
        <v>204</v>
      </c>
      <c r="F419" t="s">
        <v>198</v>
      </c>
      <c r="G419" t="s">
        <v>202</v>
      </c>
      <c r="H419">
        <v>0</v>
      </c>
    </row>
    <row r="420" spans="1:8" x14ac:dyDescent="0.3">
      <c r="A420">
        <v>2019</v>
      </c>
      <c r="B420" t="s">
        <v>42</v>
      </c>
      <c r="C420" t="s">
        <v>267</v>
      </c>
      <c r="D420" t="s">
        <v>268</v>
      </c>
      <c r="E420" t="s">
        <v>205</v>
      </c>
      <c r="F420" t="s">
        <v>198</v>
      </c>
      <c r="G420" t="s">
        <v>202</v>
      </c>
      <c r="H420">
        <v>0</v>
      </c>
    </row>
    <row r="421" spans="1:8" x14ac:dyDescent="0.3">
      <c r="A421">
        <v>2019</v>
      </c>
      <c r="B421" t="s">
        <v>42</v>
      </c>
      <c r="C421" t="s">
        <v>267</v>
      </c>
      <c r="D421" t="s">
        <v>268</v>
      </c>
      <c r="E421" t="s">
        <v>206</v>
      </c>
      <c r="F421" t="s">
        <v>198</v>
      </c>
      <c r="G421" t="s">
        <v>202</v>
      </c>
      <c r="H421">
        <v>0</v>
      </c>
    </row>
    <row r="422" spans="1:8" x14ac:dyDescent="0.3">
      <c r="A422">
        <v>2019</v>
      </c>
      <c r="B422" t="s">
        <v>215</v>
      </c>
      <c r="C422" t="s">
        <v>267</v>
      </c>
      <c r="D422" t="s">
        <v>268</v>
      </c>
      <c r="E422" t="s">
        <v>1</v>
      </c>
      <c r="F422" t="s">
        <v>198</v>
      </c>
      <c r="G422" t="s">
        <v>202</v>
      </c>
      <c r="H422">
        <v>0</v>
      </c>
    </row>
    <row r="423" spans="1:8" x14ac:dyDescent="0.3">
      <c r="A423">
        <v>2019</v>
      </c>
      <c r="B423" t="s">
        <v>215</v>
      </c>
      <c r="C423" t="s">
        <v>267</v>
      </c>
      <c r="D423" t="s">
        <v>268</v>
      </c>
      <c r="E423" t="s">
        <v>203</v>
      </c>
      <c r="F423" t="s">
        <v>198</v>
      </c>
      <c r="G423" t="s">
        <v>202</v>
      </c>
      <c r="H423">
        <v>0</v>
      </c>
    </row>
    <row r="424" spans="1:8" x14ac:dyDescent="0.3">
      <c r="A424">
        <v>2019</v>
      </c>
      <c r="B424" t="s">
        <v>215</v>
      </c>
      <c r="C424" t="s">
        <v>267</v>
      </c>
      <c r="D424" t="s">
        <v>268</v>
      </c>
      <c r="E424" t="s">
        <v>204</v>
      </c>
      <c r="F424" t="s">
        <v>198</v>
      </c>
      <c r="G424" t="s">
        <v>202</v>
      </c>
      <c r="H424">
        <v>0</v>
      </c>
    </row>
    <row r="425" spans="1:8" x14ac:dyDescent="0.3">
      <c r="A425">
        <v>2019</v>
      </c>
      <c r="B425" t="s">
        <v>215</v>
      </c>
      <c r="C425" t="s">
        <v>267</v>
      </c>
      <c r="D425" t="s">
        <v>268</v>
      </c>
      <c r="E425" t="s">
        <v>205</v>
      </c>
      <c r="F425" t="s">
        <v>198</v>
      </c>
      <c r="G425" t="s">
        <v>202</v>
      </c>
      <c r="H425">
        <v>0</v>
      </c>
    </row>
    <row r="426" spans="1:8" x14ac:dyDescent="0.3">
      <c r="A426">
        <v>2019</v>
      </c>
      <c r="B426" t="s">
        <v>215</v>
      </c>
      <c r="C426" t="s">
        <v>267</v>
      </c>
      <c r="D426" t="s">
        <v>268</v>
      </c>
      <c r="E426" t="s">
        <v>206</v>
      </c>
      <c r="F426" t="s">
        <v>198</v>
      </c>
      <c r="G426" t="s">
        <v>202</v>
      </c>
      <c r="H426">
        <v>0</v>
      </c>
    </row>
    <row r="427" spans="1:8" x14ac:dyDescent="0.3">
      <c r="A427">
        <v>2019</v>
      </c>
      <c r="B427" t="s">
        <v>43</v>
      </c>
      <c r="C427" t="s">
        <v>267</v>
      </c>
      <c r="D427" t="s">
        <v>268</v>
      </c>
      <c r="E427" t="s">
        <v>1</v>
      </c>
      <c r="F427" t="s">
        <v>198</v>
      </c>
      <c r="G427" t="s">
        <v>202</v>
      </c>
      <c r="H427">
        <v>1</v>
      </c>
    </row>
    <row r="428" spans="1:8" x14ac:dyDescent="0.3">
      <c r="A428">
        <v>2019</v>
      </c>
      <c r="B428" t="s">
        <v>43</v>
      </c>
      <c r="C428" t="s">
        <v>267</v>
      </c>
      <c r="D428" t="s">
        <v>268</v>
      </c>
      <c r="E428" t="s">
        <v>203</v>
      </c>
      <c r="F428" t="s">
        <v>198</v>
      </c>
      <c r="G428" t="s">
        <v>202</v>
      </c>
      <c r="H428">
        <v>0</v>
      </c>
    </row>
    <row r="429" spans="1:8" x14ac:dyDescent="0.3">
      <c r="A429">
        <v>2019</v>
      </c>
      <c r="B429" t="s">
        <v>43</v>
      </c>
      <c r="C429" t="s">
        <v>267</v>
      </c>
      <c r="D429" t="s">
        <v>268</v>
      </c>
      <c r="E429" t="s">
        <v>204</v>
      </c>
      <c r="F429" t="s">
        <v>198</v>
      </c>
      <c r="G429" t="s">
        <v>202</v>
      </c>
      <c r="H429">
        <v>0</v>
      </c>
    </row>
    <row r="430" spans="1:8" x14ac:dyDescent="0.3">
      <c r="A430">
        <v>2019</v>
      </c>
      <c r="B430" t="s">
        <v>43</v>
      </c>
      <c r="C430" t="s">
        <v>267</v>
      </c>
      <c r="D430" t="s">
        <v>268</v>
      </c>
      <c r="E430" t="s">
        <v>205</v>
      </c>
      <c r="F430" t="s">
        <v>198</v>
      </c>
      <c r="G430" t="s">
        <v>202</v>
      </c>
      <c r="H430">
        <v>0</v>
      </c>
    </row>
    <row r="431" spans="1:8" x14ac:dyDescent="0.3">
      <c r="A431">
        <v>2019</v>
      </c>
      <c r="B431" t="s">
        <v>43</v>
      </c>
      <c r="C431" t="s">
        <v>267</v>
      </c>
      <c r="D431" t="s">
        <v>268</v>
      </c>
      <c r="E431" t="s">
        <v>206</v>
      </c>
      <c r="F431" t="s">
        <v>198</v>
      </c>
      <c r="G431" t="s">
        <v>202</v>
      </c>
      <c r="H431">
        <v>0</v>
      </c>
    </row>
    <row r="432" spans="1:8" x14ac:dyDescent="0.3">
      <c r="A432">
        <v>2019</v>
      </c>
      <c r="B432" t="s">
        <v>52</v>
      </c>
      <c r="C432" t="s">
        <v>267</v>
      </c>
      <c r="D432" t="s">
        <v>268</v>
      </c>
      <c r="E432" t="s">
        <v>1</v>
      </c>
      <c r="F432" t="s">
        <v>198</v>
      </c>
      <c r="G432" t="s">
        <v>202</v>
      </c>
      <c r="H432">
        <v>0</v>
      </c>
    </row>
    <row r="433" spans="1:8" x14ac:dyDescent="0.3">
      <c r="A433">
        <v>2019</v>
      </c>
      <c r="B433" t="s">
        <v>52</v>
      </c>
      <c r="C433" t="s">
        <v>267</v>
      </c>
      <c r="D433" t="s">
        <v>268</v>
      </c>
      <c r="E433" t="s">
        <v>203</v>
      </c>
      <c r="F433" t="s">
        <v>198</v>
      </c>
      <c r="G433" t="s">
        <v>202</v>
      </c>
      <c r="H433">
        <v>0</v>
      </c>
    </row>
    <row r="434" spans="1:8" x14ac:dyDescent="0.3">
      <c r="A434">
        <v>2019</v>
      </c>
      <c r="B434" t="s">
        <v>52</v>
      </c>
      <c r="C434" t="s">
        <v>267</v>
      </c>
      <c r="D434" t="s">
        <v>268</v>
      </c>
      <c r="E434" t="s">
        <v>204</v>
      </c>
      <c r="F434" t="s">
        <v>198</v>
      </c>
      <c r="G434" t="s">
        <v>202</v>
      </c>
      <c r="H434">
        <v>0</v>
      </c>
    </row>
    <row r="435" spans="1:8" x14ac:dyDescent="0.3">
      <c r="A435">
        <v>2019</v>
      </c>
      <c r="B435" t="s">
        <v>52</v>
      </c>
      <c r="C435" t="s">
        <v>267</v>
      </c>
      <c r="D435" t="s">
        <v>268</v>
      </c>
      <c r="E435" t="s">
        <v>205</v>
      </c>
      <c r="F435" t="s">
        <v>198</v>
      </c>
      <c r="G435" t="s">
        <v>202</v>
      </c>
      <c r="H435">
        <v>0</v>
      </c>
    </row>
    <row r="436" spans="1:8" x14ac:dyDescent="0.3">
      <c r="A436">
        <v>2019</v>
      </c>
      <c r="B436" t="s">
        <v>52</v>
      </c>
      <c r="C436" t="s">
        <v>267</v>
      </c>
      <c r="D436" t="s">
        <v>268</v>
      </c>
      <c r="E436" t="s">
        <v>206</v>
      </c>
      <c r="F436" t="s">
        <v>198</v>
      </c>
      <c r="G436" t="s">
        <v>202</v>
      </c>
      <c r="H436">
        <v>0</v>
      </c>
    </row>
    <row r="437" spans="1:8" x14ac:dyDescent="0.3">
      <c r="A437">
        <v>2019</v>
      </c>
      <c r="B437" t="s">
        <v>44</v>
      </c>
      <c r="C437" t="s">
        <v>267</v>
      </c>
      <c r="D437" t="s">
        <v>268</v>
      </c>
      <c r="E437" t="s">
        <v>1</v>
      </c>
      <c r="F437" t="s">
        <v>198</v>
      </c>
      <c r="G437" t="s">
        <v>202</v>
      </c>
      <c r="H437">
        <v>5</v>
      </c>
    </row>
    <row r="438" spans="1:8" x14ac:dyDescent="0.3">
      <c r="A438">
        <v>2019</v>
      </c>
      <c r="B438" t="s">
        <v>44</v>
      </c>
      <c r="C438" t="s">
        <v>267</v>
      </c>
      <c r="D438" t="s">
        <v>268</v>
      </c>
      <c r="E438" t="s">
        <v>203</v>
      </c>
      <c r="F438" t="s">
        <v>198</v>
      </c>
      <c r="G438" t="s">
        <v>202</v>
      </c>
      <c r="H438">
        <v>2</v>
      </c>
    </row>
    <row r="439" spans="1:8" x14ac:dyDescent="0.3">
      <c r="A439">
        <v>2019</v>
      </c>
      <c r="B439" t="s">
        <v>44</v>
      </c>
      <c r="C439" t="s">
        <v>267</v>
      </c>
      <c r="D439" t="s">
        <v>268</v>
      </c>
      <c r="E439" t="s">
        <v>204</v>
      </c>
      <c r="F439" t="s">
        <v>198</v>
      </c>
      <c r="G439" t="s">
        <v>202</v>
      </c>
      <c r="H439">
        <v>1</v>
      </c>
    </row>
    <row r="440" spans="1:8" x14ac:dyDescent="0.3">
      <c r="A440">
        <v>2019</v>
      </c>
      <c r="B440" t="s">
        <v>44</v>
      </c>
      <c r="C440" t="s">
        <v>267</v>
      </c>
      <c r="D440" t="s">
        <v>268</v>
      </c>
      <c r="E440" t="s">
        <v>205</v>
      </c>
      <c r="F440" t="s">
        <v>198</v>
      </c>
      <c r="G440" t="s">
        <v>202</v>
      </c>
      <c r="H440">
        <v>0</v>
      </c>
    </row>
    <row r="441" spans="1:8" x14ac:dyDescent="0.3">
      <c r="A441">
        <v>2019</v>
      </c>
      <c r="B441" t="s">
        <v>44</v>
      </c>
      <c r="C441" t="s">
        <v>267</v>
      </c>
      <c r="D441" t="s">
        <v>268</v>
      </c>
      <c r="E441" t="s">
        <v>206</v>
      </c>
      <c r="F441" t="s">
        <v>198</v>
      </c>
      <c r="G441" t="s">
        <v>202</v>
      </c>
      <c r="H441">
        <v>135</v>
      </c>
    </row>
    <row r="442" spans="1:8" x14ac:dyDescent="0.3">
      <c r="A442">
        <v>2019</v>
      </c>
      <c r="B442" t="s">
        <v>53</v>
      </c>
      <c r="C442" t="s">
        <v>267</v>
      </c>
      <c r="D442" t="s">
        <v>268</v>
      </c>
      <c r="E442" t="s">
        <v>1</v>
      </c>
      <c r="F442" t="s">
        <v>198</v>
      </c>
      <c r="G442" t="s">
        <v>202</v>
      </c>
      <c r="H442">
        <v>1</v>
      </c>
    </row>
    <row r="443" spans="1:8" x14ac:dyDescent="0.3">
      <c r="A443">
        <v>2019</v>
      </c>
      <c r="B443" t="s">
        <v>53</v>
      </c>
      <c r="C443" t="s">
        <v>267</v>
      </c>
      <c r="D443" t="s">
        <v>268</v>
      </c>
      <c r="E443" t="s">
        <v>203</v>
      </c>
      <c r="F443" t="s">
        <v>198</v>
      </c>
      <c r="G443" t="s">
        <v>202</v>
      </c>
      <c r="H443">
        <v>0</v>
      </c>
    </row>
    <row r="444" spans="1:8" x14ac:dyDescent="0.3">
      <c r="A444">
        <v>2019</v>
      </c>
      <c r="B444" t="s">
        <v>53</v>
      </c>
      <c r="C444" t="s">
        <v>267</v>
      </c>
      <c r="D444" t="s">
        <v>268</v>
      </c>
      <c r="E444" t="s">
        <v>204</v>
      </c>
      <c r="F444" t="s">
        <v>198</v>
      </c>
      <c r="G444" t="s">
        <v>202</v>
      </c>
      <c r="H444">
        <v>0</v>
      </c>
    </row>
    <row r="445" spans="1:8" x14ac:dyDescent="0.3">
      <c r="A445">
        <v>2019</v>
      </c>
      <c r="B445" t="s">
        <v>53</v>
      </c>
      <c r="C445" t="s">
        <v>267</v>
      </c>
      <c r="D445" t="s">
        <v>268</v>
      </c>
      <c r="E445" t="s">
        <v>205</v>
      </c>
      <c r="F445" t="s">
        <v>198</v>
      </c>
      <c r="G445" t="s">
        <v>202</v>
      </c>
      <c r="H445">
        <v>0</v>
      </c>
    </row>
    <row r="446" spans="1:8" x14ac:dyDescent="0.3">
      <c r="A446">
        <v>2019</v>
      </c>
      <c r="B446" t="s">
        <v>53</v>
      </c>
      <c r="C446" t="s">
        <v>267</v>
      </c>
      <c r="D446" t="s">
        <v>268</v>
      </c>
      <c r="E446" t="s">
        <v>206</v>
      </c>
      <c r="F446" t="s">
        <v>198</v>
      </c>
      <c r="G446" t="s">
        <v>202</v>
      </c>
      <c r="H446">
        <v>6</v>
      </c>
    </row>
    <row r="447" spans="1:8" x14ac:dyDescent="0.3">
      <c r="A447">
        <v>2019</v>
      </c>
      <c r="B447" t="s">
        <v>197</v>
      </c>
      <c r="C447" t="s">
        <v>267</v>
      </c>
      <c r="D447" t="s">
        <v>268</v>
      </c>
      <c r="E447" t="s">
        <v>1</v>
      </c>
      <c r="F447" t="s">
        <v>198</v>
      </c>
      <c r="G447" t="s">
        <v>202</v>
      </c>
      <c r="H447">
        <v>15</v>
      </c>
    </row>
    <row r="448" spans="1:8" x14ac:dyDescent="0.3">
      <c r="A448">
        <v>2019</v>
      </c>
      <c r="B448" t="s">
        <v>197</v>
      </c>
      <c r="C448" t="s">
        <v>267</v>
      </c>
      <c r="D448" t="s">
        <v>268</v>
      </c>
      <c r="E448" t="s">
        <v>203</v>
      </c>
      <c r="F448" t="s">
        <v>198</v>
      </c>
      <c r="G448" t="s">
        <v>202</v>
      </c>
      <c r="H448">
        <v>4</v>
      </c>
    </row>
    <row r="449" spans="1:8" x14ac:dyDescent="0.3">
      <c r="A449">
        <v>2019</v>
      </c>
      <c r="B449" t="s">
        <v>197</v>
      </c>
      <c r="C449" t="s">
        <v>267</v>
      </c>
      <c r="D449" t="s">
        <v>268</v>
      </c>
      <c r="E449" t="s">
        <v>204</v>
      </c>
      <c r="F449" t="s">
        <v>198</v>
      </c>
      <c r="G449" t="s">
        <v>202</v>
      </c>
      <c r="H449">
        <v>0</v>
      </c>
    </row>
    <row r="450" spans="1:8" x14ac:dyDescent="0.3">
      <c r="A450">
        <v>2019</v>
      </c>
      <c r="B450" t="s">
        <v>197</v>
      </c>
      <c r="C450" t="s">
        <v>267</v>
      </c>
      <c r="D450" t="s">
        <v>268</v>
      </c>
      <c r="E450" t="s">
        <v>205</v>
      </c>
      <c r="F450" t="s">
        <v>198</v>
      </c>
      <c r="G450" t="s">
        <v>202</v>
      </c>
      <c r="H450">
        <v>0</v>
      </c>
    </row>
    <row r="451" spans="1:8" x14ac:dyDescent="0.3">
      <c r="A451">
        <v>2019</v>
      </c>
      <c r="B451" t="s">
        <v>197</v>
      </c>
      <c r="C451" t="s">
        <v>267</v>
      </c>
      <c r="D451" t="s">
        <v>268</v>
      </c>
      <c r="E451" t="s">
        <v>206</v>
      </c>
      <c r="F451" t="s">
        <v>198</v>
      </c>
      <c r="G451" t="s">
        <v>202</v>
      </c>
      <c r="H451">
        <v>267</v>
      </c>
    </row>
    <row r="452" spans="1:8" x14ac:dyDescent="0.3">
      <c r="A452">
        <v>2019</v>
      </c>
      <c r="B452" t="s">
        <v>8</v>
      </c>
      <c r="C452" t="s">
        <v>267</v>
      </c>
      <c r="D452" t="s">
        <v>268</v>
      </c>
      <c r="E452" t="s">
        <v>1</v>
      </c>
      <c r="F452" t="s">
        <v>199</v>
      </c>
      <c r="G452" t="s">
        <v>201</v>
      </c>
      <c r="H452">
        <v>3</v>
      </c>
    </row>
    <row r="453" spans="1:8" x14ac:dyDescent="0.3">
      <c r="A453">
        <v>2019</v>
      </c>
      <c r="B453" t="s">
        <v>8</v>
      </c>
      <c r="C453" t="s">
        <v>267</v>
      </c>
      <c r="D453" t="s">
        <v>268</v>
      </c>
      <c r="E453" t="s">
        <v>203</v>
      </c>
      <c r="F453" t="s">
        <v>199</v>
      </c>
      <c r="G453" t="s">
        <v>201</v>
      </c>
      <c r="H453">
        <v>0</v>
      </c>
    </row>
    <row r="454" spans="1:8" x14ac:dyDescent="0.3">
      <c r="A454">
        <v>2019</v>
      </c>
      <c r="B454" t="s">
        <v>8</v>
      </c>
      <c r="C454" t="s">
        <v>267</v>
      </c>
      <c r="D454" t="s">
        <v>268</v>
      </c>
      <c r="E454" t="s">
        <v>204</v>
      </c>
      <c r="F454" t="s">
        <v>199</v>
      </c>
      <c r="G454" t="s">
        <v>201</v>
      </c>
      <c r="H454">
        <v>0</v>
      </c>
    </row>
    <row r="455" spans="1:8" x14ac:dyDescent="0.3">
      <c r="A455">
        <v>2019</v>
      </c>
      <c r="B455" t="s">
        <v>8</v>
      </c>
      <c r="C455" t="s">
        <v>267</v>
      </c>
      <c r="D455" t="s">
        <v>268</v>
      </c>
      <c r="E455" t="s">
        <v>205</v>
      </c>
      <c r="F455" t="s">
        <v>199</v>
      </c>
      <c r="G455" t="s">
        <v>201</v>
      </c>
      <c r="H455">
        <v>0</v>
      </c>
    </row>
    <row r="456" spans="1:8" x14ac:dyDescent="0.3">
      <c r="A456">
        <v>2019</v>
      </c>
      <c r="B456" t="s">
        <v>8</v>
      </c>
      <c r="C456" t="s">
        <v>267</v>
      </c>
      <c r="D456" t="s">
        <v>268</v>
      </c>
      <c r="E456" t="s">
        <v>206</v>
      </c>
      <c r="F456" t="s">
        <v>199</v>
      </c>
      <c r="G456" t="s">
        <v>201</v>
      </c>
      <c r="H456">
        <v>0</v>
      </c>
    </row>
    <row r="457" spans="1:8" x14ac:dyDescent="0.3">
      <c r="A457">
        <v>2019</v>
      </c>
      <c r="B457" t="s">
        <v>9</v>
      </c>
      <c r="C457" t="s">
        <v>267</v>
      </c>
      <c r="D457" t="s">
        <v>268</v>
      </c>
      <c r="E457" t="s">
        <v>1</v>
      </c>
      <c r="F457" t="s">
        <v>199</v>
      </c>
      <c r="G457" t="s">
        <v>201</v>
      </c>
      <c r="H457">
        <v>3</v>
      </c>
    </row>
    <row r="458" spans="1:8" x14ac:dyDescent="0.3">
      <c r="A458">
        <v>2019</v>
      </c>
      <c r="B458" t="s">
        <v>9</v>
      </c>
      <c r="C458" t="s">
        <v>267</v>
      </c>
      <c r="D458" t="s">
        <v>268</v>
      </c>
      <c r="E458" t="s">
        <v>203</v>
      </c>
      <c r="F458" t="s">
        <v>199</v>
      </c>
      <c r="G458" t="s">
        <v>201</v>
      </c>
      <c r="H458">
        <v>0</v>
      </c>
    </row>
    <row r="459" spans="1:8" x14ac:dyDescent="0.3">
      <c r="A459">
        <v>2019</v>
      </c>
      <c r="B459" t="s">
        <v>9</v>
      </c>
      <c r="C459" t="s">
        <v>267</v>
      </c>
      <c r="D459" t="s">
        <v>268</v>
      </c>
      <c r="E459" t="s">
        <v>204</v>
      </c>
      <c r="F459" t="s">
        <v>199</v>
      </c>
      <c r="G459" t="s">
        <v>201</v>
      </c>
      <c r="H459">
        <v>0</v>
      </c>
    </row>
    <row r="460" spans="1:8" x14ac:dyDescent="0.3">
      <c r="A460">
        <v>2019</v>
      </c>
      <c r="B460" t="s">
        <v>9</v>
      </c>
      <c r="C460" t="s">
        <v>267</v>
      </c>
      <c r="D460" t="s">
        <v>268</v>
      </c>
      <c r="E460" t="s">
        <v>205</v>
      </c>
      <c r="F460" t="s">
        <v>199</v>
      </c>
      <c r="G460" t="s">
        <v>201</v>
      </c>
    </row>
    <row r="461" spans="1:8" x14ac:dyDescent="0.3">
      <c r="A461">
        <v>2019</v>
      </c>
      <c r="B461" t="s">
        <v>9</v>
      </c>
      <c r="C461" t="s">
        <v>267</v>
      </c>
      <c r="D461" t="s">
        <v>268</v>
      </c>
      <c r="E461" t="s">
        <v>206</v>
      </c>
      <c r="F461" t="s">
        <v>199</v>
      </c>
      <c r="G461" t="s">
        <v>201</v>
      </c>
      <c r="H461">
        <v>4</v>
      </c>
    </row>
    <row r="462" spans="1:8" x14ac:dyDescent="0.3">
      <c r="A462">
        <v>2019</v>
      </c>
      <c r="B462" t="s">
        <v>10</v>
      </c>
      <c r="C462" t="s">
        <v>267</v>
      </c>
      <c r="D462" t="s">
        <v>268</v>
      </c>
      <c r="E462" t="s">
        <v>1</v>
      </c>
      <c r="F462" t="s">
        <v>199</v>
      </c>
      <c r="G462" t="s">
        <v>201</v>
      </c>
      <c r="H462">
        <v>1</v>
      </c>
    </row>
    <row r="463" spans="1:8" x14ac:dyDescent="0.3">
      <c r="A463">
        <v>2019</v>
      </c>
      <c r="B463" t="s">
        <v>10</v>
      </c>
      <c r="C463" t="s">
        <v>267</v>
      </c>
      <c r="D463" t="s">
        <v>268</v>
      </c>
      <c r="E463" t="s">
        <v>203</v>
      </c>
      <c r="F463" t="s">
        <v>199</v>
      </c>
      <c r="G463" t="s">
        <v>201</v>
      </c>
      <c r="H463">
        <v>0</v>
      </c>
    </row>
    <row r="464" spans="1:8" x14ac:dyDescent="0.3">
      <c r="A464">
        <v>2019</v>
      </c>
      <c r="B464" t="s">
        <v>10</v>
      </c>
      <c r="C464" t="s">
        <v>267</v>
      </c>
      <c r="D464" t="s">
        <v>268</v>
      </c>
      <c r="E464" t="s">
        <v>204</v>
      </c>
      <c r="F464" t="s">
        <v>199</v>
      </c>
      <c r="G464" t="s">
        <v>201</v>
      </c>
      <c r="H464">
        <v>0</v>
      </c>
    </row>
    <row r="465" spans="1:8" x14ac:dyDescent="0.3">
      <c r="A465">
        <v>2019</v>
      </c>
      <c r="B465" t="s">
        <v>10</v>
      </c>
      <c r="C465" t="s">
        <v>267</v>
      </c>
      <c r="D465" t="s">
        <v>268</v>
      </c>
      <c r="E465" t="s">
        <v>205</v>
      </c>
      <c r="F465" t="s">
        <v>199</v>
      </c>
      <c r="G465" t="s">
        <v>201</v>
      </c>
      <c r="H465">
        <v>0</v>
      </c>
    </row>
    <row r="466" spans="1:8" x14ac:dyDescent="0.3">
      <c r="A466">
        <v>2019</v>
      </c>
      <c r="B466" t="s">
        <v>10</v>
      </c>
      <c r="C466" t="s">
        <v>267</v>
      </c>
      <c r="D466" t="s">
        <v>268</v>
      </c>
      <c r="E466" t="s">
        <v>206</v>
      </c>
      <c r="F466" t="s">
        <v>199</v>
      </c>
      <c r="G466" t="s">
        <v>201</v>
      </c>
      <c r="H466">
        <v>3</v>
      </c>
    </row>
    <row r="467" spans="1:8" x14ac:dyDescent="0.3">
      <c r="A467">
        <v>2019</v>
      </c>
      <c r="B467" t="s">
        <v>11</v>
      </c>
      <c r="C467" t="s">
        <v>267</v>
      </c>
      <c r="D467" t="s">
        <v>268</v>
      </c>
      <c r="E467" t="s">
        <v>1</v>
      </c>
      <c r="F467" t="s">
        <v>199</v>
      </c>
      <c r="G467" t="s">
        <v>201</v>
      </c>
      <c r="H467">
        <v>1</v>
      </c>
    </row>
    <row r="468" spans="1:8" x14ac:dyDescent="0.3">
      <c r="A468">
        <v>2019</v>
      </c>
      <c r="B468" t="s">
        <v>11</v>
      </c>
      <c r="C468" t="s">
        <v>267</v>
      </c>
      <c r="D468" t="s">
        <v>268</v>
      </c>
      <c r="E468" t="s">
        <v>203</v>
      </c>
      <c r="F468" t="s">
        <v>199</v>
      </c>
      <c r="G468" t="s">
        <v>201</v>
      </c>
      <c r="H468">
        <v>0</v>
      </c>
    </row>
    <row r="469" spans="1:8" x14ac:dyDescent="0.3">
      <c r="A469">
        <v>2019</v>
      </c>
      <c r="B469" t="s">
        <v>11</v>
      </c>
      <c r="C469" t="s">
        <v>267</v>
      </c>
      <c r="D469" t="s">
        <v>268</v>
      </c>
      <c r="E469" t="s">
        <v>204</v>
      </c>
      <c r="F469" t="s">
        <v>199</v>
      </c>
      <c r="G469" t="s">
        <v>201</v>
      </c>
      <c r="H469">
        <v>0</v>
      </c>
    </row>
    <row r="470" spans="1:8" x14ac:dyDescent="0.3">
      <c r="A470">
        <v>2019</v>
      </c>
      <c r="B470" t="s">
        <v>11</v>
      </c>
      <c r="C470" t="s">
        <v>267</v>
      </c>
      <c r="D470" t="s">
        <v>268</v>
      </c>
      <c r="E470" t="s">
        <v>205</v>
      </c>
      <c r="F470" t="s">
        <v>199</v>
      </c>
      <c r="G470" t="s">
        <v>201</v>
      </c>
      <c r="H470">
        <v>0</v>
      </c>
    </row>
    <row r="471" spans="1:8" x14ac:dyDescent="0.3">
      <c r="A471">
        <v>2019</v>
      </c>
      <c r="B471" t="s">
        <v>11</v>
      </c>
      <c r="C471" t="s">
        <v>267</v>
      </c>
      <c r="D471" t="s">
        <v>268</v>
      </c>
      <c r="E471" t="s">
        <v>206</v>
      </c>
      <c r="F471" t="s">
        <v>199</v>
      </c>
      <c r="G471" t="s">
        <v>201</v>
      </c>
      <c r="H471">
        <v>0</v>
      </c>
    </row>
    <row r="472" spans="1:8" x14ac:dyDescent="0.3">
      <c r="A472">
        <v>2019</v>
      </c>
      <c r="B472" t="s">
        <v>12</v>
      </c>
      <c r="C472" t="s">
        <v>267</v>
      </c>
      <c r="D472" t="s">
        <v>268</v>
      </c>
      <c r="E472" t="s">
        <v>1</v>
      </c>
      <c r="F472" t="s">
        <v>199</v>
      </c>
      <c r="G472" t="s">
        <v>201</v>
      </c>
      <c r="H472">
        <v>3</v>
      </c>
    </row>
    <row r="473" spans="1:8" x14ac:dyDescent="0.3">
      <c r="A473">
        <v>2019</v>
      </c>
      <c r="B473" t="s">
        <v>12</v>
      </c>
      <c r="C473" t="s">
        <v>267</v>
      </c>
      <c r="D473" t="s">
        <v>268</v>
      </c>
      <c r="E473" t="s">
        <v>203</v>
      </c>
      <c r="F473" t="s">
        <v>199</v>
      </c>
      <c r="G473" t="s">
        <v>201</v>
      </c>
      <c r="H473">
        <v>2</v>
      </c>
    </row>
    <row r="474" spans="1:8" x14ac:dyDescent="0.3">
      <c r="A474">
        <v>2019</v>
      </c>
      <c r="B474" t="s">
        <v>12</v>
      </c>
      <c r="C474" t="s">
        <v>267</v>
      </c>
      <c r="D474" t="s">
        <v>268</v>
      </c>
      <c r="E474" t="s">
        <v>204</v>
      </c>
      <c r="F474" t="s">
        <v>199</v>
      </c>
      <c r="G474" t="s">
        <v>201</v>
      </c>
    </row>
    <row r="475" spans="1:8" x14ac:dyDescent="0.3">
      <c r="A475">
        <v>2019</v>
      </c>
      <c r="B475" t="s">
        <v>12</v>
      </c>
      <c r="C475" t="s">
        <v>267</v>
      </c>
      <c r="D475" t="s">
        <v>268</v>
      </c>
      <c r="E475" t="s">
        <v>205</v>
      </c>
      <c r="F475" t="s">
        <v>199</v>
      </c>
      <c r="G475" t="s">
        <v>201</v>
      </c>
    </row>
    <row r="476" spans="1:8" x14ac:dyDescent="0.3">
      <c r="A476">
        <v>2019</v>
      </c>
      <c r="B476" t="s">
        <v>12</v>
      </c>
      <c r="C476" t="s">
        <v>267</v>
      </c>
      <c r="D476" t="s">
        <v>268</v>
      </c>
      <c r="E476" t="s">
        <v>206</v>
      </c>
      <c r="F476" t="s">
        <v>199</v>
      </c>
      <c r="G476" t="s">
        <v>201</v>
      </c>
      <c r="H476">
        <v>27</v>
      </c>
    </row>
    <row r="477" spans="1:8" x14ac:dyDescent="0.3">
      <c r="A477">
        <v>2019</v>
      </c>
      <c r="B477" t="s">
        <v>13</v>
      </c>
      <c r="C477" t="s">
        <v>267</v>
      </c>
      <c r="D477" t="s">
        <v>268</v>
      </c>
      <c r="E477" t="s">
        <v>1</v>
      </c>
      <c r="F477" t="s">
        <v>199</v>
      </c>
      <c r="G477" t="s">
        <v>201</v>
      </c>
      <c r="H477">
        <v>0</v>
      </c>
    </row>
    <row r="478" spans="1:8" x14ac:dyDescent="0.3">
      <c r="A478">
        <v>2019</v>
      </c>
      <c r="B478" t="s">
        <v>13</v>
      </c>
      <c r="C478" t="s">
        <v>267</v>
      </c>
      <c r="D478" t="s">
        <v>268</v>
      </c>
      <c r="E478" t="s">
        <v>203</v>
      </c>
      <c r="F478" t="s">
        <v>199</v>
      </c>
      <c r="G478" t="s">
        <v>201</v>
      </c>
      <c r="H478">
        <v>0</v>
      </c>
    </row>
    <row r="479" spans="1:8" x14ac:dyDescent="0.3">
      <c r="A479">
        <v>2019</v>
      </c>
      <c r="B479" t="s">
        <v>13</v>
      </c>
      <c r="C479" t="s">
        <v>267</v>
      </c>
      <c r="D479" t="s">
        <v>268</v>
      </c>
      <c r="E479" t="s">
        <v>204</v>
      </c>
      <c r="F479" t="s">
        <v>199</v>
      </c>
      <c r="G479" t="s">
        <v>201</v>
      </c>
      <c r="H479">
        <v>0</v>
      </c>
    </row>
    <row r="480" spans="1:8" x14ac:dyDescent="0.3">
      <c r="A480">
        <v>2019</v>
      </c>
      <c r="B480" t="s">
        <v>13</v>
      </c>
      <c r="C480" t="s">
        <v>267</v>
      </c>
      <c r="D480" t="s">
        <v>268</v>
      </c>
      <c r="E480" t="s">
        <v>205</v>
      </c>
      <c r="F480" t="s">
        <v>199</v>
      </c>
      <c r="G480" t="s">
        <v>201</v>
      </c>
      <c r="H480">
        <v>0</v>
      </c>
    </row>
    <row r="481" spans="1:8" x14ac:dyDescent="0.3">
      <c r="A481">
        <v>2019</v>
      </c>
      <c r="B481" t="s">
        <v>13</v>
      </c>
      <c r="C481" t="s">
        <v>267</v>
      </c>
      <c r="D481" t="s">
        <v>268</v>
      </c>
      <c r="E481" t="s">
        <v>206</v>
      </c>
      <c r="F481" t="s">
        <v>199</v>
      </c>
      <c r="G481" t="s">
        <v>201</v>
      </c>
      <c r="H481">
        <v>0</v>
      </c>
    </row>
    <row r="482" spans="1:8" x14ac:dyDescent="0.3">
      <c r="A482">
        <v>2019</v>
      </c>
      <c r="B482" t="s">
        <v>14</v>
      </c>
      <c r="C482" t="s">
        <v>267</v>
      </c>
      <c r="D482" t="s">
        <v>268</v>
      </c>
      <c r="E482" t="s">
        <v>1</v>
      </c>
      <c r="F482" t="s">
        <v>199</v>
      </c>
      <c r="G482" t="s">
        <v>201</v>
      </c>
      <c r="H482">
        <v>1</v>
      </c>
    </row>
    <row r="483" spans="1:8" x14ac:dyDescent="0.3">
      <c r="A483">
        <v>2019</v>
      </c>
      <c r="B483" t="s">
        <v>14</v>
      </c>
      <c r="C483" t="s">
        <v>267</v>
      </c>
      <c r="D483" t="s">
        <v>268</v>
      </c>
      <c r="E483" t="s">
        <v>203</v>
      </c>
      <c r="F483" t="s">
        <v>199</v>
      </c>
      <c r="G483" t="s">
        <v>201</v>
      </c>
      <c r="H483">
        <v>0</v>
      </c>
    </row>
    <row r="484" spans="1:8" x14ac:dyDescent="0.3">
      <c r="A484">
        <v>2019</v>
      </c>
      <c r="B484" t="s">
        <v>14</v>
      </c>
      <c r="C484" t="s">
        <v>267</v>
      </c>
      <c r="D484" t="s">
        <v>268</v>
      </c>
      <c r="E484" t="s">
        <v>204</v>
      </c>
      <c r="F484" t="s">
        <v>199</v>
      </c>
      <c r="G484" t="s">
        <v>201</v>
      </c>
      <c r="H484">
        <v>0</v>
      </c>
    </row>
    <row r="485" spans="1:8" x14ac:dyDescent="0.3">
      <c r="A485">
        <v>2019</v>
      </c>
      <c r="B485" t="s">
        <v>14</v>
      </c>
      <c r="C485" t="s">
        <v>267</v>
      </c>
      <c r="D485" t="s">
        <v>268</v>
      </c>
      <c r="E485" t="s">
        <v>205</v>
      </c>
      <c r="F485" t="s">
        <v>199</v>
      </c>
      <c r="G485" t="s">
        <v>201</v>
      </c>
      <c r="H485">
        <v>0</v>
      </c>
    </row>
    <row r="486" spans="1:8" x14ac:dyDescent="0.3">
      <c r="A486">
        <v>2019</v>
      </c>
      <c r="B486" t="s">
        <v>14</v>
      </c>
      <c r="C486" t="s">
        <v>267</v>
      </c>
      <c r="D486" t="s">
        <v>268</v>
      </c>
      <c r="E486" t="s">
        <v>206</v>
      </c>
      <c r="F486" t="s">
        <v>199</v>
      </c>
      <c r="G486" t="s">
        <v>201</v>
      </c>
      <c r="H486">
        <v>0</v>
      </c>
    </row>
    <row r="487" spans="1:8" x14ac:dyDescent="0.3">
      <c r="A487">
        <v>2019</v>
      </c>
      <c r="B487" t="s">
        <v>15</v>
      </c>
      <c r="C487" t="s">
        <v>267</v>
      </c>
      <c r="D487" t="s">
        <v>268</v>
      </c>
      <c r="E487" t="s">
        <v>1</v>
      </c>
      <c r="F487" t="s">
        <v>199</v>
      </c>
      <c r="G487" t="s">
        <v>201</v>
      </c>
      <c r="H487">
        <v>0</v>
      </c>
    </row>
    <row r="488" spans="1:8" x14ac:dyDescent="0.3">
      <c r="A488">
        <v>2019</v>
      </c>
      <c r="B488" t="s">
        <v>15</v>
      </c>
      <c r="C488" t="s">
        <v>267</v>
      </c>
      <c r="D488" t="s">
        <v>268</v>
      </c>
      <c r="E488" t="s">
        <v>203</v>
      </c>
      <c r="F488" t="s">
        <v>199</v>
      </c>
      <c r="G488" t="s">
        <v>201</v>
      </c>
      <c r="H488">
        <v>0</v>
      </c>
    </row>
    <row r="489" spans="1:8" x14ac:dyDescent="0.3">
      <c r="A489">
        <v>2019</v>
      </c>
      <c r="B489" t="s">
        <v>15</v>
      </c>
      <c r="C489" t="s">
        <v>267</v>
      </c>
      <c r="D489" t="s">
        <v>268</v>
      </c>
      <c r="E489" t="s">
        <v>204</v>
      </c>
      <c r="F489" t="s">
        <v>199</v>
      </c>
      <c r="G489" t="s">
        <v>201</v>
      </c>
      <c r="H489">
        <v>0</v>
      </c>
    </row>
    <row r="490" spans="1:8" x14ac:dyDescent="0.3">
      <c r="A490">
        <v>2019</v>
      </c>
      <c r="B490" t="s">
        <v>15</v>
      </c>
      <c r="C490" t="s">
        <v>267</v>
      </c>
      <c r="D490" t="s">
        <v>268</v>
      </c>
      <c r="E490" t="s">
        <v>205</v>
      </c>
      <c r="F490" t="s">
        <v>199</v>
      </c>
      <c r="G490" t="s">
        <v>201</v>
      </c>
      <c r="H490">
        <v>0</v>
      </c>
    </row>
    <row r="491" spans="1:8" x14ac:dyDescent="0.3">
      <c r="A491">
        <v>2019</v>
      </c>
      <c r="B491" t="s">
        <v>15</v>
      </c>
      <c r="C491" t="s">
        <v>267</v>
      </c>
      <c r="D491" t="s">
        <v>268</v>
      </c>
      <c r="E491" t="s">
        <v>206</v>
      </c>
      <c r="F491" t="s">
        <v>199</v>
      </c>
      <c r="G491" t="s">
        <v>201</v>
      </c>
    </row>
    <row r="492" spans="1:8" x14ac:dyDescent="0.3">
      <c r="A492">
        <v>2019</v>
      </c>
      <c r="B492" t="s">
        <v>16</v>
      </c>
      <c r="C492" t="s">
        <v>267</v>
      </c>
      <c r="D492" t="s">
        <v>268</v>
      </c>
      <c r="E492" t="s">
        <v>1</v>
      </c>
      <c r="F492" t="s">
        <v>199</v>
      </c>
      <c r="G492" t="s">
        <v>201</v>
      </c>
      <c r="H492">
        <v>2</v>
      </c>
    </row>
    <row r="493" spans="1:8" x14ac:dyDescent="0.3">
      <c r="A493">
        <v>2019</v>
      </c>
      <c r="B493" t="s">
        <v>16</v>
      </c>
      <c r="C493" t="s">
        <v>267</v>
      </c>
      <c r="D493" t="s">
        <v>268</v>
      </c>
      <c r="E493" t="s">
        <v>203</v>
      </c>
      <c r="F493" t="s">
        <v>199</v>
      </c>
      <c r="G493" t="s">
        <v>201</v>
      </c>
      <c r="H493">
        <v>0</v>
      </c>
    </row>
    <row r="494" spans="1:8" x14ac:dyDescent="0.3">
      <c r="A494">
        <v>2019</v>
      </c>
      <c r="B494" t="s">
        <v>16</v>
      </c>
      <c r="C494" t="s">
        <v>267</v>
      </c>
      <c r="D494" t="s">
        <v>268</v>
      </c>
      <c r="E494" t="s">
        <v>204</v>
      </c>
      <c r="F494" t="s">
        <v>199</v>
      </c>
      <c r="G494" t="s">
        <v>201</v>
      </c>
      <c r="H494">
        <v>0</v>
      </c>
    </row>
    <row r="495" spans="1:8" x14ac:dyDescent="0.3">
      <c r="A495">
        <v>2019</v>
      </c>
      <c r="B495" t="s">
        <v>16</v>
      </c>
      <c r="C495" t="s">
        <v>267</v>
      </c>
      <c r="D495" t="s">
        <v>268</v>
      </c>
      <c r="E495" t="s">
        <v>205</v>
      </c>
      <c r="F495" t="s">
        <v>199</v>
      </c>
      <c r="G495" t="s">
        <v>201</v>
      </c>
      <c r="H495">
        <v>0</v>
      </c>
    </row>
    <row r="496" spans="1:8" x14ac:dyDescent="0.3">
      <c r="A496">
        <v>2019</v>
      </c>
      <c r="B496" t="s">
        <v>16</v>
      </c>
      <c r="C496" t="s">
        <v>267</v>
      </c>
      <c r="D496" t="s">
        <v>268</v>
      </c>
      <c r="E496" t="s">
        <v>206</v>
      </c>
      <c r="F496" t="s">
        <v>199</v>
      </c>
      <c r="G496" t="s">
        <v>201</v>
      </c>
      <c r="H496">
        <v>0</v>
      </c>
    </row>
    <row r="497" spans="1:8" x14ac:dyDescent="0.3">
      <c r="A497">
        <v>2019</v>
      </c>
      <c r="B497" t="s">
        <v>17</v>
      </c>
      <c r="C497" t="s">
        <v>267</v>
      </c>
      <c r="D497" t="s">
        <v>268</v>
      </c>
      <c r="E497" t="s">
        <v>1</v>
      </c>
      <c r="F497" t="s">
        <v>199</v>
      </c>
      <c r="G497" t="s">
        <v>201</v>
      </c>
      <c r="H497">
        <v>0</v>
      </c>
    </row>
    <row r="498" spans="1:8" x14ac:dyDescent="0.3">
      <c r="A498">
        <v>2019</v>
      </c>
      <c r="B498" t="s">
        <v>17</v>
      </c>
      <c r="C498" t="s">
        <v>267</v>
      </c>
      <c r="D498" t="s">
        <v>268</v>
      </c>
      <c r="E498" t="s">
        <v>203</v>
      </c>
      <c r="F498" t="s">
        <v>199</v>
      </c>
      <c r="G498" t="s">
        <v>201</v>
      </c>
      <c r="H498">
        <v>0</v>
      </c>
    </row>
    <row r="499" spans="1:8" x14ac:dyDescent="0.3">
      <c r="A499">
        <v>2019</v>
      </c>
      <c r="B499" t="s">
        <v>17</v>
      </c>
      <c r="C499" t="s">
        <v>267</v>
      </c>
      <c r="D499" t="s">
        <v>268</v>
      </c>
      <c r="E499" t="s">
        <v>204</v>
      </c>
      <c r="F499" t="s">
        <v>199</v>
      </c>
      <c r="G499" t="s">
        <v>201</v>
      </c>
      <c r="H499">
        <v>0</v>
      </c>
    </row>
    <row r="500" spans="1:8" x14ac:dyDescent="0.3">
      <c r="A500">
        <v>2019</v>
      </c>
      <c r="B500" t="s">
        <v>17</v>
      </c>
      <c r="C500" t="s">
        <v>267</v>
      </c>
      <c r="D500" t="s">
        <v>268</v>
      </c>
      <c r="E500" t="s">
        <v>205</v>
      </c>
      <c r="F500" t="s">
        <v>199</v>
      </c>
      <c r="G500" t="s">
        <v>201</v>
      </c>
      <c r="H500">
        <v>0</v>
      </c>
    </row>
    <row r="501" spans="1:8" x14ac:dyDescent="0.3">
      <c r="A501">
        <v>2019</v>
      </c>
      <c r="B501" t="s">
        <v>17</v>
      </c>
      <c r="C501" t="s">
        <v>267</v>
      </c>
      <c r="D501" t="s">
        <v>268</v>
      </c>
      <c r="E501" t="s">
        <v>206</v>
      </c>
      <c r="F501" t="s">
        <v>199</v>
      </c>
      <c r="G501" t="s">
        <v>201</v>
      </c>
      <c r="H501">
        <v>0</v>
      </c>
    </row>
    <row r="502" spans="1:8" x14ac:dyDescent="0.3">
      <c r="A502">
        <v>2019</v>
      </c>
      <c r="B502" t="s">
        <v>163</v>
      </c>
      <c r="C502" t="s">
        <v>267</v>
      </c>
      <c r="D502" t="s">
        <v>268</v>
      </c>
      <c r="E502" t="s">
        <v>1</v>
      </c>
      <c r="F502" t="s">
        <v>199</v>
      </c>
      <c r="G502" t="s">
        <v>201</v>
      </c>
      <c r="H502">
        <v>0</v>
      </c>
    </row>
    <row r="503" spans="1:8" x14ac:dyDescent="0.3">
      <c r="A503">
        <v>2019</v>
      </c>
      <c r="B503" t="s">
        <v>163</v>
      </c>
      <c r="C503" t="s">
        <v>267</v>
      </c>
      <c r="D503" t="s">
        <v>268</v>
      </c>
      <c r="E503" t="s">
        <v>203</v>
      </c>
      <c r="F503" t="s">
        <v>199</v>
      </c>
      <c r="G503" t="s">
        <v>201</v>
      </c>
      <c r="H503">
        <v>0</v>
      </c>
    </row>
    <row r="504" spans="1:8" x14ac:dyDescent="0.3">
      <c r="A504">
        <v>2019</v>
      </c>
      <c r="B504" t="s">
        <v>163</v>
      </c>
      <c r="C504" t="s">
        <v>267</v>
      </c>
      <c r="D504" t="s">
        <v>268</v>
      </c>
      <c r="E504" t="s">
        <v>204</v>
      </c>
      <c r="F504" t="s">
        <v>199</v>
      </c>
      <c r="G504" t="s">
        <v>201</v>
      </c>
      <c r="H504">
        <v>0</v>
      </c>
    </row>
    <row r="505" spans="1:8" x14ac:dyDescent="0.3">
      <c r="A505">
        <v>2019</v>
      </c>
      <c r="B505" t="s">
        <v>163</v>
      </c>
      <c r="C505" t="s">
        <v>267</v>
      </c>
      <c r="D505" t="s">
        <v>268</v>
      </c>
      <c r="E505" t="s">
        <v>205</v>
      </c>
      <c r="F505" t="s">
        <v>199</v>
      </c>
      <c r="G505" t="s">
        <v>201</v>
      </c>
      <c r="H505">
        <v>0</v>
      </c>
    </row>
    <row r="506" spans="1:8" x14ac:dyDescent="0.3">
      <c r="A506">
        <v>2019</v>
      </c>
      <c r="B506" t="s">
        <v>163</v>
      </c>
      <c r="C506" t="s">
        <v>267</v>
      </c>
      <c r="D506" t="s">
        <v>268</v>
      </c>
      <c r="E506" t="s">
        <v>206</v>
      </c>
      <c r="F506" t="s">
        <v>199</v>
      </c>
      <c r="G506" t="s">
        <v>201</v>
      </c>
      <c r="H506">
        <v>0</v>
      </c>
    </row>
    <row r="507" spans="1:8" x14ac:dyDescent="0.3">
      <c r="A507">
        <v>2019</v>
      </c>
      <c r="B507" t="s">
        <v>20</v>
      </c>
      <c r="C507" t="s">
        <v>267</v>
      </c>
      <c r="D507" t="s">
        <v>268</v>
      </c>
      <c r="E507" t="s">
        <v>1</v>
      </c>
      <c r="F507" t="s">
        <v>199</v>
      </c>
      <c r="G507" t="s">
        <v>201</v>
      </c>
      <c r="H507">
        <v>2</v>
      </c>
    </row>
    <row r="508" spans="1:8" x14ac:dyDescent="0.3">
      <c r="A508">
        <v>2019</v>
      </c>
      <c r="B508" t="s">
        <v>20</v>
      </c>
      <c r="C508" t="s">
        <v>267</v>
      </c>
      <c r="D508" t="s">
        <v>268</v>
      </c>
      <c r="E508" t="s">
        <v>203</v>
      </c>
      <c r="F508" t="s">
        <v>199</v>
      </c>
      <c r="G508" t="s">
        <v>201</v>
      </c>
      <c r="H508">
        <v>0</v>
      </c>
    </row>
    <row r="509" spans="1:8" x14ac:dyDescent="0.3">
      <c r="A509">
        <v>2019</v>
      </c>
      <c r="B509" t="s">
        <v>20</v>
      </c>
      <c r="C509" t="s">
        <v>267</v>
      </c>
      <c r="D509" t="s">
        <v>268</v>
      </c>
      <c r="E509" t="s">
        <v>204</v>
      </c>
      <c r="F509" t="s">
        <v>199</v>
      </c>
      <c r="G509" t="s">
        <v>201</v>
      </c>
      <c r="H509">
        <v>0</v>
      </c>
    </row>
    <row r="510" spans="1:8" x14ac:dyDescent="0.3">
      <c r="A510">
        <v>2019</v>
      </c>
      <c r="B510" t="s">
        <v>20</v>
      </c>
      <c r="C510" t="s">
        <v>267</v>
      </c>
      <c r="D510" t="s">
        <v>268</v>
      </c>
      <c r="E510" t="s">
        <v>205</v>
      </c>
      <c r="F510" t="s">
        <v>199</v>
      </c>
      <c r="G510" t="s">
        <v>201</v>
      </c>
      <c r="H510">
        <v>0</v>
      </c>
    </row>
    <row r="511" spans="1:8" x14ac:dyDescent="0.3">
      <c r="A511">
        <v>2019</v>
      </c>
      <c r="B511" t="s">
        <v>20</v>
      </c>
      <c r="C511" t="s">
        <v>267</v>
      </c>
      <c r="D511" t="s">
        <v>268</v>
      </c>
      <c r="E511" t="s">
        <v>206</v>
      </c>
      <c r="F511" t="s">
        <v>199</v>
      </c>
      <c r="G511" t="s">
        <v>201</v>
      </c>
      <c r="H511">
        <v>0</v>
      </c>
    </row>
    <row r="512" spans="1:8" x14ac:dyDescent="0.3">
      <c r="A512">
        <v>2019</v>
      </c>
      <c r="B512" t="s">
        <v>21</v>
      </c>
      <c r="C512" t="s">
        <v>267</v>
      </c>
      <c r="D512" t="s">
        <v>268</v>
      </c>
      <c r="E512" t="s">
        <v>1</v>
      </c>
      <c r="F512" t="s">
        <v>199</v>
      </c>
      <c r="G512" t="s">
        <v>201</v>
      </c>
      <c r="H512">
        <v>2</v>
      </c>
    </row>
    <row r="513" spans="1:8" x14ac:dyDescent="0.3">
      <c r="A513">
        <v>2019</v>
      </c>
      <c r="B513" t="s">
        <v>21</v>
      </c>
      <c r="C513" t="s">
        <v>267</v>
      </c>
      <c r="D513" t="s">
        <v>268</v>
      </c>
      <c r="E513" t="s">
        <v>203</v>
      </c>
      <c r="F513" t="s">
        <v>199</v>
      </c>
      <c r="G513" t="s">
        <v>201</v>
      </c>
      <c r="H513">
        <v>0</v>
      </c>
    </row>
    <row r="514" spans="1:8" x14ac:dyDescent="0.3">
      <c r="A514">
        <v>2019</v>
      </c>
      <c r="B514" t="s">
        <v>21</v>
      </c>
      <c r="C514" t="s">
        <v>267</v>
      </c>
      <c r="D514" t="s">
        <v>268</v>
      </c>
      <c r="E514" t="s">
        <v>204</v>
      </c>
      <c r="F514" t="s">
        <v>199</v>
      </c>
      <c r="G514" t="s">
        <v>201</v>
      </c>
      <c r="H514">
        <v>0</v>
      </c>
    </row>
    <row r="515" spans="1:8" x14ac:dyDescent="0.3">
      <c r="A515">
        <v>2019</v>
      </c>
      <c r="B515" t="s">
        <v>21</v>
      </c>
      <c r="C515" t="s">
        <v>267</v>
      </c>
      <c r="D515" t="s">
        <v>268</v>
      </c>
      <c r="E515" t="s">
        <v>205</v>
      </c>
      <c r="F515" t="s">
        <v>199</v>
      </c>
      <c r="G515" t="s">
        <v>201</v>
      </c>
      <c r="H515">
        <v>0</v>
      </c>
    </row>
    <row r="516" spans="1:8" x14ac:dyDescent="0.3">
      <c r="A516">
        <v>2019</v>
      </c>
      <c r="B516" t="s">
        <v>21</v>
      </c>
      <c r="C516" t="s">
        <v>267</v>
      </c>
      <c r="D516" t="s">
        <v>268</v>
      </c>
      <c r="E516" t="s">
        <v>206</v>
      </c>
      <c r="F516" t="s">
        <v>199</v>
      </c>
      <c r="G516" t="s">
        <v>201</v>
      </c>
      <c r="H516">
        <v>0</v>
      </c>
    </row>
    <row r="517" spans="1:8" x14ac:dyDescent="0.3">
      <c r="A517">
        <v>2019</v>
      </c>
      <c r="B517" t="s">
        <v>22</v>
      </c>
      <c r="C517" t="s">
        <v>267</v>
      </c>
      <c r="D517" t="s">
        <v>268</v>
      </c>
      <c r="E517" t="s">
        <v>1</v>
      </c>
      <c r="F517" t="s">
        <v>199</v>
      </c>
      <c r="G517" t="s">
        <v>201</v>
      </c>
      <c r="H517">
        <v>3</v>
      </c>
    </row>
    <row r="518" spans="1:8" x14ac:dyDescent="0.3">
      <c r="A518">
        <v>2019</v>
      </c>
      <c r="B518" t="s">
        <v>22</v>
      </c>
      <c r="C518" t="s">
        <v>267</v>
      </c>
      <c r="D518" t="s">
        <v>268</v>
      </c>
      <c r="E518" t="s">
        <v>203</v>
      </c>
      <c r="F518" t="s">
        <v>199</v>
      </c>
      <c r="G518" t="s">
        <v>201</v>
      </c>
      <c r="H518">
        <v>1</v>
      </c>
    </row>
    <row r="519" spans="1:8" x14ac:dyDescent="0.3">
      <c r="A519">
        <v>2019</v>
      </c>
      <c r="B519" t="s">
        <v>22</v>
      </c>
      <c r="C519" t="s">
        <v>267</v>
      </c>
      <c r="D519" t="s">
        <v>268</v>
      </c>
      <c r="E519" t="s">
        <v>204</v>
      </c>
      <c r="F519" t="s">
        <v>199</v>
      </c>
      <c r="G519" t="s">
        <v>201</v>
      </c>
      <c r="H519">
        <v>0</v>
      </c>
    </row>
    <row r="520" spans="1:8" x14ac:dyDescent="0.3">
      <c r="A520">
        <v>2019</v>
      </c>
      <c r="B520" t="s">
        <v>22</v>
      </c>
      <c r="C520" t="s">
        <v>267</v>
      </c>
      <c r="D520" t="s">
        <v>268</v>
      </c>
      <c r="E520" t="s">
        <v>205</v>
      </c>
      <c r="F520" t="s">
        <v>199</v>
      </c>
      <c r="G520" t="s">
        <v>201</v>
      </c>
      <c r="H520">
        <v>0</v>
      </c>
    </row>
    <row r="521" spans="1:8" x14ac:dyDescent="0.3">
      <c r="A521">
        <v>2019</v>
      </c>
      <c r="B521" t="s">
        <v>22</v>
      </c>
      <c r="C521" t="s">
        <v>267</v>
      </c>
      <c r="D521" t="s">
        <v>268</v>
      </c>
      <c r="E521" t="s">
        <v>206</v>
      </c>
      <c r="F521" t="s">
        <v>199</v>
      </c>
      <c r="G521" t="s">
        <v>201</v>
      </c>
      <c r="H521">
        <v>71</v>
      </c>
    </row>
    <row r="522" spans="1:8" x14ac:dyDescent="0.3">
      <c r="A522">
        <v>2019</v>
      </c>
      <c r="B522" t="s">
        <v>23</v>
      </c>
      <c r="C522" t="s">
        <v>267</v>
      </c>
      <c r="D522" t="s">
        <v>268</v>
      </c>
      <c r="E522" t="s">
        <v>1</v>
      </c>
      <c r="F522" t="s">
        <v>199</v>
      </c>
      <c r="G522" t="s">
        <v>201</v>
      </c>
      <c r="H522">
        <v>1</v>
      </c>
    </row>
    <row r="523" spans="1:8" x14ac:dyDescent="0.3">
      <c r="A523">
        <v>2019</v>
      </c>
      <c r="B523" t="s">
        <v>23</v>
      </c>
      <c r="C523" t="s">
        <v>267</v>
      </c>
      <c r="D523" t="s">
        <v>268</v>
      </c>
      <c r="E523" t="s">
        <v>203</v>
      </c>
      <c r="F523" t="s">
        <v>199</v>
      </c>
      <c r="G523" t="s">
        <v>201</v>
      </c>
      <c r="H523">
        <v>0</v>
      </c>
    </row>
    <row r="524" spans="1:8" x14ac:dyDescent="0.3">
      <c r="A524">
        <v>2019</v>
      </c>
      <c r="B524" t="s">
        <v>23</v>
      </c>
      <c r="C524" t="s">
        <v>267</v>
      </c>
      <c r="D524" t="s">
        <v>268</v>
      </c>
      <c r="E524" t="s">
        <v>204</v>
      </c>
      <c r="F524" t="s">
        <v>199</v>
      </c>
      <c r="G524" t="s">
        <v>201</v>
      </c>
      <c r="H524">
        <v>0</v>
      </c>
    </row>
    <row r="525" spans="1:8" x14ac:dyDescent="0.3">
      <c r="A525">
        <v>2019</v>
      </c>
      <c r="B525" t="s">
        <v>23</v>
      </c>
      <c r="C525" t="s">
        <v>267</v>
      </c>
      <c r="D525" t="s">
        <v>268</v>
      </c>
      <c r="E525" t="s">
        <v>205</v>
      </c>
      <c r="F525" t="s">
        <v>199</v>
      </c>
      <c r="G525" t="s">
        <v>201</v>
      </c>
      <c r="H525">
        <v>0</v>
      </c>
    </row>
    <row r="526" spans="1:8" x14ac:dyDescent="0.3">
      <c r="A526">
        <v>2019</v>
      </c>
      <c r="B526" t="s">
        <v>23</v>
      </c>
      <c r="C526" t="s">
        <v>267</v>
      </c>
      <c r="D526" t="s">
        <v>268</v>
      </c>
      <c r="E526" t="s">
        <v>206</v>
      </c>
      <c r="F526" t="s">
        <v>199</v>
      </c>
      <c r="G526" t="s">
        <v>201</v>
      </c>
      <c r="H526">
        <v>0</v>
      </c>
    </row>
    <row r="527" spans="1:8" x14ac:dyDescent="0.3">
      <c r="A527">
        <v>2019</v>
      </c>
      <c r="B527" t="s">
        <v>54</v>
      </c>
      <c r="C527" t="s">
        <v>267</v>
      </c>
      <c r="D527" t="s">
        <v>268</v>
      </c>
      <c r="E527" t="s">
        <v>1</v>
      </c>
      <c r="F527" t="s">
        <v>199</v>
      </c>
      <c r="G527" t="s">
        <v>201</v>
      </c>
      <c r="H527">
        <v>6</v>
      </c>
    </row>
    <row r="528" spans="1:8" x14ac:dyDescent="0.3">
      <c r="A528">
        <v>2019</v>
      </c>
      <c r="B528" t="s">
        <v>54</v>
      </c>
      <c r="C528" t="s">
        <v>267</v>
      </c>
      <c r="D528" t="s">
        <v>268</v>
      </c>
      <c r="E528" t="s">
        <v>203</v>
      </c>
      <c r="F528" t="s">
        <v>199</v>
      </c>
      <c r="G528" t="s">
        <v>201</v>
      </c>
      <c r="H528">
        <v>2</v>
      </c>
    </row>
    <row r="529" spans="1:8" x14ac:dyDescent="0.3">
      <c r="A529">
        <v>2019</v>
      </c>
      <c r="B529" t="s">
        <v>54</v>
      </c>
      <c r="C529" t="s">
        <v>267</v>
      </c>
      <c r="D529" t="s">
        <v>268</v>
      </c>
      <c r="E529" t="s">
        <v>204</v>
      </c>
      <c r="F529" t="s">
        <v>199</v>
      </c>
      <c r="G529" t="s">
        <v>201</v>
      </c>
      <c r="H529">
        <v>0</v>
      </c>
    </row>
    <row r="530" spans="1:8" x14ac:dyDescent="0.3">
      <c r="A530">
        <v>2019</v>
      </c>
      <c r="B530" t="s">
        <v>54</v>
      </c>
      <c r="C530" t="s">
        <v>267</v>
      </c>
      <c r="D530" t="s">
        <v>268</v>
      </c>
      <c r="E530" t="s">
        <v>205</v>
      </c>
      <c r="F530" t="s">
        <v>199</v>
      </c>
      <c r="G530" t="s">
        <v>201</v>
      </c>
      <c r="H530">
        <v>0</v>
      </c>
    </row>
    <row r="531" spans="1:8" x14ac:dyDescent="0.3">
      <c r="A531">
        <v>2019</v>
      </c>
      <c r="B531" t="s">
        <v>54</v>
      </c>
      <c r="C531" t="s">
        <v>267</v>
      </c>
      <c r="D531" t="s">
        <v>268</v>
      </c>
      <c r="E531" t="s">
        <v>206</v>
      </c>
      <c r="F531" t="s">
        <v>199</v>
      </c>
      <c r="G531" t="s">
        <v>201</v>
      </c>
    </row>
    <row r="532" spans="1:8" x14ac:dyDescent="0.3">
      <c r="A532">
        <v>2019</v>
      </c>
      <c r="B532" t="s">
        <v>48</v>
      </c>
      <c r="C532" t="s">
        <v>267</v>
      </c>
      <c r="D532" t="s">
        <v>268</v>
      </c>
      <c r="E532" t="s">
        <v>1</v>
      </c>
      <c r="F532" t="s">
        <v>199</v>
      </c>
      <c r="G532" t="s">
        <v>201</v>
      </c>
      <c r="H532">
        <v>3</v>
      </c>
    </row>
    <row r="533" spans="1:8" x14ac:dyDescent="0.3">
      <c r="A533">
        <v>2019</v>
      </c>
      <c r="B533" t="s">
        <v>48</v>
      </c>
      <c r="C533" t="s">
        <v>267</v>
      </c>
      <c r="D533" t="s">
        <v>268</v>
      </c>
      <c r="E533" t="s">
        <v>203</v>
      </c>
      <c r="F533" t="s">
        <v>199</v>
      </c>
      <c r="G533" t="s">
        <v>201</v>
      </c>
      <c r="H533">
        <v>0</v>
      </c>
    </row>
    <row r="534" spans="1:8" x14ac:dyDescent="0.3">
      <c r="A534">
        <v>2019</v>
      </c>
      <c r="B534" t="s">
        <v>48</v>
      </c>
      <c r="C534" t="s">
        <v>267</v>
      </c>
      <c r="D534" t="s">
        <v>268</v>
      </c>
      <c r="E534" t="s">
        <v>204</v>
      </c>
      <c r="F534" t="s">
        <v>199</v>
      </c>
      <c r="G534" t="s">
        <v>201</v>
      </c>
      <c r="H534">
        <v>0</v>
      </c>
    </row>
    <row r="535" spans="1:8" x14ac:dyDescent="0.3">
      <c r="A535">
        <v>2019</v>
      </c>
      <c r="B535" t="s">
        <v>48</v>
      </c>
      <c r="C535" t="s">
        <v>267</v>
      </c>
      <c r="D535" t="s">
        <v>268</v>
      </c>
      <c r="E535" t="s">
        <v>205</v>
      </c>
      <c r="F535" t="s">
        <v>199</v>
      </c>
      <c r="G535" t="s">
        <v>201</v>
      </c>
      <c r="H535">
        <v>0</v>
      </c>
    </row>
    <row r="536" spans="1:8" x14ac:dyDescent="0.3">
      <c r="A536">
        <v>2019</v>
      </c>
      <c r="B536" t="s">
        <v>48</v>
      </c>
      <c r="C536" t="s">
        <v>267</v>
      </c>
      <c r="D536" t="s">
        <v>268</v>
      </c>
      <c r="E536" t="s">
        <v>206</v>
      </c>
      <c r="F536" t="s">
        <v>199</v>
      </c>
      <c r="G536" t="s">
        <v>201</v>
      </c>
      <c r="H536">
        <v>43</v>
      </c>
    </row>
    <row r="537" spans="1:8" x14ac:dyDescent="0.3">
      <c r="A537">
        <v>2019</v>
      </c>
      <c r="B537" t="s">
        <v>24</v>
      </c>
      <c r="C537" t="s">
        <v>267</v>
      </c>
      <c r="D537" t="s">
        <v>268</v>
      </c>
      <c r="E537" t="s">
        <v>1</v>
      </c>
      <c r="F537" t="s">
        <v>199</v>
      </c>
      <c r="G537" t="s">
        <v>201</v>
      </c>
      <c r="H537">
        <v>3</v>
      </c>
    </row>
    <row r="538" spans="1:8" x14ac:dyDescent="0.3">
      <c r="A538">
        <v>2019</v>
      </c>
      <c r="B538" t="s">
        <v>24</v>
      </c>
      <c r="C538" t="s">
        <v>267</v>
      </c>
      <c r="D538" t="s">
        <v>268</v>
      </c>
      <c r="E538" t="s">
        <v>203</v>
      </c>
      <c r="F538" t="s">
        <v>199</v>
      </c>
      <c r="G538" t="s">
        <v>201</v>
      </c>
      <c r="H538">
        <v>1</v>
      </c>
    </row>
    <row r="539" spans="1:8" x14ac:dyDescent="0.3">
      <c r="A539">
        <v>2019</v>
      </c>
      <c r="B539" t="s">
        <v>24</v>
      </c>
      <c r="C539" t="s">
        <v>267</v>
      </c>
      <c r="D539" t="s">
        <v>268</v>
      </c>
      <c r="E539" t="s">
        <v>204</v>
      </c>
      <c r="F539" t="s">
        <v>199</v>
      </c>
      <c r="G539" t="s">
        <v>201</v>
      </c>
      <c r="H539">
        <v>0</v>
      </c>
    </row>
    <row r="540" spans="1:8" x14ac:dyDescent="0.3">
      <c r="A540">
        <v>2019</v>
      </c>
      <c r="B540" t="s">
        <v>24</v>
      </c>
      <c r="C540" t="s">
        <v>267</v>
      </c>
      <c r="D540" t="s">
        <v>268</v>
      </c>
      <c r="E540" t="s">
        <v>205</v>
      </c>
      <c r="F540" t="s">
        <v>199</v>
      </c>
      <c r="G540" t="s">
        <v>201</v>
      </c>
      <c r="H540">
        <v>0</v>
      </c>
    </row>
    <row r="541" spans="1:8" x14ac:dyDescent="0.3">
      <c r="A541">
        <v>2019</v>
      </c>
      <c r="B541" t="s">
        <v>24</v>
      </c>
      <c r="C541" t="s">
        <v>267</v>
      </c>
      <c r="D541" t="s">
        <v>268</v>
      </c>
      <c r="E541" t="s">
        <v>206</v>
      </c>
      <c r="F541" t="s">
        <v>199</v>
      </c>
      <c r="G541" t="s">
        <v>201</v>
      </c>
      <c r="H541">
        <v>6</v>
      </c>
    </row>
    <row r="542" spans="1:8" x14ac:dyDescent="0.3">
      <c r="A542">
        <v>2019</v>
      </c>
      <c r="B542" t="s">
        <v>214</v>
      </c>
      <c r="C542" t="s">
        <v>267</v>
      </c>
      <c r="D542" t="s">
        <v>268</v>
      </c>
      <c r="E542" t="s">
        <v>1</v>
      </c>
      <c r="F542" t="s">
        <v>199</v>
      </c>
      <c r="G542" t="s">
        <v>201</v>
      </c>
      <c r="H542">
        <v>1</v>
      </c>
    </row>
    <row r="543" spans="1:8" x14ac:dyDescent="0.3">
      <c r="A543">
        <v>2019</v>
      </c>
      <c r="B543" t="s">
        <v>214</v>
      </c>
      <c r="C543" t="s">
        <v>267</v>
      </c>
      <c r="D543" t="s">
        <v>268</v>
      </c>
      <c r="E543" t="s">
        <v>203</v>
      </c>
      <c r="F543" t="s">
        <v>199</v>
      </c>
      <c r="G543" t="s">
        <v>201</v>
      </c>
      <c r="H543">
        <v>0</v>
      </c>
    </row>
    <row r="544" spans="1:8" x14ac:dyDescent="0.3">
      <c r="A544">
        <v>2019</v>
      </c>
      <c r="B544" t="s">
        <v>214</v>
      </c>
      <c r="C544" t="s">
        <v>267</v>
      </c>
      <c r="D544" t="s">
        <v>268</v>
      </c>
      <c r="E544" t="s">
        <v>204</v>
      </c>
      <c r="F544" t="s">
        <v>199</v>
      </c>
      <c r="G544" t="s">
        <v>201</v>
      </c>
      <c r="H544">
        <v>0</v>
      </c>
    </row>
    <row r="545" spans="1:8" x14ac:dyDescent="0.3">
      <c r="A545">
        <v>2019</v>
      </c>
      <c r="B545" t="s">
        <v>214</v>
      </c>
      <c r="C545" t="s">
        <v>267</v>
      </c>
      <c r="D545" t="s">
        <v>268</v>
      </c>
      <c r="E545" t="s">
        <v>205</v>
      </c>
      <c r="F545" t="s">
        <v>199</v>
      </c>
      <c r="G545" t="s">
        <v>201</v>
      </c>
      <c r="H545">
        <v>0</v>
      </c>
    </row>
    <row r="546" spans="1:8" x14ac:dyDescent="0.3">
      <c r="A546">
        <v>2019</v>
      </c>
      <c r="B546" t="s">
        <v>214</v>
      </c>
      <c r="C546" t="s">
        <v>267</v>
      </c>
      <c r="D546" t="s">
        <v>268</v>
      </c>
      <c r="E546" t="s">
        <v>206</v>
      </c>
      <c r="F546" t="s">
        <v>199</v>
      </c>
      <c r="G546" t="s">
        <v>201</v>
      </c>
      <c r="H546">
        <v>0</v>
      </c>
    </row>
    <row r="547" spans="1:8" x14ac:dyDescent="0.3">
      <c r="A547">
        <v>2019</v>
      </c>
      <c r="B547" t="s">
        <v>26</v>
      </c>
      <c r="C547" t="s">
        <v>267</v>
      </c>
      <c r="D547" t="s">
        <v>268</v>
      </c>
      <c r="E547" t="s">
        <v>1</v>
      </c>
      <c r="F547" t="s">
        <v>199</v>
      </c>
      <c r="G547" t="s">
        <v>201</v>
      </c>
      <c r="H547">
        <v>1</v>
      </c>
    </row>
    <row r="548" spans="1:8" x14ac:dyDescent="0.3">
      <c r="A548">
        <v>2019</v>
      </c>
      <c r="B548" t="s">
        <v>26</v>
      </c>
      <c r="C548" t="s">
        <v>267</v>
      </c>
      <c r="D548" t="s">
        <v>268</v>
      </c>
      <c r="E548" t="s">
        <v>203</v>
      </c>
      <c r="F548" t="s">
        <v>199</v>
      </c>
      <c r="G548" t="s">
        <v>201</v>
      </c>
      <c r="H548">
        <v>0</v>
      </c>
    </row>
    <row r="549" spans="1:8" x14ac:dyDescent="0.3">
      <c r="A549">
        <v>2019</v>
      </c>
      <c r="B549" t="s">
        <v>26</v>
      </c>
      <c r="C549" t="s">
        <v>267</v>
      </c>
      <c r="D549" t="s">
        <v>268</v>
      </c>
      <c r="E549" t="s">
        <v>204</v>
      </c>
      <c r="F549" t="s">
        <v>199</v>
      </c>
      <c r="G549" t="s">
        <v>201</v>
      </c>
      <c r="H549">
        <v>0</v>
      </c>
    </row>
    <row r="550" spans="1:8" x14ac:dyDescent="0.3">
      <c r="A550">
        <v>2019</v>
      </c>
      <c r="B550" t="s">
        <v>26</v>
      </c>
      <c r="C550" t="s">
        <v>267</v>
      </c>
      <c r="D550" t="s">
        <v>268</v>
      </c>
      <c r="E550" t="s">
        <v>205</v>
      </c>
      <c r="F550" t="s">
        <v>199</v>
      </c>
      <c r="G550" t="s">
        <v>201</v>
      </c>
      <c r="H550">
        <v>0</v>
      </c>
    </row>
    <row r="551" spans="1:8" x14ac:dyDescent="0.3">
      <c r="A551">
        <v>2019</v>
      </c>
      <c r="B551" t="s">
        <v>26</v>
      </c>
      <c r="C551" t="s">
        <v>267</v>
      </c>
      <c r="D551" t="s">
        <v>268</v>
      </c>
      <c r="E551" t="s">
        <v>206</v>
      </c>
      <c r="F551" t="s">
        <v>199</v>
      </c>
      <c r="G551" t="s">
        <v>201</v>
      </c>
      <c r="H551">
        <v>0</v>
      </c>
    </row>
    <row r="552" spans="1:8" x14ac:dyDescent="0.3">
      <c r="A552">
        <v>2019</v>
      </c>
      <c r="B552" t="s">
        <v>27</v>
      </c>
      <c r="C552" t="s">
        <v>267</v>
      </c>
      <c r="D552" t="s">
        <v>268</v>
      </c>
      <c r="E552" t="s">
        <v>1</v>
      </c>
      <c r="F552" t="s">
        <v>199</v>
      </c>
      <c r="G552" t="s">
        <v>201</v>
      </c>
      <c r="H552">
        <v>1</v>
      </c>
    </row>
    <row r="553" spans="1:8" x14ac:dyDescent="0.3">
      <c r="A553">
        <v>2019</v>
      </c>
      <c r="B553" t="s">
        <v>27</v>
      </c>
      <c r="C553" t="s">
        <v>267</v>
      </c>
      <c r="D553" t="s">
        <v>268</v>
      </c>
      <c r="E553" t="s">
        <v>203</v>
      </c>
      <c r="F553" t="s">
        <v>199</v>
      </c>
      <c r="G553" t="s">
        <v>201</v>
      </c>
      <c r="H553">
        <v>1</v>
      </c>
    </row>
    <row r="554" spans="1:8" x14ac:dyDescent="0.3">
      <c r="A554">
        <v>2019</v>
      </c>
      <c r="B554" t="s">
        <v>27</v>
      </c>
      <c r="C554" t="s">
        <v>267</v>
      </c>
      <c r="D554" t="s">
        <v>268</v>
      </c>
      <c r="E554" t="s">
        <v>204</v>
      </c>
      <c r="F554" t="s">
        <v>199</v>
      </c>
      <c r="G554" t="s">
        <v>201</v>
      </c>
      <c r="H554">
        <v>1</v>
      </c>
    </row>
    <row r="555" spans="1:8" x14ac:dyDescent="0.3">
      <c r="A555">
        <v>2019</v>
      </c>
      <c r="B555" t="s">
        <v>27</v>
      </c>
      <c r="C555" t="s">
        <v>267</v>
      </c>
      <c r="D555" t="s">
        <v>268</v>
      </c>
      <c r="E555" t="s">
        <v>205</v>
      </c>
      <c r="F555" t="s">
        <v>199</v>
      </c>
      <c r="G555" t="s">
        <v>201</v>
      </c>
      <c r="H555">
        <v>0</v>
      </c>
    </row>
    <row r="556" spans="1:8" x14ac:dyDescent="0.3">
      <c r="A556">
        <v>2019</v>
      </c>
      <c r="B556" t="s">
        <v>27</v>
      </c>
      <c r="C556" t="s">
        <v>267</v>
      </c>
      <c r="D556" t="s">
        <v>268</v>
      </c>
      <c r="E556" t="s">
        <v>206</v>
      </c>
      <c r="F556" t="s">
        <v>199</v>
      </c>
      <c r="G556" t="s">
        <v>201</v>
      </c>
      <c r="H556">
        <v>32</v>
      </c>
    </row>
    <row r="557" spans="1:8" x14ac:dyDescent="0.3">
      <c r="A557">
        <v>2019</v>
      </c>
      <c r="B557" t="s">
        <v>219</v>
      </c>
      <c r="C557" t="s">
        <v>267</v>
      </c>
      <c r="D557" t="s">
        <v>268</v>
      </c>
      <c r="E557" t="s">
        <v>1</v>
      </c>
      <c r="F557" t="s">
        <v>199</v>
      </c>
      <c r="G557" t="s">
        <v>201</v>
      </c>
    </row>
    <row r="558" spans="1:8" x14ac:dyDescent="0.3">
      <c r="A558">
        <v>2019</v>
      </c>
      <c r="B558" t="s">
        <v>219</v>
      </c>
      <c r="C558" t="s">
        <v>267</v>
      </c>
      <c r="D558" t="s">
        <v>268</v>
      </c>
      <c r="E558" t="s">
        <v>203</v>
      </c>
      <c r="F558" t="s">
        <v>199</v>
      </c>
      <c r="G558" t="s">
        <v>201</v>
      </c>
    </row>
    <row r="559" spans="1:8" x14ac:dyDescent="0.3">
      <c r="A559">
        <v>2019</v>
      </c>
      <c r="B559" t="s">
        <v>219</v>
      </c>
      <c r="C559" t="s">
        <v>267</v>
      </c>
      <c r="D559" t="s">
        <v>268</v>
      </c>
      <c r="E559" t="s">
        <v>204</v>
      </c>
      <c r="F559" t="s">
        <v>199</v>
      </c>
      <c r="G559" t="s">
        <v>201</v>
      </c>
    </row>
    <row r="560" spans="1:8" x14ac:dyDescent="0.3">
      <c r="A560">
        <v>2019</v>
      </c>
      <c r="B560" t="s">
        <v>219</v>
      </c>
      <c r="C560" t="s">
        <v>267</v>
      </c>
      <c r="D560" t="s">
        <v>268</v>
      </c>
      <c r="E560" t="s">
        <v>205</v>
      </c>
      <c r="F560" t="s">
        <v>199</v>
      </c>
      <c r="G560" t="s">
        <v>201</v>
      </c>
    </row>
    <row r="561" spans="1:8" x14ac:dyDescent="0.3">
      <c r="A561">
        <v>2019</v>
      </c>
      <c r="B561" t="s">
        <v>219</v>
      </c>
      <c r="C561" t="s">
        <v>267</v>
      </c>
      <c r="D561" t="s">
        <v>268</v>
      </c>
      <c r="E561" t="s">
        <v>206</v>
      </c>
      <c r="F561" t="s">
        <v>199</v>
      </c>
      <c r="G561" t="s">
        <v>201</v>
      </c>
    </row>
    <row r="562" spans="1:8" x14ac:dyDescent="0.3">
      <c r="A562">
        <v>2019</v>
      </c>
      <c r="B562" t="s">
        <v>46</v>
      </c>
      <c r="C562" t="s">
        <v>267</v>
      </c>
      <c r="D562" t="s">
        <v>268</v>
      </c>
      <c r="E562" t="s">
        <v>1</v>
      </c>
      <c r="F562" t="s">
        <v>199</v>
      </c>
      <c r="G562" t="s">
        <v>201</v>
      </c>
    </row>
    <row r="563" spans="1:8" x14ac:dyDescent="0.3">
      <c r="A563">
        <v>2019</v>
      </c>
      <c r="B563" t="s">
        <v>46</v>
      </c>
      <c r="C563" t="s">
        <v>267</v>
      </c>
      <c r="D563" t="s">
        <v>268</v>
      </c>
      <c r="E563" t="s">
        <v>203</v>
      </c>
      <c r="F563" t="s">
        <v>199</v>
      </c>
      <c r="G563" t="s">
        <v>201</v>
      </c>
    </row>
    <row r="564" spans="1:8" x14ac:dyDescent="0.3">
      <c r="A564">
        <v>2019</v>
      </c>
      <c r="B564" t="s">
        <v>46</v>
      </c>
      <c r="C564" t="s">
        <v>267</v>
      </c>
      <c r="D564" t="s">
        <v>268</v>
      </c>
      <c r="E564" t="s">
        <v>204</v>
      </c>
      <c r="F564" t="s">
        <v>199</v>
      </c>
      <c r="G564" t="s">
        <v>201</v>
      </c>
    </row>
    <row r="565" spans="1:8" x14ac:dyDescent="0.3">
      <c r="A565">
        <v>2019</v>
      </c>
      <c r="B565" t="s">
        <v>46</v>
      </c>
      <c r="C565" t="s">
        <v>267</v>
      </c>
      <c r="D565" t="s">
        <v>268</v>
      </c>
      <c r="E565" t="s">
        <v>205</v>
      </c>
      <c r="F565" t="s">
        <v>199</v>
      </c>
      <c r="G565" t="s">
        <v>201</v>
      </c>
    </row>
    <row r="566" spans="1:8" x14ac:dyDescent="0.3">
      <c r="A566">
        <v>2019</v>
      </c>
      <c r="B566" t="s">
        <v>46</v>
      </c>
      <c r="C566" t="s">
        <v>267</v>
      </c>
      <c r="D566" t="s">
        <v>268</v>
      </c>
      <c r="E566" t="s">
        <v>206</v>
      </c>
      <c r="F566" t="s">
        <v>199</v>
      </c>
      <c r="G566" t="s">
        <v>201</v>
      </c>
    </row>
    <row r="567" spans="1:8" x14ac:dyDescent="0.3">
      <c r="A567">
        <v>2019</v>
      </c>
      <c r="B567" t="s">
        <v>29</v>
      </c>
      <c r="C567" t="s">
        <v>267</v>
      </c>
      <c r="D567" t="s">
        <v>268</v>
      </c>
      <c r="E567" t="s">
        <v>1</v>
      </c>
      <c r="F567" t="s">
        <v>199</v>
      </c>
      <c r="G567" t="s">
        <v>201</v>
      </c>
      <c r="H567">
        <v>5</v>
      </c>
    </row>
    <row r="568" spans="1:8" x14ac:dyDescent="0.3">
      <c r="A568">
        <v>2019</v>
      </c>
      <c r="B568" t="s">
        <v>29</v>
      </c>
      <c r="C568" t="s">
        <v>267</v>
      </c>
      <c r="D568" t="s">
        <v>268</v>
      </c>
      <c r="E568" t="s">
        <v>203</v>
      </c>
      <c r="F568" t="s">
        <v>199</v>
      </c>
      <c r="G568" t="s">
        <v>201</v>
      </c>
      <c r="H568">
        <v>0</v>
      </c>
    </row>
    <row r="569" spans="1:8" x14ac:dyDescent="0.3">
      <c r="A569">
        <v>2019</v>
      </c>
      <c r="B569" t="s">
        <v>29</v>
      </c>
      <c r="C569" t="s">
        <v>267</v>
      </c>
      <c r="D569" t="s">
        <v>268</v>
      </c>
      <c r="E569" t="s">
        <v>204</v>
      </c>
      <c r="F569" t="s">
        <v>199</v>
      </c>
      <c r="G569" t="s">
        <v>201</v>
      </c>
      <c r="H569">
        <v>0</v>
      </c>
    </row>
    <row r="570" spans="1:8" x14ac:dyDescent="0.3">
      <c r="A570">
        <v>2019</v>
      </c>
      <c r="B570" t="s">
        <v>29</v>
      </c>
      <c r="C570" t="s">
        <v>267</v>
      </c>
      <c r="D570" t="s">
        <v>268</v>
      </c>
      <c r="E570" t="s">
        <v>205</v>
      </c>
      <c r="F570" t="s">
        <v>199</v>
      </c>
      <c r="G570" t="s">
        <v>201</v>
      </c>
      <c r="H570">
        <v>0</v>
      </c>
    </row>
    <row r="571" spans="1:8" x14ac:dyDescent="0.3">
      <c r="A571">
        <v>2019</v>
      </c>
      <c r="B571" t="s">
        <v>29</v>
      </c>
      <c r="C571" t="s">
        <v>267</v>
      </c>
      <c r="D571" t="s">
        <v>268</v>
      </c>
      <c r="E571" t="s">
        <v>206</v>
      </c>
      <c r="F571" t="s">
        <v>199</v>
      </c>
      <c r="G571" t="s">
        <v>201</v>
      </c>
    </row>
    <row r="572" spans="1:8" x14ac:dyDescent="0.3">
      <c r="A572">
        <v>2019</v>
      </c>
      <c r="B572" t="s">
        <v>30</v>
      </c>
      <c r="C572" t="s">
        <v>267</v>
      </c>
      <c r="D572" t="s">
        <v>268</v>
      </c>
      <c r="E572" t="s">
        <v>1</v>
      </c>
      <c r="F572" t="s">
        <v>199</v>
      </c>
      <c r="G572" t="s">
        <v>201</v>
      </c>
      <c r="H572">
        <v>0</v>
      </c>
    </row>
    <row r="573" spans="1:8" x14ac:dyDescent="0.3">
      <c r="A573">
        <v>2019</v>
      </c>
      <c r="B573" t="s">
        <v>30</v>
      </c>
      <c r="C573" t="s">
        <v>267</v>
      </c>
      <c r="D573" t="s">
        <v>268</v>
      </c>
      <c r="E573" t="s">
        <v>203</v>
      </c>
      <c r="F573" t="s">
        <v>199</v>
      </c>
      <c r="G573" t="s">
        <v>201</v>
      </c>
      <c r="H573">
        <v>0</v>
      </c>
    </row>
    <row r="574" spans="1:8" x14ac:dyDescent="0.3">
      <c r="A574">
        <v>2019</v>
      </c>
      <c r="B574" t="s">
        <v>30</v>
      </c>
      <c r="C574" t="s">
        <v>267</v>
      </c>
      <c r="D574" t="s">
        <v>268</v>
      </c>
      <c r="E574" t="s">
        <v>204</v>
      </c>
      <c r="F574" t="s">
        <v>199</v>
      </c>
      <c r="G574" t="s">
        <v>201</v>
      </c>
      <c r="H574">
        <v>0</v>
      </c>
    </row>
    <row r="575" spans="1:8" x14ac:dyDescent="0.3">
      <c r="A575">
        <v>2019</v>
      </c>
      <c r="B575" t="s">
        <v>30</v>
      </c>
      <c r="C575" t="s">
        <v>267</v>
      </c>
      <c r="D575" t="s">
        <v>268</v>
      </c>
      <c r="E575" t="s">
        <v>205</v>
      </c>
      <c r="F575" t="s">
        <v>199</v>
      </c>
      <c r="G575" t="s">
        <v>201</v>
      </c>
      <c r="H575">
        <v>0</v>
      </c>
    </row>
    <row r="576" spans="1:8" x14ac:dyDescent="0.3">
      <c r="A576">
        <v>2019</v>
      </c>
      <c r="B576" t="s">
        <v>30</v>
      </c>
      <c r="C576" t="s">
        <v>267</v>
      </c>
      <c r="D576" t="s">
        <v>268</v>
      </c>
      <c r="E576" t="s">
        <v>206</v>
      </c>
      <c r="F576" t="s">
        <v>199</v>
      </c>
      <c r="G576" t="s">
        <v>201</v>
      </c>
      <c r="H576">
        <v>0</v>
      </c>
    </row>
    <row r="577" spans="1:8" x14ac:dyDescent="0.3">
      <c r="A577">
        <v>2019</v>
      </c>
      <c r="B577" t="s">
        <v>31</v>
      </c>
      <c r="C577" t="s">
        <v>267</v>
      </c>
      <c r="D577" t="s">
        <v>268</v>
      </c>
      <c r="E577" t="s">
        <v>1</v>
      </c>
      <c r="F577" t="s">
        <v>199</v>
      </c>
      <c r="G577" t="s">
        <v>201</v>
      </c>
      <c r="H577">
        <v>1</v>
      </c>
    </row>
    <row r="578" spans="1:8" x14ac:dyDescent="0.3">
      <c r="A578">
        <v>2019</v>
      </c>
      <c r="B578" t="s">
        <v>31</v>
      </c>
      <c r="C578" t="s">
        <v>267</v>
      </c>
      <c r="D578" t="s">
        <v>268</v>
      </c>
      <c r="E578" t="s">
        <v>203</v>
      </c>
      <c r="F578" t="s">
        <v>199</v>
      </c>
      <c r="G578" t="s">
        <v>201</v>
      </c>
      <c r="H578">
        <v>0</v>
      </c>
    </row>
    <row r="579" spans="1:8" x14ac:dyDescent="0.3">
      <c r="A579">
        <v>2019</v>
      </c>
      <c r="B579" t="s">
        <v>31</v>
      </c>
      <c r="C579" t="s">
        <v>267</v>
      </c>
      <c r="D579" t="s">
        <v>268</v>
      </c>
      <c r="E579" t="s">
        <v>204</v>
      </c>
      <c r="F579" t="s">
        <v>199</v>
      </c>
      <c r="G579" t="s">
        <v>201</v>
      </c>
      <c r="H579">
        <v>1</v>
      </c>
    </row>
    <row r="580" spans="1:8" x14ac:dyDescent="0.3">
      <c r="A580">
        <v>2019</v>
      </c>
      <c r="B580" t="s">
        <v>31</v>
      </c>
      <c r="C580" t="s">
        <v>267</v>
      </c>
      <c r="D580" t="s">
        <v>268</v>
      </c>
      <c r="E580" t="s">
        <v>205</v>
      </c>
      <c r="F580" t="s">
        <v>199</v>
      </c>
      <c r="G580" t="s">
        <v>201</v>
      </c>
      <c r="H580">
        <v>0</v>
      </c>
    </row>
    <row r="581" spans="1:8" x14ac:dyDescent="0.3">
      <c r="A581">
        <v>2019</v>
      </c>
      <c r="B581" t="s">
        <v>31</v>
      </c>
      <c r="C581" t="s">
        <v>267</v>
      </c>
      <c r="D581" t="s">
        <v>268</v>
      </c>
      <c r="E581" t="s">
        <v>206</v>
      </c>
      <c r="F581" t="s">
        <v>199</v>
      </c>
      <c r="G581" t="s">
        <v>201</v>
      </c>
      <c r="H581">
        <v>18</v>
      </c>
    </row>
    <row r="582" spans="1:8" x14ac:dyDescent="0.3">
      <c r="A582">
        <v>2019</v>
      </c>
      <c r="B582" t="s">
        <v>32</v>
      </c>
      <c r="C582" t="s">
        <v>267</v>
      </c>
      <c r="D582" t="s">
        <v>268</v>
      </c>
      <c r="E582" t="s">
        <v>1</v>
      </c>
      <c r="F582" t="s">
        <v>199</v>
      </c>
      <c r="G582" t="s">
        <v>201</v>
      </c>
    </row>
    <row r="583" spans="1:8" x14ac:dyDescent="0.3">
      <c r="A583">
        <v>2019</v>
      </c>
      <c r="B583" t="s">
        <v>32</v>
      </c>
      <c r="C583" t="s">
        <v>267</v>
      </c>
      <c r="D583" t="s">
        <v>268</v>
      </c>
      <c r="E583" t="s">
        <v>203</v>
      </c>
      <c r="F583" t="s">
        <v>199</v>
      </c>
      <c r="G583" t="s">
        <v>201</v>
      </c>
    </row>
    <row r="584" spans="1:8" x14ac:dyDescent="0.3">
      <c r="A584">
        <v>2019</v>
      </c>
      <c r="B584" t="s">
        <v>32</v>
      </c>
      <c r="C584" t="s">
        <v>267</v>
      </c>
      <c r="D584" t="s">
        <v>268</v>
      </c>
      <c r="E584" t="s">
        <v>204</v>
      </c>
      <c r="F584" t="s">
        <v>199</v>
      </c>
      <c r="G584" t="s">
        <v>201</v>
      </c>
    </row>
    <row r="585" spans="1:8" x14ac:dyDescent="0.3">
      <c r="A585">
        <v>2019</v>
      </c>
      <c r="B585" t="s">
        <v>32</v>
      </c>
      <c r="C585" t="s">
        <v>267</v>
      </c>
      <c r="D585" t="s">
        <v>268</v>
      </c>
      <c r="E585" t="s">
        <v>205</v>
      </c>
      <c r="F585" t="s">
        <v>199</v>
      </c>
      <c r="G585" t="s">
        <v>201</v>
      </c>
    </row>
    <row r="586" spans="1:8" x14ac:dyDescent="0.3">
      <c r="A586">
        <v>2019</v>
      </c>
      <c r="B586" t="s">
        <v>32</v>
      </c>
      <c r="C586" t="s">
        <v>267</v>
      </c>
      <c r="D586" t="s">
        <v>268</v>
      </c>
      <c r="E586" t="s">
        <v>206</v>
      </c>
      <c r="F586" t="s">
        <v>199</v>
      </c>
      <c r="G586" t="s">
        <v>201</v>
      </c>
    </row>
    <row r="587" spans="1:8" x14ac:dyDescent="0.3">
      <c r="A587">
        <v>2019</v>
      </c>
      <c r="B587" t="s">
        <v>49</v>
      </c>
      <c r="C587" t="s">
        <v>267</v>
      </c>
      <c r="D587" t="s">
        <v>268</v>
      </c>
      <c r="E587" t="s">
        <v>1</v>
      </c>
      <c r="F587" t="s">
        <v>199</v>
      </c>
      <c r="G587" t="s">
        <v>201</v>
      </c>
      <c r="H587">
        <v>3</v>
      </c>
    </row>
    <row r="588" spans="1:8" x14ac:dyDescent="0.3">
      <c r="A588">
        <v>2019</v>
      </c>
      <c r="B588" t="s">
        <v>49</v>
      </c>
      <c r="C588" t="s">
        <v>267</v>
      </c>
      <c r="D588" t="s">
        <v>268</v>
      </c>
      <c r="E588" t="s">
        <v>203</v>
      </c>
      <c r="F588" t="s">
        <v>199</v>
      </c>
      <c r="G588" t="s">
        <v>201</v>
      </c>
      <c r="H588">
        <v>1</v>
      </c>
    </row>
    <row r="589" spans="1:8" x14ac:dyDescent="0.3">
      <c r="A589">
        <v>2019</v>
      </c>
      <c r="B589" t="s">
        <v>49</v>
      </c>
      <c r="C589" t="s">
        <v>267</v>
      </c>
      <c r="D589" t="s">
        <v>268</v>
      </c>
      <c r="E589" t="s">
        <v>204</v>
      </c>
      <c r="F589" t="s">
        <v>199</v>
      </c>
      <c r="G589" t="s">
        <v>201</v>
      </c>
      <c r="H589">
        <v>0</v>
      </c>
    </row>
    <row r="590" spans="1:8" x14ac:dyDescent="0.3">
      <c r="A590">
        <v>2019</v>
      </c>
      <c r="B590" t="s">
        <v>49</v>
      </c>
      <c r="C590" t="s">
        <v>267</v>
      </c>
      <c r="D590" t="s">
        <v>268</v>
      </c>
      <c r="E590" t="s">
        <v>205</v>
      </c>
      <c r="F590" t="s">
        <v>199</v>
      </c>
      <c r="G590" t="s">
        <v>201</v>
      </c>
      <c r="H590">
        <v>0</v>
      </c>
    </row>
    <row r="591" spans="1:8" x14ac:dyDescent="0.3">
      <c r="A591">
        <v>2019</v>
      </c>
      <c r="B591" t="s">
        <v>49</v>
      </c>
      <c r="C591" t="s">
        <v>267</v>
      </c>
      <c r="D591" t="s">
        <v>268</v>
      </c>
      <c r="E591" t="s">
        <v>206</v>
      </c>
      <c r="F591" t="s">
        <v>199</v>
      </c>
      <c r="G591" t="s">
        <v>201</v>
      </c>
      <c r="H591">
        <v>14</v>
      </c>
    </row>
    <row r="592" spans="1:8" x14ac:dyDescent="0.3">
      <c r="A592">
        <v>2019</v>
      </c>
      <c r="B592" t="s">
        <v>33</v>
      </c>
      <c r="C592" t="s">
        <v>267</v>
      </c>
      <c r="D592" t="s">
        <v>268</v>
      </c>
      <c r="E592" t="s">
        <v>1</v>
      </c>
      <c r="F592" t="s">
        <v>199</v>
      </c>
      <c r="G592" t="s">
        <v>201</v>
      </c>
      <c r="H592">
        <v>1</v>
      </c>
    </row>
    <row r="593" spans="1:8" x14ac:dyDescent="0.3">
      <c r="A593">
        <v>2019</v>
      </c>
      <c r="B593" t="s">
        <v>33</v>
      </c>
      <c r="C593" t="s">
        <v>267</v>
      </c>
      <c r="D593" t="s">
        <v>268</v>
      </c>
      <c r="E593" t="s">
        <v>203</v>
      </c>
      <c r="F593" t="s">
        <v>199</v>
      </c>
      <c r="G593" t="s">
        <v>201</v>
      </c>
      <c r="H593">
        <v>0</v>
      </c>
    </row>
    <row r="594" spans="1:8" x14ac:dyDescent="0.3">
      <c r="A594">
        <v>2019</v>
      </c>
      <c r="B594" t="s">
        <v>33</v>
      </c>
      <c r="C594" t="s">
        <v>267</v>
      </c>
      <c r="D594" t="s">
        <v>268</v>
      </c>
      <c r="E594" t="s">
        <v>204</v>
      </c>
      <c r="F594" t="s">
        <v>199</v>
      </c>
      <c r="G594" t="s">
        <v>201</v>
      </c>
      <c r="H594">
        <v>0</v>
      </c>
    </row>
    <row r="595" spans="1:8" x14ac:dyDescent="0.3">
      <c r="A595">
        <v>2019</v>
      </c>
      <c r="B595" t="s">
        <v>33</v>
      </c>
      <c r="C595" t="s">
        <v>267</v>
      </c>
      <c r="D595" t="s">
        <v>268</v>
      </c>
      <c r="E595" t="s">
        <v>205</v>
      </c>
      <c r="F595" t="s">
        <v>199</v>
      </c>
      <c r="G595" t="s">
        <v>201</v>
      </c>
      <c r="H595">
        <v>0</v>
      </c>
    </row>
    <row r="596" spans="1:8" x14ac:dyDescent="0.3">
      <c r="A596">
        <v>2019</v>
      </c>
      <c r="B596" t="s">
        <v>33</v>
      </c>
      <c r="C596" t="s">
        <v>267</v>
      </c>
      <c r="D596" t="s">
        <v>268</v>
      </c>
      <c r="E596" t="s">
        <v>206</v>
      </c>
      <c r="F596" t="s">
        <v>199</v>
      </c>
      <c r="G596" t="s">
        <v>201</v>
      </c>
      <c r="H596">
        <v>0</v>
      </c>
    </row>
    <row r="597" spans="1:8" x14ac:dyDescent="0.3">
      <c r="A597">
        <v>2019</v>
      </c>
      <c r="B597" t="s">
        <v>34</v>
      </c>
      <c r="C597" t="s">
        <v>267</v>
      </c>
      <c r="D597" t="s">
        <v>268</v>
      </c>
      <c r="E597" t="s">
        <v>1</v>
      </c>
      <c r="F597" t="s">
        <v>199</v>
      </c>
      <c r="G597" t="s">
        <v>201</v>
      </c>
      <c r="H597">
        <v>0</v>
      </c>
    </row>
    <row r="598" spans="1:8" x14ac:dyDescent="0.3">
      <c r="A598">
        <v>2019</v>
      </c>
      <c r="B598" t="s">
        <v>34</v>
      </c>
      <c r="C598" t="s">
        <v>267</v>
      </c>
      <c r="D598" t="s">
        <v>268</v>
      </c>
      <c r="E598" t="s">
        <v>203</v>
      </c>
      <c r="F598" t="s">
        <v>199</v>
      </c>
      <c r="G598" t="s">
        <v>201</v>
      </c>
      <c r="H598">
        <v>0</v>
      </c>
    </row>
    <row r="599" spans="1:8" x14ac:dyDescent="0.3">
      <c r="A599">
        <v>2019</v>
      </c>
      <c r="B599" t="s">
        <v>34</v>
      </c>
      <c r="C599" t="s">
        <v>267</v>
      </c>
      <c r="D599" t="s">
        <v>268</v>
      </c>
      <c r="E599" t="s">
        <v>204</v>
      </c>
      <c r="F599" t="s">
        <v>199</v>
      </c>
      <c r="G599" t="s">
        <v>201</v>
      </c>
      <c r="H599">
        <v>0</v>
      </c>
    </row>
    <row r="600" spans="1:8" x14ac:dyDescent="0.3">
      <c r="A600">
        <v>2019</v>
      </c>
      <c r="B600" t="s">
        <v>34</v>
      </c>
      <c r="C600" t="s">
        <v>267</v>
      </c>
      <c r="D600" t="s">
        <v>268</v>
      </c>
      <c r="E600" t="s">
        <v>205</v>
      </c>
      <c r="F600" t="s">
        <v>199</v>
      </c>
      <c r="G600" t="s">
        <v>201</v>
      </c>
      <c r="H600">
        <v>0</v>
      </c>
    </row>
    <row r="601" spans="1:8" x14ac:dyDescent="0.3">
      <c r="A601">
        <v>2019</v>
      </c>
      <c r="B601" t="s">
        <v>34</v>
      </c>
      <c r="C601" t="s">
        <v>267</v>
      </c>
      <c r="D601" t="s">
        <v>268</v>
      </c>
      <c r="E601" t="s">
        <v>206</v>
      </c>
      <c r="F601" t="s">
        <v>199</v>
      </c>
      <c r="G601" t="s">
        <v>201</v>
      </c>
      <c r="H601">
        <v>0</v>
      </c>
    </row>
    <row r="602" spans="1:8" x14ac:dyDescent="0.3">
      <c r="A602">
        <v>2019</v>
      </c>
      <c r="B602" t="s">
        <v>35</v>
      </c>
      <c r="C602" t="s">
        <v>267</v>
      </c>
      <c r="D602" t="s">
        <v>268</v>
      </c>
      <c r="E602" t="s">
        <v>1</v>
      </c>
      <c r="F602" t="s">
        <v>199</v>
      </c>
      <c r="G602" t="s">
        <v>201</v>
      </c>
      <c r="H602">
        <v>2</v>
      </c>
    </row>
    <row r="603" spans="1:8" x14ac:dyDescent="0.3">
      <c r="A603">
        <v>2019</v>
      </c>
      <c r="B603" t="s">
        <v>35</v>
      </c>
      <c r="C603" t="s">
        <v>267</v>
      </c>
      <c r="D603" t="s">
        <v>268</v>
      </c>
      <c r="E603" t="s">
        <v>203</v>
      </c>
      <c r="F603" t="s">
        <v>199</v>
      </c>
      <c r="G603" t="s">
        <v>201</v>
      </c>
      <c r="H603">
        <v>0</v>
      </c>
    </row>
    <row r="604" spans="1:8" x14ac:dyDescent="0.3">
      <c r="A604">
        <v>2019</v>
      </c>
      <c r="B604" t="s">
        <v>35</v>
      </c>
      <c r="C604" t="s">
        <v>267</v>
      </c>
      <c r="D604" t="s">
        <v>268</v>
      </c>
      <c r="E604" t="s">
        <v>204</v>
      </c>
      <c r="F604" t="s">
        <v>199</v>
      </c>
      <c r="G604" t="s">
        <v>201</v>
      </c>
      <c r="H604">
        <v>0</v>
      </c>
    </row>
    <row r="605" spans="1:8" x14ac:dyDescent="0.3">
      <c r="A605">
        <v>2019</v>
      </c>
      <c r="B605" t="s">
        <v>35</v>
      </c>
      <c r="C605" t="s">
        <v>267</v>
      </c>
      <c r="D605" t="s">
        <v>268</v>
      </c>
      <c r="E605" t="s">
        <v>205</v>
      </c>
      <c r="F605" t="s">
        <v>199</v>
      </c>
      <c r="G605" t="s">
        <v>201</v>
      </c>
      <c r="H605">
        <v>0</v>
      </c>
    </row>
    <row r="606" spans="1:8" x14ac:dyDescent="0.3">
      <c r="A606">
        <v>2019</v>
      </c>
      <c r="B606" t="s">
        <v>35</v>
      </c>
      <c r="C606" t="s">
        <v>267</v>
      </c>
      <c r="D606" t="s">
        <v>268</v>
      </c>
      <c r="E606" t="s">
        <v>206</v>
      </c>
      <c r="F606" t="s">
        <v>199</v>
      </c>
      <c r="G606" t="s">
        <v>201</v>
      </c>
    </row>
    <row r="607" spans="1:8" x14ac:dyDescent="0.3">
      <c r="A607">
        <v>2019</v>
      </c>
      <c r="B607" t="s">
        <v>36</v>
      </c>
      <c r="C607" t="s">
        <v>267</v>
      </c>
      <c r="D607" t="s">
        <v>268</v>
      </c>
      <c r="E607" t="s">
        <v>1</v>
      </c>
      <c r="F607" t="s">
        <v>199</v>
      </c>
      <c r="G607" t="s">
        <v>201</v>
      </c>
      <c r="H607">
        <v>0</v>
      </c>
    </row>
    <row r="608" spans="1:8" x14ac:dyDescent="0.3">
      <c r="A608">
        <v>2019</v>
      </c>
      <c r="B608" t="s">
        <v>36</v>
      </c>
      <c r="C608" t="s">
        <v>267</v>
      </c>
      <c r="D608" t="s">
        <v>268</v>
      </c>
      <c r="E608" t="s">
        <v>203</v>
      </c>
      <c r="F608" t="s">
        <v>199</v>
      </c>
      <c r="G608" t="s">
        <v>201</v>
      </c>
      <c r="H608">
        <v>0</v>
      </c>
    </row>
    <row r="609" spans="1:8" x14ac:dyDescent="0.3">
      <c r="A609">
        <v>2019</v>
      </c>
      <c r="B609" t="s">
        <v>36</v>
      </c>
      <c r="C609" t="s">
        <v>267</v>
      </c>
      <c r="D609" t="s">
        <v>268</v>
      </c>
      <c r="E609" t="s">
        <v>204</v>
      </c>
      <c r="F609" t="s">
        <v>199</v>
      </c>
      <c r="G609" t="s">
        <v>201</v>
      </c>
      <c r="H609">
        <v>0</v>
      </c>
    </row>
    <row r="610" spans="1:8" x14ac:dyDescent="0.3">
      <c r="A610">
        <v>2019</v>
      </c>
      <c r="B610" t="s">
        <v>36</v>
      </c>
      <c r="C610" t="s">
        <v>267</v>
      </c>
      <c r="D610" t="s">
        <v>268</v>
      </c>
      <c r="E610" t="s">
        <v>205</v>
      </c>
      <c r="F610" t="s">
        <v>199</v>
      </c>
      <c r="G610" t="s">
        <v>201</v>
      </c>
      <c r="H610">
        <v>0</v>
      </c>
    </row>
    <row r="611" spans="1:8" x14ac:dyDescent="0.3">
      <c r="A611">
        <v>2019</v>
      </c>
      <c r="B611" t="s">
        <v>36</v>
      </c>
      <c r="C611" t="s">
        <v>267</v>
      </c>
      <c r="D611" t="s">
        <v>268</v>
      </c>
      <c r="E611" t="s">
        <v>206</v>
      </c>
      <c r="F611" t="s">
        <v>199</v>
      </c>
      <c r="G611" t="s">
        <v>201</v>
      </c>
      <c r="H611">
        <v>0</v>
      </c>
    </row>
    <row r="612" spans="1:8" x14ac:dyDescent="0.3">
      <c r="A612">
        <v>2019</v>
      </c>
      <c r="B612" t="s">
        <v>37</v>
      </c>
      <c r="C612" t="s">
        <v>267</v>
      </c>
      <c r="D612" t="s">
        <v>268</v>
      </c>
      <c r="E612" t="s">
        <v>1</v>
      </c>
      <c r="F612" t="s">
        <v>199</v>
      </c>
      <c r="G612" t="s">
        <v>201</v>
      </c>
      <c r="H612">
        <v>2</v>
      </c>
    </row>
    <row r="613" spans="1:8" x14ac:dyDescent="0.3">
      <c r="A613">
        <v>2019</v>
      </c>
      <c r="B613" t="s">
        <v>37</v>
      </c>
      <c r="C613" t="s">
        <v>267</v>
      </c>
      <c r="D613" t="s">
        <v>268</v>
      </c>
      <c r="E613" t="s">
        <v>203</v>
      </c>
      <c r="F613" t="s">
        <v>199</v>
      </c>
      <c r="G613" t="s">
        <v>201</v>
      </c>
      <c r="H613">
        <v>1</v>
      </c>
    </row>
    <row r="614" spans="1:8" x14ac:dyDescent="0.3">
      <c r="A614">
        <v>2019</v>
      </c>
      <c r="B614" t="s">
        <v>37</v>
      </c>
      <c r="C614" t="s">
        <v>267</v>
      </c>
      <c r="D614" t="s">
        <v>268</v>
      </c>
      <c r="E614" t="s">
        <v>204</v>
      </c>
      <c r="F614" t="s">
        <v>199</v>
      </c>
      <c r="G614" t="s">
        <v>201</v>
      </c>
      <c r="H614">
        <v>0</v>
      </c>
    </row>
    <row r="615" spans="1:8" x14ac:dyDescent="0.3">
      <c r="A615">
        <v>2019</v>
      </c>
      <c r="B615" t="s">
        <v>37</v>
      </c>
      <c r="C615" t="s">
        <v>267</v>
      </c>
      <c r="D615" t="s">
        <v>268</v>
      </c>
      <c r="E615" t="s">
        <v>205</v>
      </c>
      <c r="F615" t="s">
        <v>199</v>
      </c>
      <c r="G615" t="s">
        <v>201</v>
      </c>
      <c r="H615">
        <v>0</v>
      </c>
    </row>
    <row r="616" spans="1:8" x14ac:dyDescent="0.3">
      <c r="A616">
        <v>2019</v>
      </c>
      <c r="B616" t="s">
        <v>37</v>
      </c>
      <c r="C616" t="s">
        <v>267</v>
      </c>
      <c r="D616" t="s">
        <v>268</v>
      </c>
      <c r="E616" t="s">
        <v>206</v>
      </c>
      <c r="F616" t="s">
        <v>199</v>
      </c>
      <c r="G616" t="s">
        <v>201</v>
      </c>
      <c r="H616">
        <v>16</v>
      </c>
    </row>
    <row r="617" spans="1:8" x14ac:dyDescent="0.3">
      <c r="A617">
        <v>2019</v>
      </c>
      <c r="B617" t="s">
        <v>38</v>
      </c>
      <c r="C617" t="s">
        <v>267</v>
      </c>
      <c r="D617" t="s">
        <v>268</v>
      </c>
      <c r="E617" t="s">
        <v>1</v>
      </c>
      <c r="F617" t="s">
        <v>199</v>
      </c>
      <c r="G617" t="s">
        <v>201</v>
      </c>
      <c r="H617">
        <v>2</v>
      </c>
    </row>
    <row r="618" spans="1:8" x14ac:dyDescent="0.3">
      <c r="A618">
        <v>2019</v>
      </c>
      <c r="B618" t="s">
        <v>38</v>
      </c>
      <c r="C618" t="s">
        <v>267</v>
      </c>
      <c r="D618" t="s">
        <v>268</v>
      </c>
      <c r="E618" t="s">
        <v>203</v>
      </c>
      <c r="F618" t="s">
        <v>199</v>
      </c>
      <c r="G618" t="s">
        <v>201</v>
      </c>
      <c r="H618">
        <v>0</v>
      </c>
    </row>
    <row r="619" spans="1:8" x14ac:dyDescent="0.3">
      <c r="A619">
        <v>2019</v>
      </c>
      <c r="B619" t="s">
        <v>38</v>
      </c>
      <c r="C619" t="s">
        <v>267</v>
      </c>
      <c r="D619" t="s">
        <v>268</v>
      </c>
      <c r="E619" t="s">
        <v>204</v>
      </c>
      <c r="F619" t="s">
        <v>199</v>
      </c>
      <c r="G619" t="s">
        <v>201</v>
      </c>
      <c r="H619">
        <v>0</v>
      </c>
    </row>
    <row r="620" spans="1:8" x14ac:dyDescent="0.3">
      <c r="A620">
        <v>2019</v>
      </c>
      <c r="B620" t="s">
        <v>38</v>
      </c>
      <c r="C620" t="s">
        <v>267</v>
      </c>
      <c r="D620" t="s">
        <v>268</v>
      </c>
      <c r="E620" t="s">
        <v>205</v>
      </c>
      <c r="F620" t="s">
        <v>199</v>
      </c>
      <c r="G620" t="s">
        <v>201</v>
      </c>
      <c r="H620">
        <v>0</v>
      </c>
    </row>
    <row r="621" spans="1:8" x14ac:dyDescent="0.3">
      <c r="A621">
        <v>2019</v>
      </c>
      <c r="B621" t="s">
        <v>38</v>
      </c>
      <c r="C621" t="s">
        <v>267</v>
      </c>
      <c r="D621" t="s">
        <v>268</v>
      </c>
      <c r="E621" t="s">
        <v>206</v>
      </c>
      <c r="F621" t="s">
        <v>199</v>
      </c>
      <c r="G621" t="s">
        <v>201</v>
      </c>
      <c r="H621">
        <v>0</v>
      </c>
    </row>
    <row r="622" spans="1:8" x14ac:dyDescent="0.3">
      <c r="A622">
        <v>2019</v>
      </c>
      <c r="B622" t="s">
        <v>39</v>
      </c>
      <c r="C622" t="s">
        <v>267</v>
      </c>
      <c r="D622" t="s">
        <v>268</v>
      </c>
      <c r="E622" t="s">
        <v>1</v>
      </c>
      <c r="F622" t="s">
        <v>199</v>
      </c>
      <c r="G622" t="s">
        <v>201</v>
      </c>
      <c r="H622">
        <v>2</v>
      </c>
    </row>
    <row r="623" spans="1:8" x14ac:dyDescent="0.3">
      <c r="A623">
        <v>2019</v>
      </c>
      <c r="B623" t="s">
        <v>39</v>
      </c>
      <c r="C623" t="s">
        <v>267</v>
      </c>
      <c r="D623" t="s">
        <v>268</v>
      </c>
      <c r="E623" t="s">
        <v>203</v>
      </c>
      <c r="F623" t="s">
        <v>199</v>
      </c>
      <c r="G623" t="s">
        <v>201</v>
      </c>
      <c r="H623">
        <v>0</v>
      </c>
    </row>
    <row r="624" spans="1:8" x14ac:dyDescent="0.3">
      <c r="A624">
        <v>2019</v>
      </c>
      <c r="B624" t="s">
        <v>39</v>
      </c>
      <c r="C624" t="s">
        <v>267</v>
      </c>
      <c r="D624" t="s">
        <v>268</v>
      </c>
      <c r="E624" t="s">
        <v>204</v>
      </c>
      <c r="F624" t="s">
        <v>199</v>
      </c>
      <c r="G624" t="s">
        <v>201</v>
      </c>
      <c r="H624">
        <v>0</v>
      </c>
    </row>
    <row r="625" spans="1:8" x14ac:dyDescent="0.3">
      <c r="A625">
        <v>2019</v>
      </c>
      <c r="B625" t="s">
        <v>39</v>
      </c>
      <c r="C625" t="s">
        <v>267</v>
      </c>
      <c r="D625" t="s">
        <v>268</v>
      </c>
      <c r="E625" t="s">
        <v>205</v>
      </c>
      <c r="F625" t="s">
        <v>199</v>
      </c>
      <c r="G625" t="s">
        <v>201</v>
      </c>
      <c r="H625">
        <v>0</v>
      </c>
    </row>
    <row r="626" spans="1:8" x14ac:dyDescent="0.3">
      <c r="A626">
        <v>2019</v>
      </c>
      <c r="B626" t="s">
        <v>39</v>
      </c>
      <c r="C626" t="s">
        <v>267</v>
      </c>
      <c r="D626" t="s">
        <v>268</v>
      </c>
      <c r="E626" t="s">
        <v>206</v>
      </c>
      <c r="F626" t="s">
        <v>199</v>
      </c>
      <c r="G626" t="s">
        <v>201</v>
      </c>
      <c r="H626">
        <v>0</v>
      </c>
    </row>
    <row r="627" spans="1:8" x14ac:dyDescent="0.3">
      <c r="A627">
        <v>2019</v>
      </c>
      <c r="B627" t="s">
        <v>50</v>
      </c>
      <c r="C627" t="s">
        <v>267</v>
      </c>
      <c r="D627" t="s">
        <v>268</v>
      </c>
      <c r="E627" t="s">
        <v>1</v>
      </c>
      <c r="F627" t="s">
        <v>199</v>
      </c>
      <c r="G627" t="s">
        <v>201</v>
      </c>
      <c r="H627">
        <v>2</v>
      </c>
    </row>
    <row r="628" spans="1:8" x14ac:dyDescent="0.3">
      <c r="A628">
        <v>2019</v>
      </c>
      <c r="B628" t="s">
        <v>50</v>
      </c>
      <c r="C628" t="s">
        <v>267</v>
      </c>
      <c r="D628" t="s">
        <v>268</v>
      </c>
      <c r="E628" t="s">
        <v>203</v>
      </c>
      <c r="F628" t="s">
        <v>199</v>
      </c>
      <c r="G628" t="s">
        <v>201</v>
      </c>
      <c r="H628">
        <v>0</v>
      </c>
    </row>
    <row r="629" spans="1:8" x14ac:dyDescent="0.3">
      <c r="A629">
        <v>2019</v>
      </c>
      <c r="B629" t="s">
        <v>50</v>
      </c>
      <c r="C629" t="s">
        <v>267</v>
      </c>
      <c r="D629" t="s">
        <v>268</v>
      </c>
      <c r="E629" t="s">
        <v>204</v>
      </c>
      <c r="F629" t="s">
        <v>199</v>
      </c>
      <c r="G629" t="s">
        <v>201</v>
      </c>
      <c r="H629">
        <v>0</v>
      </c>
    </row>
    <row r="630" spans="1:8" x14ac:dyDescent="0.3">
      <c r="A630">
        <v>2019</v>
      </c>
      <c r="B630" t="s">
        <v>50</v>
      </c>
      <c r="C630" t="s">
        <v>267</v>
      </c>
      <c r="D630" t="s">
        <v>268</v>
      </c>
      <c r="E630" t="s">
        <v>205</v>
      </c>
      <c r="F630" t="s">
        <v>199</v>
      </c>
      <c r="G630" t="s">
        <v>201</v>
      </c>
      <c r="H630">
        <v>0</v>
      </c>
    </row>
    <row r="631" spans="1:8" x14ac:dyDescent="0.3">
      <c r="A631">
        <v>2019</v>
      </c>
      <c r="B631" t="s">
        <v>50</v>
      </c>
      <c r="C631" t="s">
        <v>267</v>
      </c>
      <c r="D631" t="s">
        <v>268</v>
      </c>
      <c r="E631" t="s">
        <v>206</v>
      </c>
      <c r="F631" t="s">
        <v>199</v>
      </c>
      <c r="G631" t="s">
        <v>201</v>
      </c>
      <c r="H631">
        <v>0</v>
      </c>
    </row>
    <row r="632" spans="1:8" x14ac:dyDescent="0.3">
      <c r="A632">
        <v>2019</v>
      </c>
      <c r="B632" t="s">
        <v>40</v>
      </c>
      <c r="C632" t="s">
        <v>267</v>
      </c>
      <c r="D632" t="s">
        <v>268</v>
      </c>
      <c r="E632" t="s">
        <v>1</v>
      </c>
      <c r="F632" t="s">
        <v>199</v>
      </c>
      <c r="G632" t="s">
        <v>201</v>
      </c>
      <c r="H632">
        <v>3</v>
      </c>
    </row>
    <row r="633" spans="1:8" x14ac:dyDescent="0.3">
      <c r="A633">
        <v>2019</v>
      </c>
      <c r="B633" t="s">
        <v>40</v>
      </c>
      <c r="C633" t="s">
        <v>267</v>
      </c>
      <c r="D633" t="s">
        <v>268</v>
      </c>
      <c r="E633" t="s">
        <v>203</v>
      </c>
      <c r="F633" t="s">
        <v>199</v>
      </c>
      <c r="G633" t="s">
        <v>201</v>
      </c>
      <c r="H633">
        <v>0</v>
      </c>
    </row>
    <row r="634" spans="1:8" x14ac:dyDescent="0.3">
      <c r="A634">
        <v>2019</v>
      </c>
      <c r="B634" t="s">
        <v>40</v>
      </c>
      <c r="C634" t="s">
        <v>267</v>
      </c>
      <c r="D634" t="s">
        <v>268</v>
      </c>
      <c r="E634" t="s">
        <v>204</v>
      </c>
      <c r="F634" t="s">
        <v>199</v>
      </c>
      <c r="G634" t="s">
        <v>201</v>
      </c>
      <c r="H634">
        <v>0</v>
      </c>
    </row>
    <row r="635" spans="1:8" x14ac:dyDescent="0.3">
      <c r="A635">
        <v>2019</v>
      </c>
      <c r="B635" t="s">
        <v>40</v>
      </c>
      <c r="C635" t="s">
        <v>267</v>
      </c>
      <c r="D635" t="s">
        <v>268</v>
      </c>
      <c r="E635" t="s">
        <v>205</v>
      </c>
      <c r="F635" t="s">
        <v>199</v>
      </c>
      <c r="G635" t="s">
        <v>201</v>
      </c>
      <c r="H635">
        <v>0</v>
      </c>
    </row>
    <row r="636" spans="1:8" x14ac:dyDescent="0.3">
      <c r="A636">
        <v>2019</v>
      </c>
      <c r="B636" t="s">
        <v>40</v>
      </c>
      <c r="C636" t="s">
        <v>267</v>
      </c>
      <c r="D636" t="s">
        <v>268</v>
      </c>
      <c r="E636" t="s">
        <v>206</v>
      </c>
      <c r="F636" t="s">
        <v>199</v>
      </c>
      <c r="G636" t="s">
        <v>201</v>
      </c>
      <c r="H636">
        <v>0</v>
      </c>
    </row>
    <row r="637" spans="1:8" x14ac:dyDescent="0.3">
      <c r="A637">
        <v>2019</v>
      </c>
      <c r="B637" t="s">
        <v>41</v>
      </c>
      <c r="C637" t="s">
        <v>267</v>
      </c>
      <c r="D637" t="s">
        <v>268</v>
      </c>
      <c r="E637" t="s">
        <v>1</v>
      </c>
      <c r="F637" t="s">
        <v>199</v>
      </c>
      <c r="G637" t="s">
        <v>201</v>
      </c>
      <c r="H637">
        <v>0</v>
      </c>
    </row>
    <row r="638" spans="1:8" x14ac:dyDescent="0.3">
      <c r="A638">
        <v>2019</v>
      </c>
      <c r="B638" t="s">
        <v>41</v>
      </c>
      <c r="C638" t="s">
        <v>267</v>
      </c>
      <c r="D638" t="s">
        <v>268</v>
      </c>
      <c r="E638" t="s">
        <v>203</v>
      </c>
      <c r="F638" t="s">
        <v>199</v>
      </c>
      <c r="G638" t="s">
        <v>201</v>
      </c>
      <c r="H638">
        <v>0</v>
      </c>
    </row>
    <row r="639" spans="1:8" x14ac:dyDescent="0.3">
      <c r="A639">
        <v>2019</v>
      </c>
      <c r="B639" t="s">
        <v>41</v>
      </c>
      <c r="C639" t="s">
        <v>267</v>
      </c>
      <c r="D639" t="s">
        <v>268</v>
      </c>
      <c r="E639" t="s">
        <v>204</v>
      </c>
      <c r="F639" t="s">
        <v>199</v>
      </c>
      <c r="G639" t="s">
        <v>201</v>
      </c>
      <c r="H639">
        <v>0</v>
      </c>
    </row>
    <row r="640" spans="1:8" x14ac:dyDescent="0.3">
      <c r="A640">
        <v>2019</v>
      </c>
      <c r="B640" t="s">
        <v>41</v>
      </c>
      <c r="C640" t="s">
        <v>267</v>
      </c>
      <c r="D640" t="s">
        <v>268</v>
      </c>
      <c r="E640" t="s">
        <v>205</v>
      </c>
      <c r="F640" t="s">
        <v>199</v>
      </c>
      <c r="G640" t="s">
        <v>201</v>
      </c>
      <c r="H640">
        <v>0</v>
      </c>
    </row>
    <row r="641" spans="1:8" x14ac:dyDescent="0.3">
      <c r="A641">
        <v>2019</v>
      </c>
      <c r="B641" t="s">
        <v>41</v>
      </c>
      <c r="C641" t="s">
        <v>267</v>
      </c>
      <c r="D641" t="s">
        <v>268</v>
      </c>
      <c r="E641" t="s">
        <v>206</v>
      </c>
      <c r="F641" t="s">
        <v>199</v>
      </c>
      <c r="G641" t="s">
        <v>201</v>
      </c>
      <c r="H641">
        <v>0</v>
      </c>
    </row>
    <row r="642" spans="1:8" x14ac:dyDescent="0.3">
      <c r="A642">
        <v>2019</v>
      </c>
      <c r="B642" t="s">
        <v>42</v>
      </c>
      <c r="C642" t="s">
        <v>267</v>
      </c>
      <c r="D642" t="s">
        <v>268</v>
      </c>
      <c r="E642" t="s">
        <v>1</v>
      </c>
      <c r="F642" t="s">
        <v>199</v>
      </c>
      <c r="G642" t="s">
        <v>201</v>
      </c>
      <c r="H642">
        <v>1</v>
      </c>
    </row>
    <row r="643" spans="1:8" x14ac:dyDescent="0.3">
      <c r="A643">
        <v>2019</v>
      </c>
      <c r="B643" t="s">
        <v>42</v>
      </c>
      <c r="C643" t="s">
        <v>267</v>
      </c>
      <c r="D643" t="s">
        <v>268</v>
      </c>
      <c r="E643" t="s">
        <v>203</v>
      </c>
      <c r="F643" t="s">
        <v>199</v>
      </c>
      <c r="G643" t="s">
        <v>201</v>
      </c>
      <c r="H643">
        <v>1</v>
      </c>
    </row>
    <row r="644" spans="1:8" x14ac:dyDescent="0.3">
      <c r="A644">
        <v>2019</v>
      </c>
      <c r="B644" t="s">
        <v>42</v>
      </c>
      <c r="C644" t="s">
        <v>267</v>
      </c>
      <c r="D644" t="s">
        <v>268</v>
      </c>
      <c r="E644" t="s">
        <v>204</v>
      </c>
      <c r="F644" t="s">
        <v>199</v>
      </c>
      <c r="G644" t="s">
        <v>201</v>
      </c>
      <c r="H644">
        <v>0</v>
      </c>
    </row>
    <row r="645" spans="1:8" x14ac:dyDescent="0.3">
      <c r="A645">
        <v>2019</v>
      </c>
      <c r="B645" t="s">
        <v>42</v>
      </c>
      <c r="C645" t="s">
        <v>267</v>
      </c>
      <c r="D645" t="s">
        <v>268</v>
      </c>
      <c r="E645" t="s">
        <v>205</v>
      </c>
      <c r="F645" t="s">
        <v>199</v>
      </c>
      <c r="G645" t="s">
        <v>201</v>
      </c>
      <c r="H645">
        <v>0</v>
      </c>
    </row>
    <row r="646" spans="1:8" x14ac:dyDescent="0.3">
      <c r="A646">
        <v>2019</v>
      </c>
      <c r="B646" t="s">
        <v>42</v>
      </c>
      <c r="C646" t="s">
        <v>267</v>
      </c>
      <c r="D646" t="s">
        <v>268</v>
      </c>
      <c r="E646" t="s">
        <v>206</v>
      </c>
      <c r="F646" t="s">
        <v>199</v>
      </c>
      <c r="G646" t="s">
        <v>201</v>
      </c>
      <c r="H646">
        <v>91</v>
      </c>
    </row>
    <row r="647" spans="1:8" x14ac:dyDescent="0.3">
      <c r="A647">
        <v>2019</v>
      </c>
      <c r="B647" t="s">
        <v>215</v>
      </c>
      <c r="C647" t="s">
        <v>267</v>
      </c>
      <c r="D647" t="s">
        <v>268</v>
      </c>
      <c r="E647" t="s">
        <v>1</v>
      </c>
      <c r="F647" t="s">
        <v>199</v>
      </c>
      <c r="G647" t="s">
        <v>201</v>
      </c>
      <c r="H647">
        <v>0</v>
      </c>
    </row>
    <row r="648" spans="1:8" x14ac:dyDescent="0.3">
      <c r="A648">
        <v>2019</v>
      </c>
      <c r="B648" t="s">
        <v>215</v>
      </c>
      <c r="C648" t="s">
        <v>267</v>
      </c>
      <c r="D648" t="s">
        <v>268</v>
      </c>
      <c r="E648" t="s">
        <v>203</v>
      </c>
      <c r="F648" t="s">
        <v>199</v>
      </c>
      <c r="G648" t="s">
        <v>201</v>
      </c>
      <c r="H648">
        <v>0</v>
      </c>
    </row>
    <row r="649" spans="1:8" x14ac:dyDescent="0.3">
      <c r="A649">
        <v>2019</v>
      </c>
      <c r="B649" t="s">
        <v>215</v>
      </c>
      <c r="C649" t="s">
        <v>267</v>
      </c>
      <c r="D649" t="s">
        <v>268</v>
      </c>
      <c r="E649" t="s">
        <v>204</v>
      </c>
      <c r="F649" t="s">
        <v>199</v>
      </c>
      <c r="G649" t="s">
        <v>201</v>
      </c>
      <c r="H649">
        <v>0</v>
      </c>
    </row>
    <row r="650" spans="1:8" x14ac:dyDescent="0.3">
      <c r="A650">
        <v>2019</v>
      </c>
      <c r="B650" t="s">
        <v>215</v>
      </c>
      <c r="C650" t="s">
        <v>267</v>
      </c>
      <c r="D650" t="s">
        <v>268</v>
      </c>
      <c r="E650" t="s">
        <v>205</v>
      </c>
      <c r="F650" t="s">
        <v>199</v>
      </c>
      <c r="G650" t="s">
        <v>201</v>
      </c>
      <c r="H650">
        <v>0</v>
      </c>
    </row>
    <row r="651" spans="1:8" x14ac:dyDescent="0.3">
      <c r="A651">
        <v>2019</v>
      </c>
      <c r="B651" t="s">
        <v>215</v>
      </c>
      <c r="C651" t="s">
        <v>267</v>
      </c>
      <c r="D651" t="s">
        <v>268</v>
      </c>
      <c r="E651" t="s">
        <v>206</v>
      </c>
      <c r="F651" t="s">
        <v>199</v>
      </c>
      <c r="G651" t="s">
        <v>201</v>
      </c>
      <c r="H651">
        <v>0</v>
      </c>
    </row>
    <row r="652" spans="1:8" x14ac:dyDescent="0.3">
      <c r="A652">
        <v>2019</v>
      </c>
      <c r="B652" t="s">
        <v>43</v>
      </c>
      <c r="C652" t="s">
        <v>267</v>
      </c>
      <c r="D652" t="s">
        <v>268</v>
      </c>
      <c r="E652" t="s">
        <v>1</v>
      </c>
      <c r="F652" t="s">
        <v>199</v>
      </c>
      <c r="G652" t="s">
        <v>201</v>
      </c>
      <c r="H652">
        <v>2</v>
      </c>
    </row>
    <row r="653" spans="1:8" x14ac:dyDescent="0.3">
      <c r="A653">
        <v>2019</v>
      </c>
      <c r="B653" t="s">
        <v>43</v>
      </c>
      <c r="C653" t="s">
        <v>267</v>
      </c>
      <c r="D653" t="s">
        <v>268</v>
      </c>
      <c r="E653" t="s">
        <v>203</v>
      </c>
      <c r="F653" t="s">
        <v>199</v>
      </c>
      <c r="G653" t="s">
        <v>201</v>
      </c>
      <c r="H653">
        <v>0</v>
      </c>
    </row>
    <row r="654" spans="1:8" x14ac:dyDescent="0.3">
      <c r="A654">
        <v>2019</v>
      </c>
      <c r="B654" t="s">
        <v>43</v>
      </c>
      <c r="C654" t="s">
        <v>267</v>
      </c>
      <c r="D654" t="s">
        <v>268</v>
      </c>
      <c r="E654" t="s">
        <v>204</v>
      </c>
      <c r="F654" t="s">
        <v>199</v>
      </c>
      <c r="G654" t="s">
        <v>201</v>
      </c>
      <c r="H654">
        <v>0</v>
      </c>
    </row>
    <row r="655" spans="1:8" x14ac:dyDescent="0.3">
      <c r="A655">
        <v>2019</v>
      </c>
      <c r="B655" t="s">
        <v>43</v>
      </c>
      <c r="C655" t="s">
        <v>267</v>
      </c>
      <c r="D655" t="s">
        <v>268</v>
      </c>
      <c r="E655" t="s">
        <v>205</v>
      </c>
      <c r="F655" t="s">
        <v>199</v>
      </c>
      <c r="G655" t="s">
        <v>201</v>
      </c>
      <c r="H655">
        <v>0</v>
      </c>
    </row>
    <row r="656" spans="1:8" x14ac:dyDescent="0.3">
      <c r="A656">
        <v>2019</v>
      </c>
      <c r="B656" t="s">
        <v>43</v>
      </c>
      <c r="C656" t="s">
        <v>267</v>
      </c>
      <c r="D656" t="s">
        <v>268</v>
      </c>
      <c r="E656" t="s">
        <v>206</v>
      </c>
      <c r="F656" t="s">
        <v>199</v>
      </c>
      <c r="G656" t="s">
        <v>201</v>
      </c>
      <c r="H656">
        <v>5</v>
      </c>
    </row>
    <row r="657" spans="1:8" x14ac:dyDescent="0.3">
      <c r="A657">
        <v>2019</v>
      </c>
      <c r="B657" t="s">
        <v>52</v>
      </c>
      <c r="C657" t="s">
        <v>267</v>
      </c>
      <c r="D657" t="s">
        <v>268</v>
      </c>
      <c r="E657" t="s">
        <v>1</v>
      </c>
      <c r="F657" t="s">
        <v>199</v>
      </c>
      <c r="G657" t="s">
        <v>201</v>
      </c>
      <c r="H657">
        <v>6</v>
      </c>
    </row>
    <row r="658" spans="1:8" x14ac:dyDescent="0.3">
      <c r="A658">
        <v>2019</v>
      </c>
      <c r="B658" t="s">
        <v>52</v>
      </c>
      <c r="C658" t="s">
        <v>267</v>
      </c>
      <c r="D658" t="s">
        <v>268</v>
      </c>
      <c r="E658" t="s">
        <v>203</v>
      </c>
      <c r="F658" t="s">
        <v>199</v>
      </c>
      <c r="G658" t="s">
        <v>201</v>
      </c>
      <c r="H658">
        <v>1</v>
      </c>
    </row>
    <row r="659" spans="1:8" x14ac:dyDescent="0.3">
      <c r="A659">
        <v>2019</v>
      </c>
      <c r="B659" t="s">
        <v>52</v>
      </c>
      <c r="C659" t="s">
        <v>267</v>
      </c>
      <c r="D659" t="s">
        <v>268</v>
      </c>
      <c r="E659" t="s">
        <v>204</v>
      </c>
      <c r="F659" t="s">
        <v>199</v>
      </c>
      <c r="G659" t="s">
        <v>201</v>
      </c>
      <c r="H659">
        <v>0</v>
      </c>
    </row>
    <row r="660" spans="1:8" x14ac:dyDescent="0.3">
      <c r="A660">
        <v>2019</v>
      </c>
      <c r="B660" t="s">
        <v>52</v>
      </c>
      <c r="C660" t="s">
        <v>267</v>
      </c>
      <c r="D660" t="s">
        <v>268</v>
      </c>
      <c r="E660" t="s">
        <v>205</v>
      </c>
      <c r="F660" t="s">
        <v>199</v>
      </c>
      <c r="G660" t="s">
        <v>201</v>
      </c>
      <c r="H660">
        <v>0</v>
      </c>
    </row>
    <row r="661" spans="1:8" x14ac:dyDescent="0.3">
      <c r="A661">
        <v>2019</v>
      </c>
      <c r="B661" t="s">
        <v>52</v>
      </c>
      <c r="C661" t="s">
        <v>267</v>
      </c>
      <c r="D661" t="s">
        <v>268</v>
      </c>
      <c r="E661" t="s">
        <v>206</v>
      </c>
      <c r="F661" t="s">
        <v>199</v>
      </c>
      <c r="G661" t="s">
        <v>201</v>
      </c>
      <c r="H661">
        <v>23</v>
      </c>
    </row>
    <row r="662" spans="1:8" x14ac:dyDescent="0.3">
      <c r="A662">
        <v>2019</v>
      </c>
      <c r="B662" t="s">
        <v>44</v>
      </c>
      <c r="C662" t="s">
        <v>267</v>
      </c>
      <c r="D662" t="s">
        <v>268</v>
      </c>
      <c r="E662" t="s">
        <v>1</v>
      </c>
      <c r="F662" t="s">
        <v>199</v>
      </c>
      <c r="G662" t="s">
        <v>201</v>
      </c>
      <c r="H662">
        <v>5</v>
      </c>
    </row>
    <row r="663" spans="1:8" x14ac:dyDescent="0.3">
      <c r="A663">
        <v>2019</v>
      </c>
      <c r="B663" t="s">
        <v>44</v>
      </c>
      <c r="C663" t="s">
        <v>267</v>
      </c>
      <c r="D663" t="s">
        <v>268</v>
      </c>
      <c r="E663" t="s">
        <v>203</v>
      </c>
      <c r="F663" t="s">
        <v>199</v>
      </c>
      <c r="G663" t="s">
        <v>201</v>
      </c>
      <c r="H663">
        <v>0</v>
      </c>
    </row>
    <row r="664" spans="1:8" x14ac:dyDescent="0.3">
      <c r="A664">
        <v>2019</v>
      </c>
      <c r="B664" t="s">
        <v>44</v>
      </c>
      <c r="C664" t="s">
        <v>267</v>
      </c>
      <c r="D664" t="s">
        <v>268</v>
      </c>
      <c r="E664" t="s">
        <v>204</v>
      </c>
      <c r="F664" t="s">
        <v>199</v>
      </c>
      <c r="G664" t="s">
        <v>201</v>
      </c>
      <c r="H664">
        <v>0</v>
      </c>
    </row>
    <row r="665" spans="1:8" x14ac:dyDescent="0.3">
      <c r="A665">
        <v>2019</v>
      </c>
      <c r="B665" t="s">
        <v>44</v>
      </c>
      <c r="C665" t="s">
        <v>267</v>
      </c>
      <c r="D665" t="s">
        <v>268</v>
      </c>
      <c r="E665" t="s">
        <v>205</v>
      </c>
      <c r="F665" t="s">
        <v>199</v>
      </c>
      <c r="G665" t="s">
        <v>201</v>
      </c>
      <c r="H665">
        <v>0</v>
      </c>
    </row>
    <row r="666" spans="1:8" x14ac:dyDescent="0.3">
      <c r="A666">
        <v>2019</v>
      </c>
      <c r="B666" t="s">
        <v>44</v>
      </c>
      <c r="C666" t="s">
        <v>267</v>
      </c>
      <c r="D666" t="s">
        <v>268</v>
      </c>
      <c r="E666" t="s">
        <v>206</v>
      </c>
      <c r="F666" t="s">
        <v>199</v>
      </c>
      <c r="G666" t="s">
        <v>201</v>
      </c>
      <c r="H666">
        <v>0</v>
      </c>
    </row>
    <row r="667" spans="1:8" x14ac:dyDescent="0.3">
      <c r="A667">
        <v>2019</v>
      </c>
      <c r="B667" t="s">
        <v>53</v>
      </c>
      <c r="C667" t="s">
        <v>267</v>
      </c>
      <c r="D667" t="s">
        <v>268</v>
      </c>
      <c r="E667" t="s">
        <v>1</v>
      </c>
      <c r="F667" t="s">
        <v>199</v>
      </c>
      <c r="G667" t="s">
        <v>201</v>
      </c>
      <c r="H667">
        <v>2</v>
      </c>
    </row>
    <row r="668" spans="1:8" x14ac:dyDescent="0.3">
      <c r="A668">
        <v>2019</v>
      </c>
      <c r="B668" t="s">
        <v>53</v>
      </c>
      <c r="C668" t="s">
        <v>267</v>
      </c>
      <c r="D668" t="s">
        <v>268</v>
      </c>
      <c r="E668" t="s">
        <v>203</v>
      </c>
      <c r="F668" t="s">
        <v>199</v>
      </c>
      <c r="G668" t="s">
        <v>201</v>
      </c>
      <c r="H668">
        <v>1</v>
      </c>
    </row>
    <row r="669" spans="1:8" x14ac:dyDescent="0.3">
      <c r="A669">
        <v>2019</v>
      </c>
      <c r="B669" t="s">
        <v>53</v>
      </c>
      <c r="C669" t="s">
        <v>267</v>
      </c>
      <c r="D669" t="s">
        <v>268</v>
      </c>
      <c r="E669" t="s">
        <v>204</v>
      </c>
      <c r="F669" t="s">
        <v>199</v>
      </c>
      <c r="G669" t="s">
        <v>201</v>
      </c>
      <c r="H669">
        <v>0</v>
      </c>
    </row>
    <row r="670" spans="1:8" x14ac:dyDescent="0.3">
      <c r="A670">
        <v>2019</v>
      </c>
      <c r="B670" t="s">
        <v>53</v>
      </c>
      <c r="C670" t="s">
        <v>267</v>
      </c>
      <c r="D670" t="s">
        <v>268</v>
      </c>
      <c r="E670" t="s">
        <v>205</v>
      </c>
      <c r="F670" t="s">
        <v>199</v>
      </c>
      <c r="G670" t="s">
        <v>201</v>
      </c>
      <c r="H670">
        <v>0</v>
      </c>
    </row>
    <row r="671" spans="1:8" x14ac:dyDescent="0.3">
      <c r="A671">
        <v>2019</v>
      </c>
      <c r="B671" t="s">
        <v>53</v>
      </c>
      <c r="C671" t="s">
        <v>267</v>
      </c>
      <c r="D671" t="s">
        <v>268</v>
      </c>
      <c r="E671" t="s">
        <v>206</v>
      </c>
      <c r="F671" t="s">
        <v>199</v>
      </c>
      <c r="G671" t="s">
        <v>201</v>
      </c>
      <c r="H671">
        <v>12</v>
      </c>
    </row>
    <row r="672" spans="1:8" x14ac:dyDescent="0.3">
      <c r="A672">
        <v>2019</v>
      </c>
      <c r="B672" t="s">
        <v>197</v>
      </c>
      <c r="C672" t="s">
        <v>267</v>
      </c>
      <c r="D672" t="s">
        <v>268</v>
      </c>
      <c r="E672" t="s">
        <v>1</v>
      </c>
      <c r="F672" t="s">
        <v>199</v>
      </c>
      <c r="G672" t="s">
        <v>201</v>
      </c>
      <c r="H672">
        <v>0</v>
      </c>
    </row>
    <row r="673" spans="1:8" x14ac:dyDescent="0.3">
      <c r="A673">
        <v>2019</v>
      </c>
      <c r="B673" t="s">
        <v>197</v>
      </c>
      <c r="C673" t="s">
        <v>267</v>
      </c>
      <c r="D673" t="s">
        <v>268</v>
      </c>
      <c r="E673" t="s">
        <v>203</v>
      </c>
      <c r="F673" t="s">
        <v>199</v>
      </c>
      <c r="G673" t="s">
        <v>201</v>
      </c>
      <c r="H673">
        <v>0</v>
      </c>
    </row>
    <row r="674" spans="1:8" x14ac:dyDescent="0.3">
      <c r="A674">
        <v>2019</v>
      </c>
      <c r="B674" t="s">
        <v>197</v>
      </c>
      <c r="C674" t="s">
        <v>267</v>
      </c>
      <c r="D674" t="s">
        <v>268</v>
      </c>
      <c r="E674" t="s">
        <v>204</v>
      </c>
      <c r="F674" t="s">
        <v>199</v>
      </c>
      <c r="G674" t="s">
        <v>201</v>
      </c>
      <c r="H674">
        <v>0</v>
      </c>
    </row>
    <row r="675" spans="1:8" x14ac:dyDescent="0.3">
      <c r="A675">
        <v>2019</v>
      </c>
      <c r="B675" t="s">
        <v>197</v>
      </c>
      <c r="C675" t="s">
        <v>267</v>
      </c>
      <c r="D675" t="s">
        <v>268</v>
      </c>
      <c r="E675" t="s">
        <v>205</v>
      </c>
      <c r="F675" t="s">
        <v>199</v>
      </c>
      <c r="G675" t="s">
        <v>201</v>
      </c>
      <c r="H675">
        <v>0</v>
      </c>
    </row>
    <row r="676" spans="1:8" x14ac:dyDescent="0.3">
      <c r="A676">
        <v>2019</v>
      </c>
      <c r="B676" t="s">
        <v>197</v>
      </c>
      <c r="C676" t="s">
        <v>267</v>
      </c>
      <c r="D676" t="s">
        <v>268</v>
      </c>
      <c r="E676" t="s">
        <v>206</v>
      </c>
      <c r="F676" t="s">
        <v>199</v>
      </c>
      <c r="G676" t="s">
        <v>201</v>
      </c>
      <c r="H676">
        <v>0</v>
      </c>
    </row>
    <row r="677" spans="1:8" x14ac:dyDescent="0.3">
      <c r="A677">
        <v>2019</v>
      </c>
      <c r="B677" t="s">
        <v>8</v>
      </c>
      <c r="C677" t="s">
        <v>267</v>
      </c>
      <c r="D677" t="s">
        <v>268</v>
      </c>
      <c r="E677" t="s">
        <v>1</v>
      </c>
      <c r="F677" t="s">
        <v>199</v>
      </c>
      <c r="G677" t="s">
        <v>202</v>
      </c>
      <c r="H677">
        <v>0</v>
      </c>
    </row>
    <row r="678" spans="1:8" x14ac:dyDescent="0.3">
      <c r="A678">
        <v>2019</v>
      </c>
      <c r="B678" t="s">
        <v>8</v>
      </c>
      <c r="C678" t="s">
        <v>267</v>
      </c>
      <c r="D678" t="s">
        <v>268</v>
      </c>
      <c r="E678" t="s">
        <v>203</v>
      </c>
      <c r="F678" t="s">
        <v>199</v>
      </c>
      <c r="G678" t="s">
        <v>202</v>
      </c>
      <c r="H678">
        <v>0</v>
      </c>
    </row>
    <row r="679" spans="1:8" x14ac:dyDescent="0.3">
      <c r="A679">
        <v>2019</v>
      </c>
      <c r="B679" t="s">
        <v>8</v>
      </c>
      <c r="C679" t="s">
        <v>267</v>
      </c>
      <c r="D679" t="s">
        <v>268</v>
      </c>
      <c r="E679" t="s">
        <v>204</v>
      </c>
      <c r="F679" t="s">
        <v>199</v>
      </c>
      <c r="G679" t="s">
        <v>202</v>
      </c>
      <c r="H679">
        <v>0</v>
      </c>
    </row>
    <row r="680" spans="1:8" x14ac:dyDescent="0.3">
      <c r="A680">
        <v>2019</v>
      </c>
      <c r="B680" t="s">
        <v>8</v>
      </c>
      <c r="C680" t="s">
        <v>267</v>
      </c>
      <c r="D680" t="s">
        <v>268</v>
      </c>
      <c r="E680" t="s">
        <v>205</v>
      </c>
      <c r="F680" t="s">
        <v>199</v>
      </c>
      <c r="G680" t="s">
        <v>202</v>
      </c>
      <c r="H680">
        <v>0</v>
      </c>
    </row>
    <row r="681" spans="1:8" x14ac:dyDescent="0.3">
      <c r="A681">
        <v>2019</v>
      </c>
      <c r="B681" t="s">
        <v>8</v>
      </c>
      <c r="C681" t="s">
        <v>267</v>
      </c>
      <c r="D681" t="s">
        <v>268</v>
      </c>
      <c r="E681" t="s">
        <v>206</v>
      </c>
      <c r="F681" t="s">
        <v>199</v>
      </c>
      <c r="G681" t="s">
        <v>202</v>
      </c>
      <c r="H681">
        <v>0</v>
      </c>
    </row>
    <row r="682" spans="1:8" x14ac:dyDescent="0.3">
      <c r="A682">
        <v>2019</v>
      </c>
      <c r="B682" t="s">
        <v>9</v>
      </c>
      <c r="C682" t="s">
        <v>267</v>
      </c>
      <c r="D682" t="s">
        <v>268</v>
      </c>
      <c r="E682" t="s">
        <v>1</v>
      </c>
      <c r="F682" t="s">
        <v>199</v>
      </c>
      <c r="G682" t="s">
        <v>202</v>
      </c>
      <c r="H682">
        <v>0</v>
      </c>
    </row>
    <row r="683" spans="1:8" x14ac:dyDescent="0.3">
      <c r="A683">
        <v>2019</v>
      </c>
      <c r="B683" t="s">
        <v>9</v>
      </c>
      <c r="C683" t="s">
        <v>267</v>
      </c>
      <c r="D683" t="s">
        <v>268</v>
      </c>
      <c r="E683" t="s">
        <v>203</v>
      </c>
      <c r="F683" t="s">
        <v>199</v>
      </c>
      <c r="G683" t="s">
        <v>202</v>
      </c>
      <c r="H683">
        <v>0</v>
      </c>
    </row>
    <row r="684" spans="1:8" x14ac:dyDescent="0.3">
      <c r="A684">
        <v>2019</v>
      </c>
      <c r="B684" t="s">
        <v>9</v>
      </c>
      <c r="C684" t="s">
        <v>267</v>
      </c>
      <c r="D684" t="s">
        <v>268</v>
      </c>
      <c r="E684" t="s">
        <v>204</v>
      </c>
      <c r="F684" t="s">
        <v>199</v>
      </c>
      <c r="G684" t="s">
        <v>202</v>
      </c>
      <c r="H684">
        <v>0</v>
      </c>
    </row>
    <row r="685" spans="1:8" x14ac:dyDescent="0.3">
      <c r="A685">
        <v>2019</v>
      </c>
      <c r="B685" t="s">
        <v>9</v>
      </c>
      <c r="C685" t="s">
        <v>267</v>
      </c>
      <c r="D685" t="s">
        <v>268</v>
      </c>
      <c r="E685" t="s">
        <v>205</v>
      </c>
      <c r="F685" t="s">
        <v>199</v>
      </c>
      <c r="G685" t="s">
        <v>202</v>
      </c>
    </row>
    <row r="686" spans="1:8" x14ac:dyDescent="0.3">
      <c r="A686">
        <v>2019</v>
      </c>
      <c r="B686" t="s">
        <v>9</v>
      </c>
      <c r="C686" t="s">
        <v>267</v>
      </c>
      <c r="D686" t="s">
        <v>268</v>
      </c>
      <c r="E686" t="s">
        <v>206</v>
      </c>
      <c r="F686" t="s">
        <v>199</v>
      </c>
      <c r="G686" t="s">
        <v>202</v>
      </c>
      <c r="H686">
        <v>0</v>
      </c>
    </row>
    <row r="687" spans="1:8" x14ac:dyDescent="0.3">
      <c r="A687">
        <v>2019</v>
      </c>
      <c r="B687" t="s">
        <v>10</v>
      </c>
      <c r="C687" t="s">
        <v>267</v>
      </c>
      <c r="D687" t="s">
        <v>268</v>
      </c>
      <c r="E687" t="s">
        <v>1</v>
      </c>
      <c r="F687" t="s">
        <v>199</v>
      </c>
      <c r="G687" t="s">
        <v>202</v>
      </c>
      <c r="H687">
        <v>0</v>
      </c>
    </row>
    <row r="688" spans="1:8" x14ac:dyDescent="0.3">
      <c r="A688">
        <v>2019</v>
      </c>
      <c r="B688" t="s">
        <v>10</v>
      </c>
      <c r="C688" t="s">
        <v>267</v>
      </c>
      <c r="D688" t="s">
        <v>268</v>
      </c>
      <c r="E688" t="s">
        <v>203</v>
      </c>
      <c r="F688" t="s">
        <v>199</v>
      </c>
      <c r="G688" t="s">
        <v>202</v>
      </c>
      <c r="H688">
        <v>0</v>
      </c>
    </row>
    <row r="689" spans="1:8" x14ac:dyDescent="0.3">
      <c r="A689">
        <v>2019</v>
      </c>
      <c r="B689" t="s">
        <v>10</v>
      </c>
      <c r="C689" t="s">
        <v>267</v>
      </c>
      <c r="D689" t="s">
        <v>268</v>
      </c>
      <c r="E689" t="s">
        <v>204</v>
      </c>
      <c r="F689" t="s">
        <v>199</v>
      </c>
      <c r="G689" t="s">
        <v>202</v>
      </c>
      <c r="H689">
        <v>0</v>
      </c>
    </row>
    <row r="690" spans="1:8" x14ac:dyDescent="0.3">
      <c r="A690">
        <v>2019</v>
      </c>
      <c r="B690" t="s">
        <v>10</v>
      </c>
      <c r="C690" t="s">
        <v>267</v>
      </c>
      <c r="D690" t="s">
        <v>268</v>
      </c>
      <c r="E690" t="s">
        <v>205</v>
      </c>
      <c r="F690" t="s">
        <v>199</v>
      </c>
      <c r="G690" t="s">
        <v>202</v>
      </c>
      <c r="H690">
        <v>0</v>
      </c>
    </row>
    <row r="691" spans="1:8" x14ac:dyDescent="0.3">
      <c r="A691">
        <v>2019</v>
      </c>
      <c r="B691" t="s">
        <v>10</v>
      </c>
      <c r="C691" t="s">
        <v>267</v>
      </c>
      <c r="D691" t="s">
        <v>268</v>
      </c>
      <c r="E691" t="s">
        <v>206</v>
      </c>
      <c r="F691" t="s">
        <v>199</v>
      </c>
      <c r="G691" t="s">
        <v>202</v>
      </c>
      <c r="H691">
        <v>0</v>
      </c>
    </row>
    <row r="692" spans="1:8" x14ac:dyDescent="0.3">
      <c r="A692">
        <v>2019</v>
      </c>
      <c r="B692" t="s">
        <v>11</v>
      </c>
      <c r="C692" t="s">
        <v>267</v>
      </c>
      <c r="D692" t="s">
        <v>268</v>
      </c>
      <c r="E692" t="s">
        <v>1</v>
      </c>
      <c r="F692" t="s">
        <v>199</v>
      </c>
      <c r="G692" t="s">
        <v>202</v>
      </c>
      <c r="H692">
        <v>0</v>
      </c>
    </row>
    <row r="693" spans="1:8" x14ac:dyDescent="0.3">
      <c r="A693">
        <v>2019</v>
      </c>
      <c r="B693" t="s">
        <v>11</v>
      </c>
      <c r="C693" t="s">
        <v>267</v>
      </c>
      <c r="D693" t="s">
        <v>268</v>
      </c>
      <c r="E693" t="s">
        <v>203</v>
      </c>
      <c r="F693" t="s">
        <v>199</v>
      </c>
      <c r="G693" t="s">
        <v>202</v>
      </c>
      <c r="H693">
        <v>0</v>
      </c>
    </row>
    <row r="694" spans="1:8" x14ac:dyDescent="0.3">
      <c r="A694">
        <v>2019</v>
      </c>
      <c r="B694" t="s">
        <v>11</v>
      </c>
      <c r="C694" t="s">
        <v>267</v>
      </c>
      <c r="D694" t="s">
        <v>268</v>
      </c>
      <c r="E694" t="s">
        <v>204</v>
      </c>
      <c r="F694" t="s">
        <v>199</v>
      </c>
      <c r="G694" t="s">
        <v>202</v>
      </c>
      <c r="H694">
        <v>0</v>
      </c>
    </row>
    <row r="695" spans="1:8" x14ac:dyDescent="0.3">
      <c r="A695">
        <v>2019</v>
      </c>
      <c r="B695" t="s">
        <v>11</v>
      </c>
      <c r="C695" t="s">
        <v>267</v>
      </c>
      <c r="D695" t="s">
        <v>268</v>
      </c>
      <c r="E695" t="s">
        <v>205</v>
      </c>
      <c r="F695" t="s">
        <v>199</v>
      </c>
      <c r="G695" t="s">
        <v>202</v>
      </c>
      <c r="H695">
        <v>0</v>
      </c>
    </row>
    <row r="696" spans="1:8" x14ac:dyDescent="0.3">
      <c r="A696">
        <v>2019</v>
      </c>
      <c r="B696" t="s">
        <v>11</v>
      </c>
      <c r="C696" t="s">
        <v>267</v>
      </c>
      <c r="D696" t="s">
        <v>268</v>
      </c>
      <c r="E696" t="s">
        <v>206</v>
      </c>
      <c r="F696" t="s">
        <v>199</v>
      </c>
      <c r="G696" t="s">
        <v>202</v>
      </c>
      <c r="H696">
        <v>0</v>
      </c>
    </row>
    <row r="697" spans="1:8" x14ac:dyDescent="0.3">
      <c r="A697">
        <v>2019</v>
      </c>
      <c r="B697" t="s">
        <v>12</v>
      </c>
      <c r="C697" t="s">
        <v>267</v>
      </c>
      <c r="D697" t="s">
        <v>268</v>
      </c>
      <c r="E697" t="s">
        <v>1</v>
      </c>
      <c r="F697" t="s">
        <v>199</v>
      </c>
      <c r="G697" t="s">
        <v>202</v>
      </c>
    </row>
    <row r="698" spans="1:8" x14ac:dyDescent="0.3">
      <c r="A698">
        <v>2019</v>
      </c>
      <c r="B698" t="s">
        <v>12</v>
      </c>
      <c r="C698" t="s">
        <v>267</v>
      </c>
      <c r="D698" t="s">
        <v>268</v>
      </c>
      <c r="E698" t="s">
        <v>203</v>
      </c>
      <c r="F698" t="s">
        <v>199</v>
      </c>
      <c r="G698" t="s">
        <v>202</v>
      </c>
    </row>
    <row r="699" spans="1:8" x14ac:dyDescent="0.3">
      <c r="A699">
        <v>2019</v>
      </c>
      <c r="B699" t="s">
        <v>12</v>
      </c>
      <c r="C699" t="s">
        <v>267</v>
      </c>
      <c r="D699" t="s">
        <v>268</v>
      </c>
      <c r="E699" t="s">
        <v>204</v>
      </c>
      <c r="F699" t="s">
        <v>199</v>
      </c>
      <c r="G699" t="s">
        <v>202</v>
      </c>
    </row>
    <row r="700" spans="1:8" x14ac:dyDescent="0.3">
      <c r="A700">
        <v>2019</v>
      </c>
      <c r="B700" t="s">
        <v>12</v>
      </c>
      <c r="C700" t="s">
        <v>267</v>
      </c>
      <c r="D700" t="s">
        <v>268</v>
      </c>
      <c r="E700" t="s">
        <v>205</v>
      </c>
      <c r="F700" t="s">
        <v>199</v>
      </c>
      <c r="G700" t="s">
        <v>202</v>
      </c>
    </row>
    <row r="701" spans="1:8" x14ac:dyDescent="0.3">
      <c r="A701">
        <v>2019</v>
      </c>
      <c r="B701" t="s">
        <v>12</v>
      </c>
      <c r="C701" t="s">
        <v>267</v>
      </c>
      <c r="D701" t="s">
        <v>268</v>
      </c>
      <c r="E701" t="s">
        <v>206</v>
      </c>
      <c r="F701" t="s">
        <v>199</v>
      </c>
      <c r="G701" t="s">
        <v>202</v>
      </c>
    </row>
    <row r="702" spans="1:8" x14ac:dyDescent="0.3">
      <c r="A702">
        <v>2019</v>
      </c>
      <c r="B702" t="s">
        <v>13</v>
      </c>
      <c r="C702" t="s">
        <v>267</v>
      </c>
      <c r="D702" t="s">
        <v>268</v>
      </c>
      <c r="E702" t="s">
        <v>1</v>
      </c>
      <c r="F702" t="s">
        <v>199</v>
      </c>
      <c r="G702" t="s">
        <v>202</v>
      </c>
      <c r="H702">
        <v>0</v>
      </c>
    </row>
    <row r="703" spans="1:8" x14ac:dyDescent="0.3">
      <c r="A703">
        <v>2019</v>
      </c>
      <c r="B703" t="s">
        <v>13</v>
      </c>
      <c r="C703" t="s">
        <v>267</v>
      </c>
      <c r="D703" t="s">
        <v>268</v>
      </c>
      <c r="E703" t="s">
        <v>203</v>
      </c>
      <c r="F703" t="s">
        <v>199</v>
      </c>
      <c r="G703" t="s">
        <v>202</v>
      </c>
      <c r="H703">
        <v>0</v>
      </c>
    </row>
    <row r="704" spans="1:8" x14ac:dyDescent="0.3">
      <c r="A704">
        <v>2019</v>
      </c>
      <c r="B704" t="s">
        <v>13</v>
      </c>
      <c r="C704" t="s">
        <v>267</v>
      </c>
      <c r="D704" t="s">
        <v>268</v>
      </c>
      <c r="E704" t="s">
        <v>204</v>
      </c>
      <c r="F704" t="s">
        <v>199</v>
      </c>
      <c r="G704" t="s">
        <v>202</v>
      </c>
      <c r="H704">
        <v>0</v>
      </c>
    </row>
    <row r="705" spans="1:8" x14ac:dyDescent="0.3">
      <c r="A705">
        <v>2019</v>
      </c>
      <c r="B705" t="s">
        <v>13</v>
      </c>
      <c r="C705" t="s">
        <v>267</v>
      </c>
      <c r="D705" t="s">
        <v>268</v>
      </c>
      <c r="E705" t="s">
        <v>205</v>
      </c>
      <c r="F705" t="s">
        <v>199</v>
      </c>
      <c r="G705" t="s">
        <v>202</v>
      </c>
      <c r="H705">
        <v>0</v>
      </c>
    </row>
    <row r="706" spans="1:8" x14ac:dyDescent="0.3">
      <c r="A706">
        <v>2019</v>
      </c>
      <c r="B706" t="s">
        <v>13</v>
      </c>
      <c r="C706" t="s">
        <v>267</v>
      </c>
      <c r="D706" t="s">
        <v>268</v>
      </c>
      <c r="E706" t="s">
        <v>206</v>
      </c>
      <c r="F706" t="s">
        <v>199</v>
      </c>
      <c r="G706" t="s">
        <v>202</v>
      </c>
      <c r="H706">
        <v>0</v>
      </c>
    </row>
    <row r="707" spans="1:8" x14ac:dyDescent="0.3">
      <c r="A707">
        <v>2019</v>
      </c>
      <c r="B707" t="s">
        <v>14</v>
      </c>
      <c r="C707" t="s">
        <v>267</v>
      </c>
      <c r="D707" t="s">
        <v>268</v>
      </c>
      <c r="E707" t="s">
        <v>1</v>
      </c>
      <c r="F707" t="s">
        <v>199</v>
      </c>
      <c r="G707" t="s">
        <v>202</v>
      </c>
      <c r="H707">
        <v>0</v>
      </c>
    </row>
    <row r="708" spans="1:8" x14ac:dyDescent="0.3">
      <c r="A708">
        <v>2019</v>
      </c>
      <c r="B708" t="s">
        <v>14</v>
      </c>
      <c r="C708" t="s">
        <v>267</v>
      </c>
      <c r="D708" t="s">
        <v>268</v>
      </c>
      <c r="E708" t="s">
        <v>203</v>
      </c>
      <c r="F708" t="s">
        <v>199</v>
      </c>
      <c r="G708" t="s">
        <v>202</v>
      </c>
      <c r="H708">
        <v>0</v>
      </c>
    </row>
    <row r="709" spans="1:8" x14ac:dyDescent="0.3">
      <c r="A709">
        <v>2019</v>
      </c>
      <c r="B709" t="s">
        <v>14</v>
      </c>
      <c r="C709" t="s">
        <v>267</v>
      </c>
      <c r="D709" t="s">
        <v>268</v>
      </c>
      <c r="E709" t="s">
        <v>204</v>
      </c>
      <c r="F709" t="s">
        <v>199</v>
      </c>
      <c r="G709" t="s">
        <v>202</v>
      </c>
      <c r="H709">
        <v>0</v>
      </c>
    </row>
    <row r="710" spans="1:8" x14ac:dyDescent="0.3">
      <c r="A710">
        <v>2019</v>
      </c>
      <c r="B710" t="s">
        <v>14</v>
      </c>
      <c r="C710" t="s">
        <v>267</v>
      </c>
      <c r="D710" t="s">
        <v>268</v>
      </c>
      <c r="E710" t="s">
        <v>205</v>
      </c>
      <c r="F710" t="s">
        <v>199</v>
      </c>
      <c r="G710" t="s">
        <v>202</v>
      </c>
      <c r="H710">
        <v>0</v>
      </c>
    </row>
    <row r="711" spans="1:8" x14ac:dyDescent="0.3">
      <c r="A711">
        <v>2019</v>
      </c>
      <c r="B711" t="s">
        <v>14</v>
      </c>
      <c r="C711" t="s">
        <v>267</v>
      </c>
      <c r="D711" t="s">
        <v>268</v>
      </c>
      <c r="E711" t="s">
        <v>206</v>
      </c>
      <c r="F711" t="s">
        <v>199</v>
      </c>
      <c r="G711" t="s">
        <v>202</v>
      </c>
      <c r="H711">
        <v>0</v>
      </c>
    </row>
    <row r="712" spans="1:8" x14ac:dyDescent="0.3">
      <c r="A712">
        <v>2019</v>
      </c>
      <c r="B712" t="s">
        <v>15</v>
      </c>
      <c r="C712" t="s">
        <v>267</v>
      </c>
      <c r="D712" t="s">
        <v>268</v>
      </c>
      <c r="E712" t="s">
        <v>1</v>
      </c>
      <c r="F712" t="s">
        <v>199</v>
      </c>
      <c r="G712" t="s">
        <v>202</v>
      </c>
      <c r="H712">
        <v>1</v>
      </c>
    </row>
    <row r="713" spans="1:8" x14ac:dyDescent="0.3">
      <c r="A713">
        <v>2019</v>
      </c>
      <c r="B713" t="s">
        <v>15</v>
      </c>
      <c r="C713" t="s">
        <v>267</v>
      </c>
      <c r="D713" t="s">
        <v>268</v>
      </c>
      <c r="E713" t="s">
        <v>203</v>
      </c>
      <c r="F713" t="s">
        <v>199</v>
      </c>
      <c r="G713" t="s">
        <v>202</v>
      </c>
      <c r="H713">
        <v>0</v>
      </c>
    </row>
    <row r="714" spans="1:8" x14ac:dyDescent="0.3">
      <c r="A714">
        <v>2019</v>
      </c>
      <c r="B714" t="s">
        <v>15</v>
      </c>
      <c r="C714" t="s">
        <v>267</v>
      </c>
      <c r="D714" t="s">
        <v>268</v>
      </c>
      <c r="E714" t="s">
        <v>204</v>
      </c>
      <c r="F714" t="s">
        <v>199</v>
      </c>
      <c r="G714" t="s">
        <v>202</v>
      </c>
      <c r="H714">
        <v>0</v>
      </c>
    </row>
    <row r="715" spans="1:8" x14ac:dyDescent="0.3">
      <c r="A715">
        <v>2019</v>
      </c>
      <c r="B715" t="s">
        <v>15</v>
      </c>
      <c r="C715" t="s">
        <v>267</v>
      </c>
      <c r="D715" t="s">
        <v>268</v>
      </c>
      <c r="E715" t="s">
        <v>205</v>
      </c>
      <c r="F715" t="s">
        <v>199</v>
      </c>
      <c r="G715" t="s">
        <v>202</v>
      </c>
      <c r="H715">
        <v>0</v>
      </c>
    </row>
    <row r="716" spans="1:8" x14ac:dyDescent="0.3">
      <c r="A716">
        <v>2019</v>
      </c>
      <c r="B716" t="s">
        <v>15</v>
      </c>
      <c r="C716" t="s">
        <v>267</v>
      </c>
      <c r="D716" t="s">
        <v>268</v>
      </c>
      <c r="E716" t="s">
        <v>206</v>
      </c>
      <c r="F716" t="s">
        <v>199</v>
      </c>
      <c r="G716" t="s">
        <v>202</v>
      </c>
    </row>
    <row r="717" spans="1:8" x14ac:dyDescent="0.3">
      <c r="A717">
        <v>2019</v>
      </c>
      <c r="B717" t="s">
        <v>16</v>
      </c>
      <c r="C717" t="s">
        <v>267</v>
      </c>
      <c r="D717" t="s">
        <v>268</v>
      </c>
      <c r="E717" t="s">
        <v>1</v>
      </c>
      <c r="F717" t="s">
        <v>199</v>
      </c>
      <c r="G717" t="s">
        <v>202</v>
      </c>
      <c r="H717">
        <v>0</v>
      </c>
    </row>
    <row r="718" spans="1:8" x14ac:dyDescent="0.3">
      <c r="A718">
        <v>2019</v>
      </c>
      <c r="B718" t="s">
        <v>16</v>
      </c>
      <c r="C718" t="s">
        <v>267</v>
      </c>
      <c r="D718" t="s">
        <v>268</v>
      </c>
      <c r="E718" t="s">
        <v>203</v>
      </c>
      <c r="F718" t="s">
        <v>199</v>
      </c>
      <c r="G718" t="s">
        <v>202</v>
      </c>
      <c r="H718">
        <v>0</v>
      </c>
    </row>
    <row r="719" spans="1:8" x14ac:dyDescent="0.3">
      <c r="A719">
        <v>2019</v>
      </c>
      <c r="B719" t="s">
        <v>16</v>
      </c>
      <c r="C719" t="s">
        <v>267</v>
      </c>
      <c r="D719" t="s">
        <v>268</v>
      </c>
      <c r="E719" t="s">
        <v>204</v>
      </c>
      <c r="F719" t="s">
        <v>199</v>
      </c>
      <c r="G719" t="s">
        <v>202</v>
      </c>
      <c r="H719">
        <v>0</v>
      </c>
    </row>
    <row r="720" spans="1:8" x14ac:dyDescent="0.3">
      <c r="A720">
        <v>2019</v>
      </c>
      <c r="B720" t="s">
        <v>16</v>
      </c>
      <c r="C720" t="s">
        <v>267</v>
      </c>
      <c r="D720" t="s">
        <v>268</v>
      </c>
      <c r="E720" t="s">
        <v>205</v>
      </c>
      <c r="F720" t="s">
        <v>199</v>
      </c>
      <c r="G720" t="s">
        <v>202</v>
      </c>
      <c r="H720">
        <v>0</v>
      </c>
    </row>
    <row r="721" spans="1:8" x14ac:dyDescent="0.3">
      <c r="A721">
        <v>2019</v>
      </c>
      <c r="B721" t="s">
        <v>16</v>
      </c>
      <c r="C721" t="s">
        <v>267</v>
      </c>
      <c r="D721" t="s">
        <v>268</v>
      </c>
      <c r="E721" t="s">
        <v>206</v>
      </c>
      <c r="F721" t="s">
        <v>199</v>
      </c>
      <c r="G721" t="s">
        <v>202</v>
      </c>
      <c r="H721">
        <v>0</v>
      </c>
    </row>
    <row r="722" spans="1:8" x14ac:dyDescent="0.3">
      <c r="A722">
        <v>2019</v>
      </c>
      <c r="B722" t="s">
        <v>17</v>
      </c>
      <c r="C722" t="s">
        <v>267</v>
      </c>
      <c r="D722" t="s">
        <v>268</v>
      </c>
      <c r="E722" t="s">
        <v>1</v>
      </c>
      <c r="F722" t="s">
        <v>199</v>
      </c>
      <c r="G722" t="s">
        <v>202</v>
      </c>
      <c r="H722">
        <v>1</v>
      </c>
    </row>
    <row r="723" spans="1:8" x14ac:dyDescent="0.3">
      <c r="A723">
        <v>2019</v>
      </c>
      <c r="B723" t="s">
        <v>17</v>
      </c>
      <c r="C723" t="s">
        <v>267</v>
      </c>
      <c r="D723" t="s">
        <v>268</v>
      </c>
      <c r="E723" t="s">
        <v>203</v>
      </c>
      <c r="F723" t="s">
        <v>199</v>
      </c>
      <c r="G723" t="s">
        <v>202</v>
      </c>
      <c r="H723">
        <v>0</v>
      </c>
    </row>
    <row r="724" spans="1:8" x14ac:dyDescent="0.3">
      <c r="A724">
        <v>2019</v>
      </c>
      <c r="B724" t="s">
        <v>17</v>
      </c>
      <c r="C724" t="s">
        <v>267</v>
      </c>
      <c r="D724" t="s">
        <v>268</v>
      </c>
      <c r="E724" t="s">
        <v>204</v>
      </c>
      <c r="F724" t="s">
        <v>199</v>
      </c>
      <c r="G724" t="s">
        <v>202</v>
      </c>
      <c r="H724">
        <v>0</v>
      </c>
    </row>
    <row r="725" spans="1:8" x14ac:dyDescent="0.3">
      <c r="A725">
        <v>2019</v>
      </c>
      <c r="B725" t="s">
        <v>17</v>
      </c>
      <c r="C725" t="s">
        <v>267</v>
      </c>
      <c r="D725" t="s">
        <v>268</v>
      </c>
      <c r="E725" t="s">
        <v>205</v>
      </c>
      <c r="F725" t="s">
        <v>199</v>
      </c>
      <c r="G725" t="s">
        <v>202</v>
      </c>
      <c r="H725">
        <v>0</v>
      </c>
    </row>
    <row r="726" spans="1:8" x14ac:dyDescent="0.3">
      <c r="A726">
        <v>2019</v>
      </c>
      <c r="B726" t="s">
        <v>17</v>
      </c>
      <c r="C726" t="s">
        <v>267</v>
      </c>
      <c r="D726" t="s">
        <v>268</v>
      </c>
      <c r="E726" t="s">
        <v>206</v>
      </c>
      <c r="F726" t="s">
        <v>199</v>
      </c>
      <c r="G726" t="s">
        <v>202</v>
      </c>
      <c r="H726">
        <v>0</v>
      </c>
    </row>
    <row r="727" spans="1:8" x14ac:dyDescent="0.3">
      <c r="A727">
        <v>2019</v>
      </c>
      <c r="B727" t="s">
        <v>163</v>
      </c>
      <c r="C727" t="s">
        <v>267</v>
      </c>
      <c r="D727" t="s">
        <v>268</v>
      </c>
      <c r="E727" t="s">
        <v>1</v>
      </c>
      <c r="F727" t="s">
        <v>199</v>
      </c>
      <c r="G727" t="s">
        <v>202</v>
      </c>
      <c r="H727">
        <v>0</v>
      </c>
    </row>
    <row r="728" spans="1:8" x14ac:dyDescent="0.3">
      <c r="A728">
        <v>2019</v>
      </c>
      <c r="B728" t="s">
        <v>163</v>
      </c>
      <c r="C728" t="s">
        <v>267</v>
      </c>
      <c r="D728" t="s">
        <v>268</v>
      </c>
      <c r="E728" t="s">
        <v>203</v>
      </c>
      <c r="F728" t="s">
        <v>199</v>
      </c>
      <c r="G728" t="s">
        <v>202</v>
      </c>
      <c r="H728">
        <v>0</v>
      </c>
    </row>
    <row r="729" spans="1:8" x14ac:dyDescent="0.3">
      <c r="A729">
        <v>2019</v>
      </c>
      <c r="B729" t="s">
        <v>163</v>
      </c>
      <c r="C729" t="s">
        <v>267</v>
      </c>
      <c r="D729" t="s">
        <v>268</v>
      </c>
      <c r="E729" t="s">
        <v>204</v>
      </c>
      <c r="F729" t="s">
        <v>199</v>
      </c>
      <c r="G729" t="s">
        <v>202</v>
      </c>
      <c r="H729">
        <v>0</v>
      </c>
    </row>
    <row r="730" spans="1:8" x14ac:dyDescent="0.3">
      <c r="A730">
        <v>2019</v>
      </c>
      <c r="B730" t="s">
        <v>163</v>
      </c>
      <c r="C730" t="s">
        <v>267</v>
      </c>
      <c r="D730" t="s">
        <v>268</v>
      </c>
      <c r="E730" t="s">
        <v>205</v>
      </c>
      <c r="F730" t="s">
        <v>199</v>
      </c>
      <c r="G730" t="s">
        <v>202</v>
      </c>
      <c r="H730">
        <v>0</v>
      </c>
    </row>
    <row r="731" spans="1:8" x14ac:dyDescent="0.3">
      <c r="A731">
        <v>2019</v>
      </c>
      <c r="B731" t="s">
        <v>163</v>
      </c>
      <c r="C731" t="s">
        <v>267</v>
      </c>
      <c r="D731" t="s">
        <v>268</v>
      </c>
      <c r="E731" t="s">
        <v>206</v>
      </c>
      <c r="F731" t="s">
        <v>199</v>
      </c>
      <c r="G731" t="s">
        <v>202</v>
      </c>
      <c r="H731">
        <v>0</v>
      </c>
    </row>
    <row r="732" spans="1:8" x14ac:dyDescent="0.3">
      <c r="A732">
        <v>2019</v>
      </c>
      <c r="B732" t="s">
        <v>20</v>
      </c>
      <c r="C732" t="s">
        <v>267</v>
      </c>
      <c r="D732" t="s">
        <v>268</v>
      </c>
      <c r="E732" t="s">
        <v>1</v>
      </c>
      <c r="F732" t="s">
        <v>199</v>
      </c>
      <c r="G732" t="s">
        <v>202</v>
      </c>
      <c r="H732">
        <v>0</v>
      </c>
    </row>
    <row r="733" spans="1:8" x14ac:dyDescent="0.3">
      <c r="A733">
        <v>2019</v>
      </c>
      <c r="B733" t="s">
        <v>20</v>
      </c>
      <c r="C733" t="s">
        <v>267</v>
      </c>
      <c r="D733" t="s">
        <v>268</v>
      </c>
      <c r="E733" t="s">
        <v>203</v>
      </c>
      <c r="F733" t="s">
        <v>199</v>
      </c>
      <c r="G733" t="s">
        <v>202</v>
      </c>
      <c r="H733">
        <v>0</v>
      </c>
    </row>
    <row r="734" spans="1:8" x14ac:dyDescent="0.3">
      <c r="A734">
        <v>2019</v>
      </c>
      <c r="B734" t="s">
        <v>20</v>
      </c>
      <c r="C734" t="s">
        <v>267</v>
      </c>
      <c r="D734" t="s">
        <v>268</v>
      </c>
      <c r="E734" t="s">
        <v>204</v>
      </c>
      <c r="F734" t="s">
        <v>199</v>
      </c>
      <c r="G734" t="s">
        <v>202</v>
      </c>
      <c r="H734">
        <v>0</v>
      </c>
    </row>
    <row r="735" spans="1:8" x14ac:dyDescent="0.3">
      <c r="A735">
        <v>2019</v>
      </c>
      <c r="B735" t="s">
        <v>20</v>
      </c>
      <c r="C735" t="s">
        <v>267</v>
      </c>
      <c r="D735" t="s">
        <v>268</v>
      </c>
      <c r="E735" t="s">
        <v>205</v>
      </c>
      <c r="F735" t="s">
        <v>199</v>
      </c>
      <c r="G735" t="s">
        <v>202</v>
      </c>
      <c r="H735">
        <v>0</v>
      </c>
    </row>
    <row r="736" spans="1:8" x14ac:dyDescent="0.3">
      <c r="A736">
        <v>2019</v>
      </c>
      <c r="B736" t="s">
        <v>20</v>
      </c>
      <c r="C736" t="s">
        <v>267</v>
      </c>
      <c r="D736" t="s">
        <v>268</v>
      </c>
      <c r="E736" t="s">
        <v>206</v>
      </c>
      <c r="F736" t="s">
        <v>199</v>
      </c>
      <c r="G736" t="s">
        <v>202</v>
      </c>
      <c r="H736">
        <v>0</v>
      </c>
    </row>
    <row r="737" spans="1:8" x14ac:dyDescent="0.3">
      <c r="A737">
        <v>2019</v>
      </c>
      <c r="B737" t="s">
        <v>21</v>
      </c>
      <c r="C737" t="s">
        <v>267</v>
      </c>
      <c r="D737" t="s">
        <v>268</v>
      </c>
      <c r="E737" t="s">
        <v>1</v>
      </c>
      <c r="F737" t="s">
        <v>199</v>
      </c>
      <c r="G737" t="s">
        <v>202</v>
      </c>
      <c r="H737">
        <v>0</v>
      </c>
    </row>
    <row r="738" spans="1:8" x14ac:dyDescent="0.3">
      <c r="A738">
        <v>2019</v>
      </c>
      <c r="B738" t="s">
        <v>21</v>
      </c>
      <c r="C738" t="s">
        <v>267</v>
      </c>
      <c r="D738" t="s">
        <v>268</v>
      </c>
      <c r="E738" t="s">
        <v>203</v>
      </c>
      <c r="F738" t="s">
        <v>199</v>
      </c>
      <c r="G738" t="s">
        <v>202</v>
      </c>
      <c r="H738">
        <v>0</v>
      </c>
    </row>
    <row r="739" spans="1:8" x14ac:dyDescent="0.3">
      <c r="A739">
        <v>2019</v>
      </c>
      <c r="B739" t="s">
        <v>21</v>
      </c>
      <c r="C739" t="s">
        <v>267</v>
      </c>
      <c r="D739" t="s">
        <v>268</v>
      </c>
      <c r="E739" t="s">
        <v>204</v>
      </c>
      <c r="F739" t="s">
        <v>199</v>
      </c>
      <c r="G739" t="s">
        <v>202</v>
      </c>
      <c r="H739">
        <v>0</v>
      </c>
    </row>
    <row r="740" spans="1:8" x14ac:dyDescent="0.3">
      <c r="A740">
        <v>2019</v>
      </c>
      <c r="B740" t="s">
        <v>21</v>
      </c>
      <c r="C740" t="s">
        <v>267</v>
      </c>
      <c r="D740" t="s">
        <v>268</v>
      </c>
      <c r="E740" t="s">
        <v>205</v>
      </c>
      <c r="F740" t="s">
        <v>199</v>
      </c>
      <c r="G740" t="s">
        <v>202</v>
      </c>
      <c r="H740">
        <v>0</v>
      </c>
    </row>
    <row r="741" spans="1:8" x14ac:dyDescent="0.3">
      <c r="A741">
        <v>2019</v>
      </c>
      <c r="B741" t="s">
        <v>21</v>
      </c>
      <c r="C741" t="s">
        <v>267</v>
      </c>
      <c r="D741" t="s">
        <v>268</v>
      </c>
      <c r="E741" t="s">
        <v>206</v>
      </c>
      <c r="F741" t="s">
        <v>199</v>
      </c>
      <c r="G741" t="s">
        <v>202</v>
      </c>
      <c r="H741">
        <v>0</v>
      </c>
    </row>
    <row r="742" spans="1:8" x14ac:dyDescent="0.3">
      <c r="A742">
        <v>2019</v>
      </c>
      <c r="B742" t="s">
        <v>22</v>
      </c>
      <c r="C742" t="s">
        <v>267</v>
      </c>
      <c r="D742" t="s">
        <v>268</v>
      </c>
      <c r="E742" t="s">
        <v>1</v>
      </c>
      <c r="F742" t="s">
        <v>199</v>
      </c>
      <c r="G742" t="s">
        <v>202</v>
      </c>
      <c r="H742">
        <v>2</v>
      </c>
    </row>
    <row r="743" spans="1:8" x14ac:dyDescent="0.3">
      <c r="A743">
        <v>2019</v>
      </c>
      <c r="B743" t="s">
        <v>22</v>
      </c>
      <c r="C743" t="s">
        <v>267</v>
      </c>
      <c r="D743" t="s">
        <v>268</v>
      </c>
      <c r="E743" t="s">
        <v>203</v>
      </c>
      <c r="F743" t="s">
        <v>199</v>
      </c>
      <c r="G743" t="s">
        <v>202</v>
      </c>
      <c r="H743">
        <v>0</v>
      </c>
    </row>
    <row r="744" spans="1:8" x14ac:dyDescent="0.3">
      <c r="A744">
        <v>2019</v>
      </c>
      <c r="B744" t="s">
        <v>22</v>
      </c>
      <c r="C744" t="s">
        <v>267</v>
      </c>
      <c r="D744" t="s">
        <v>268</v>
      </c>
      <c r="E744" t="s">
        <v>204</v>
      </c>
      <c r="F744" t="s">
        <v>199</v>
      </c>
      <c r="G744" t="s">
        <v>202</v>
      </c>
      <c r="H744">
        <v>0</v>
      </c>
    </row>
    <row r="745" spans="1:8" x14ac:dyDescent="0.3">
      <c r="A745">
        <v>2019</v>
      </c>
      <c r="B745" t="s">
        <v>22</v>
      </c>
      <c r="C745" t="s">
        <v>267</v>
      </c>
      <c r="D745" t="s">
        <v>268</v>
      </c>
      <c r="E745" t="s">
        <v>205</v>
      </c>
      <c r="F745" t="s">
        <v>199</v>
      </c>
      <c r="G745" t="s">
        <v>202</v>
      </c>
      <c r="H745">
        <v>0</v>
      </c>
    </row>
    <row r="746" spans="1:8" x14ac:dyDescent="0.3">
      <c r="A746">
        <v>2019</v>
      </c>
      <c r="B746" t="s">
        <v>22</v>
      </c>
      <c r="C746" t="s">
        <v>267</v>
      </c>
      <c r="D746" t="s">
        <v>268</v>
      </c>
      <c r="E746" t="s">
        <v>206</v>
      </c>
      <c r="F746" t="s">
        <v>199</v>
      </c>
      <c r="G746" t="s">
        <v>202</v>
      </c>
      <c r="H746">
        <v>0</v>
      </c>
    </row>
    <row r="747" spans="1:8" x14ac:dyDescent="0.3">
      <c r="A747">
        <v>2019</v>
      </c>
      <c r="B747" t="s">
        <v>23</v>
      </c>
      <c r="C747" t="s">
        <v>267</v>
      </c>
      <c r="D747" t="s">
        <v>268</v>
      </c>
      <c r="E747" t="s">
        <v>1</v>
      </c>
      <c r="F747" t="s">
        <v>199</v>
      </c>
      <c r="G747" t="s">
        <v>202</v>
      </c>
      <c r="H747">
        <v>1</v>
      </c>
    </row>
    <row r="748" spans="1:8" x14ac:dyDescent="0.3">
      <c r="A748">
        <v>2019</v>
      </c>
      <c r="B748" t="s">
        <v>23</v>
      </c>
      <c r="C748" t="s">
        <v>267</v>
      </c>
      <c r="D748" t="s">
        <v>268</v>
      </c>
      <c r="E748" t="s">
        <v>203</v>
      </c>
      <c r="F748" t="s">
        <v>199</v>
      </c>
      <c r="G748" t="s">
        <v>202</v>
      </c>
      <c r="H748">
        <v>0</v>
      </c>
    </row>
    <row r="749" spans="1:8" x14ac:dyDescent="0.3">
      <c r="A749">
        <v>2019</v>
      </c>
      <c r="B749" t="s">
        <v>23</v>
      </c>
      <c r="C749" t="s">
        <v>267</v>
      </c>
      <c r="D749" t="s">
        <v>268</v>
      </c>
      <c r="E749" t="s">
        <v>204</v>
      </c>
      <c r="F749" t="s">
        <v>199</v>
      </c>
      <c r="G749" t="s">
        <v>202</v>
      </c>
      <c r="H749">
        <v>0</v>
      </c>
    </row>
    <row r="750" spans="1:8" x14ac:dyDescent="0.3">
      <c r="A750">
        <v>2019</v>
      </c>
      <c r="B750" t="s">
        <v>23</v>
      </c>
      <c r="C750" t="s">
        <v>267</v>
      </c>
      <c r="D750" t="s">
        <v>268</v>
      </c>
      <c r="E750" t="s">
        <v>205</v>
      </c>
      <c r="F750" t="s">
        <v>199</v>
      </c>
      <c r="G750" t="s">
        <v>202</v>
      </c>
      <c r="H750">
        <v>0</v>
      </c>
    </row>
    <row r="751" spans="1:8" x14ac:dyDescent="0.3">
      <c r="A751">
        <v>2019</v>
      </c>
      <c r="B751" t="s">
        <v>23</v>
      </c>
      <c r="C751" t="s">
        <v>267</v>
      </c>
      <c r="D751" t="s">
        <v>268</v>
      </c>
      <c r="E751" t="s">
        <v>206</v>
      </c>
      <c r="F751" t="s">
        <v>199</v>
      </c>
      <c r="G751" t="s">
        <v>202</v>
      </c>
      <c r="H751">
        <v>0</v>
      </c>
    </row>
    <row r="752" spans="1:8" x14ac:dyDescent="0.3">
      <c r="A752">
        <v>2019</v>
      </c>
      <c r="B752" t="s">
        <v>54</v>
      </c>
      <c r="C752" t="s">
        <v>267</v>
      </c>
      <c r="D752" t="s">
        <v>268</v>
      </c>
      <c r="E752" t="s">
        <v>1</v>
      </c>
      <c r="F752" t="s">
        <v>199</v>
      </c>
      <c r="G752" t="s">
        <v>202</v>
      </c>
      <c r="H752" t="s">
        <v>274</v>
      </c>
    </row>
    <row r="753" spans="1:8" x14ac:dyDescent="0.3">
      <c r="A753">
        <v>2019</v>
      </c>
      <c r="B753" t="s">
        <v>54</v>
      </c>
      <c r="C753" t="s">
        <v>267</v>
      </c>
      <c r="D753" t="s">
        <v>268</v>
      </c>
      <c r="E753" t="s">
        <v>203</v>
      </c>
      <c r="F753" t="s">
        <v>199</v>
      </c>
      <c r="G753" t="s">
        <v>202</v>
      </c>
      <c r="H753" t="s">
        <v>274</v>
      </c>
    </row>
    <row r="754" spans="1:8" x14ac:dyDescent="0.3">
      <c r="A754">
        <v>2019</v>
      </c>
      <c r="B754" t="s">
        <v>54</v>
      </c>
      <c r="C754" t="s">
        <v>267</v>
      </c>
      <c r="D754" t="s">
        <v>268</v>
      </c>
      <c r="E754" t="s">
        <v>204</v>
      </c>
      <c r="F754" t="s">
        <v>199</v>
      </c>
      <c r="G754" t="s">
        <v>202</v>
      </c>
      <c r="H754" t="s">
        <v>274</v>
      </c>
    </row>
    <row r="755" spans="1:8" x14ac:dyDescent="0.3">
      <c r="A755">
        <v>2019</v>
      </c>
      <c r="B755" t="s">
        <v>54</v>
      </c>
      <c r="C755" t="s">
        <v>267</v>
      </c>
      <c r="D755" t="s">
        <v>268</v>
      </c>
      <c r="E755" t="s">
        <v>205</v>
      </c>
      <c r="F755" t="s">
        <v>199</v>
      </c>
      <c r="G755" t="s">
        <v>202</v>
      </c>
      <c r="H755" t="s">
        <v>274</v>
      </c>
    </row>
    <row r="756" spans="1:8" x14ac:dyDescent="0.3">
      <c r="A756">
        <v>2019</v>
      </c>
      <c r="B756" t="s">
        <v>54</v>
      </c>
      <c r="C756" t="s">
        <v>267</v>
      </c>
      <c r="D756" t="s">
        <v>268</v>
      </c>
      <c r="E756" t="s">
        <v>206</v>
      </c>
      <c r="F756" t="s">
        <v>199</v>
      </c>
      <c r="G756" t="s">
        <v>202</v>
      </c>
      <c r="H756" t="s">
        <v>274</v>
      </c>
    </row>
    <row r="757" spans="1:8" x14ac:dyDescent="0.3">
      <c r="A757">
        <v>2019</v>
      </c>
      <c r="B757" t="s">
        <v>48</v>
      </c>
      <c r="C757" t="s">
        <v>267</v>
      </c>
      <c r="D757" t="s">
        <v>268</v>
      </c>
      <c r="E757" t="s">
        <v>1</v>
      </c>
      <c r="F757" t="s">
        <v>199</v>
      </c>
      <c r="G757" t="s">
        <v>202</v>
      </c>
      <c r="H757">
        <v>0</v>
      </c>
    </row>
    <row r="758" spans="1:8" x14ac:dyDescent="0.3">
      <c r="A758">
        <v>2019</v>
      </c>
      <c r="B758" t="s">
        <v>48</v>
      </c>
      <c r="C758" t="s">
        <v>267</v>
      </c>
      <c r="D758" t="s">
        <v>268</v>
      </c>
      <c r="E758" t="s">
        <v>203</v>
      </c>
      <c r="F758" t="s">
        <v>199</v>
      </c>
      <c r="G758" t="s">
        <v>202</v>
      </c>
      <c r="H758">
        <v>0</v>
      </c>
    </row>
    <row r="759" spans="1:8" x14ac:dyDescent="0.3">
      <c r="A759">
        <v>2019</v>
      </c>
      <c r="B759" t="s">
        <v>48</v>
      </c>
      <c r="C759" t="s">
        <v>267</v>
      </c>
      <c r="D759" t="s">
        <v>268</v>
      </c>
      <c r="E759" t="s">
        <v>204</v>
      </c>
      <c r="F759" t="s">
        <v>199</v>
      </c>
      <c r="G759" t="s">
        <v>202</v>
      </c>
      <c r="H759">
        <v>0</v>
      </c>
    </row>
    <row r="760" spans="1:8" x14ac:dyDescent="0.3">
      <c r="A760">
        <v>2019</v>
      </c>
      <c r="B760" t="s">
        <v>48</v>
      </c>
      <c r="C760" t="s">
        <v>267</v>
      </c>
      <c r="D760" t="s">
        <v>268</v>
      </c>
      <c r="E760" t="s">
        <v>205</v>
      </c>
      <c r="F760" t="s">
        <v>199</v>
      </c>
      <c r="G760" t="s">
        <v>202</v>
      </c>
      <c r="H760">
        <v>0</v>
      </c>
    </row>
    <row r="761" spans="1:8" x14ac:dyDescent="0.3">
      <c r="A761">
        <v>2019</v>
      </c>
      <c r="B761" t="s">
        <v>48</v>
      </c>
      <c r="C761" t="s">
        <v>267</v>
      </c>
      <c r="D761" t="s">
        <v>268</v>
      </c>
      <c r="E761" t="s">
        <v>206</v>
      </c>
      <c r="F761" t="s">
        <v>199</v>
      </c>
      <c r="G761" t="s">
        <v>202</v>
      </c>
      <c r="H761">
        <v>0</v>
      </c>
    </row>
    <row r="762" spans="1:8" x14ac:dyDescent="0.3">
      <c r="A762">
        <v>2019</v>
      </c>
      <c r="B762" t="s">
        <v>24</v>
      </c>
      <c r="C762" t="s">
        <v>267</v>
      </c>
      <c r="D762" t="s">
        <v>268</v>
      </c>
      <c r="E762" t="s">
        <v>1</v>
      </c>
      <c r="F762" t="s">
        <v>199</v>
      </c>
      <c r="G762" t="s">
        <v>202</v>
      </c>
      <c r="H762">
        <v>0</v>
      </c>
    </row>
    <row r="763" spans="1:8" x14ac:dyDescent="0.3">
      <c r="A763">
        <v>2019</v>
      </c>
      <c r="B763" t="s">
        <v>24</v>
      </c>
      <c r="C763" t="s">
        <v>267</v>
      </c>
      <c r="D763" t="s">
        <v>268</v>
      </c>
      <c r="E763" t="s">
        <v>203</v>
      </c>
      <c r="F763" t="s">
        <v>199</v>
      </c>
      <c r="G763" t="s">
        <v>202</v>
      </c>
      <c r="H763">
        <v>0</v>
      </c>
    </row>
    <row r="764" spans="1:8" x14ac:dyDescent="0.3">
      <c r="A764">
        <v>2019</v>
      </c>
      <c r="B764" t="s">
        <v>24</v>
      </c>
      <c r="C764" t="s">
        <v>267</v>
      </c>
      <c r="D764" t="s">
        <v>268</v>
      </c>
      <c r="E764" t="s">
        <v>204</v>
      </c>
      <c r="F764" t="s">
        <v>199</v>
      </c>
      <c r="G764" t="s">
        <v>202</v>
      </c>
      <c r="H764">
        <v>0</v>
      </c>
    </row>
    <row r="765" spans="1:8" x14ac:dyDescent="0.3">
      <c r="A765">
        <v>2019</v>
      </c>
      <c r="B765" t="s">
        <v>24</v>
      </c>
      <c r="C765" t="s">
        <v>267</v>
      </c>
      <c r="D765" t="s">
        <v>268</v>
      </c>
      <c r="E765" t="s">
        <v>205</v>
      </c>
      <c r="F765" t="s">
        <v>199</v>
      </c>
      <c r="G765" t="s">
        <v>202</v>
      </c>
      <c r="H765">
        <v>0</v>
      </c>
    </row>
    <row r="766" spans="1:8" x14ac:dyDescent="0.3">
      <c r="A766">
        <v>2019</v>
      </c>
      <c r="B766" t="s">
        <v>24</v>
      </c>
      <c r="C766" t="s">
        <v>267</v>
      </c>
      <c r="D766" t="s">
        <v>268</v>
      </c>
      <c r="E766" t="s">
        <v>206</v>
      </c>
      <c r="F766" t="s">
        <v>199</v>
      </c>
      <c r="G766" t="s">
        <v>202</v>
      </c>
      <c r="H766">
        <v>0</v>
      </c>
    </row>
    <row r="767" spans="1:8" x14ac:dyDescent="0.3">
      <c r="A767">
        <v>2019</v>
      </c>
      <c r="B767" t="s">
        <v>214</v>
      </c>
      <c r="C767" t="s">
        <v>267</v>
      </c>
      <c r="D767" t="s">
        <v>268</v>
      </c>
      <c r="E767" t="s">
        <v>1</v>
      </c>
      <c r="F767" t="s">
        <v>199</v>
      </c>
      <c r="G767" t="s">
        <v>202</v>
      </c>
      <c r="H767">
        <v>0</v>
      </c>
    </row>
    <row r="768" spans="1:8" x14ac:dyDescent="0.3">
      <c r="A768">
        <v>2019</v>
      </c>
      <c r="B768" t="s">
        <v>214</v>
      </c>
      <c r="C768" t="s">
        <v>267</v>
      </c>
      <c r="D768" t="s">
        <v>268</v>
      </c>
      <c r="E768" t="s">
        <v>203</v>
      </c>
      <c r="F768" t="s">
        <v>199</v>
      </c>
      <c r="G768" t="s">
        <v>202</v>
      </c>
      <c r="H768">
        <v>0</v>
      </c>
    </row>
    <row r="769" spans="1:8" x14ac:dyDescent="0.3">
      <c r="A769">
        <v>2019</v>
      </c>
      <c r="B769" t="s">
        <v>214</v>
      </c>
      <c r="C769" t="s">
        <v>267</v>
      </c>
      <c r="D769" t="s">
        <v>268</v>
      </c>
      <c r="E769" t="s">
        <v>204</v>
      </c>
      <c r="F769" t="s">
        <v>199</v>
      </c>
      <c r="G769" t="s">
        <v>202</v>
      </c>
      <c r="H769">
        <v>0</v>
      </c>
    </row>
    <row r="770" spans="1:8" x14ac:dyDescent="0.3">
      <c r="A770">
        <v>2019</v>
      </c>
      <c r="B770" t="s">
        <v>214</v>
      </c>
      <c r="C770" t="s">
        <v>267</v>
      </c>
      <c r="D770" t="s">
        <v>268</v>
      </c>
      <c r="E770" t="s">
        <v>205</v>
      </c>
      <c r="F770" t="s">
        <v>199</v>
      </c>
      <c r="G770" t="s">
        <v>202</v>
      </c>
      <c r="H770">
        <v>0</v>
      </c>
    </row>
    <row r="771" spans="1:8" x14ac:dyDescent="0.3">
      <c r="A771">
        <v>2019</v>
      </c>
      <c r="B771" t="s">
        <v>214</v>
      </c>
      <c r="C771" t="s">
        <v>267</v>
      </c>
      <c r="D771" t="s">
        <v>268</v>
      </c>
      <c r="E771" t="s">
        <v>206</v>
      </c>
      <c r="F771" t="s">
        <v>199</v>
      </c>
      <c r="G771" t="s">
        <v>202</v>
      </c>
      <c r="H771">
        <v>0</v>
      </c>
    </row>
    <row r="772" spans="1:8" x14ac:dyDescent="0.3">
      <c r="A772">
        <v>2019</v>
      </c>
      <c r="B772" t="s">
        <v>26</v>
      </c>
      <c r="C772" t="s">
        <v>267</v>
      </c>
      <c r="D772" t="s">
        <v>268</v>
      </c>
      <c r="E772" t="s">
        <v>1</v>
      </c>
      <c r="F772" t="s">
        <v>199</v>
      </c>
      <c r="G772" t="s">
        <v>202</v>
      </c>
      <c r="H772">
        <v>0</v>
      </c>
    </row>
    <row r="773" spans="1:8" x14ac:dyDescent="0.3">
      <c r="A773">
        <v>2019</v>
      </c>
      <c r="B773" t="s">
        <v>26</v>
      </c>
      <c r="C773" t="s">
        <v>267</v>
      </c>
      <c r="D773" t="s">
        <v>268</v>
      </c>
      <c r="E773" t="s">
        <v>203</v>
      </c>
      <c r="F773" t="s">
        <v>199</v>
      </c>
      <c r="G773" t="s">
        <v>202</v>
      </c>
      <c r="H773">
        <v>0</v>
      </c>
    </row>
    <row r="774" spans="1:8" x14ac:dyDescent="0.3">
      <c r="A774">
        <v>2019</v>
      </c>
      <c r="B774" t="s">
        <v>26</v>
      </c>
      <c r="C774" t="s">
        <v>267</v>
      </c>
      <c r="D774" t="s">
        <v>268</v>
      </c>
      <c r="E774" t="s">
        <v>204</v>
      </c>
      <c r="F774" t="s">
        <v>199</v>
      </c>
      <c r="G774" t="s">
        <v>202</v>
      </c>
      <c r="H774">
        <v>0</v>
      </c>
    </row>
    <row r="775" spans="1:8" x14ac:dyDescent="0.3">
      <c r="A775">
        <v>2019</v>
      </c>
      <c r="B775" t="s">
        <v>26</v>
      </c>
      <c r="C775" t="s">
        <v>267</v>
      </c>
      <c r="D775" t="s">
        <v>268</v>
      </c>
      <c r="E775" t="s">
        <v>205</v>
      </c>
      <c r="F775" t="s">
        <v>199</v>
      </c>
      <c r="G775" t="s">
        <v>202</v>
      </c>
      <c r="H775">
        <v>0</v>
      </c>
    </row>
    <row r="776" spans="1:8" x14ac:dyDescent="0.3">
      <c r="A776">
        <v>2019</v>
      </c>
      <c r="B776" t="s">
        <v>26</v>
      </c>
      <c r="C776" t="s">
        <v>267</v>
      </c>
      <c r="D776" t="s">
        <v>268</v>
      </c>
      <c r="E776" t="s">
        <v>206</v>
      </c>
      <c r="F776" t="s">
        <v>199</v>
      </c>
      <c r="G776" t="s">
        <v>202</v>
      </c>
      <c r="H776">
        <v>0</v>
      </c>
    </row>
    <row r="777" spans="1:8" x14ac:dyDescent="0.3">
      <c r="A777">
        <v>2019</v>
      </c>
      <c r="B777" t="s">
        <v>27</v>
      </c>
      <c r="C777" t="s">
        <v>267</v>
      </c>
      <c r="D777" t="s">
        <v>268</v>
      </c>
      <c r="E777" t="s">
        <v>1</v>
      </c>
      <c r="F777" t="s">
        <v>199</v>
      </c>
      <c r="G777" t="s">
        <v>202</v>
      </c>
      <c r="H777">
        <v>0</v>
      </c>
    </row>
    <row r="778" spans="1:8" x14ac:dyDescent="0.3">
      <c r="A778">
        <v>2019</v>
      </c>
      <c r="B778" t="s">
        <v>27</v>
      </c>
      <c r="C778" t="s">
        <v>267</v>
      </c>
      <c r="D778" t="s">
        <v>268</v>
      </c>
      <c r="E778" t="s">
        <v>203</v>
      </c>
      <c r="F778" t="s">
        <v>199</v>
      </c>
      <c r="G778" t="s">
        <v>202</v>
      </c>
      <c r="H778">
        <v>0</v>
      </c>
    </row>
    <row r="779" spans="1:8" x14ac:dyDescent="0.3">
      <c r="A779">
        <v>2019</v>
      </c>
      <c r="B779" t="s">
        <v>27</v>
      </c>
      <c r="C779" t="s">
        <v>267</v>
      </c>
      <c r="D779" t="s">
        <v>268</v>
      </c>
      <c r="E779" t="s">
        <v>204</v>
      </c>
      <c r="F779" t="s">
        <v>199</v>
      </c>
      <c r="G779" t="s">
        <v>202</v>
      </c>
      <c r="H779">
        <v>0</v>
      </c>
    </row>
    <row r="780" spans="1:8" x14ac:dyDescent="0.3">
      <c r="A780">
        <v>2019</v>
      </c>
      <c r="B780" t="s">
        <v>27</v>
      </c>
      <c r="C780" t="s">
        <v>267</v>
      </c>
      <c r="D780" t="s">
        <v>268</v>
      </c>
      <c r="E780" t="s">
        <v>205</v>
      </c>
      <c r="F780" t="s">
        <v>199</v>
      </c>
      <c r="G780" t="s">
        <v>202</v>
      </c>
      <c r="H780">
        <v>0</v>
      </c>
    </row>
    <row r="781" spans="1:8" x14ac:dyDescent="0.3">
      <c r="A781">
        <v>2019</v>
      </c>
      <c r="B781" t="s">
        <v>27</v>
      </c>
      <c r="C781" t="s">
        <v>267</v>
      </c>
      <c r="D781" t="s">
        <v>268</v>
      </c>
      <c r="E781" t="s">
        <v>206</v>
      </c>
      <c r="F781" t="s">
        <v>199</v>
      </c>
      <c r="G781" t="s">
        <v>202</v>
      </c>
      <c r="H781">
        <v>0</v>
      </c>
    </row>
    <row r="782" spans="1:8" x14ac:dyDescent="0.3">
      <c r="A782">
        <v>2019</v>
      </c>
      <c r="B782" t="s">
        <v>219</v>
      </c>
      <c r="C782" t="s">
        <v>267</v>
      </c>
      <c r="D782" t="s">
        <v>268</v>
      </c>
      <c r="E782" t="s">
        <v>1</v>
      </c>
      <c r="F782" t="s">
        <v>199</v>
      </c>
      <c r="G782" t="s">
        <v>202</v>
      </c>
    </row>
    <row r="783" spans="1:8" x14ac:dyDescent="0.3">
      <c r="A783">
        <v>2019</v>
      </c>
      <c r="B783" t="s">
        <v>219</v>
      </c>
      <c r="C783" t="s">
        <v>267</v>
      </c>
      <c r="D783" t="s">
        <v>268</v>
      </c>
      <c r="E783" t="s">
        <v>203</v>
      </c>
      <c r="F783" t="s">
        <v>199</v>
      </c>
      <c r="G783" t="s">
        <v>202</v>
      </c>
    </row>
    <row r="784" spans="1:8" x14ac:dyDescent="0.3">
      <c r="A784">
        <v>2019</v>
      </c>
      <c r="B784" t="s">
        <v>219</v>
      </c>
      <c r="C784" t="s">
        <v>267</v>
      </c>
      <c r="D784" t="s">
        <v>268</v>
      </c>
      <c r="E784" t="s">
        <v>204</v>
      </c>
      <c r="F784" t="s">
        <v>199</v>
      </c>
      <c r="G784" t="s">
        <v>202</v>
      </c>
    </row>
    <row r="785" spans="1:8" x14ac:dyDescent="0.3">
      <c r="A785">
        <v>2019</v>
      </c>
      <c r="B785" t="s">
        <v>219</v>
      </c>
      <c r="C785" t="s">
        <v>267</v>
      </c>
      <c r="D785" t="s">
        <v>268</v>
      </c>
      <c r="E785" t="s">
        <v>205</v>
      </c>
      <c r="F785" t="s">
        <v>199</v>
      </c>
      <c r="G785" t="s">
        <v>202</v>
      </c>
    </row>
    <row r="786" spans="1:8" x14ac:dyDescent="0.3">
      <c r="A786">
        <v>2019</v>
      </c>
      <c r="B786" t="s">
        <v>219</v>
      </c>
      <c r="C786" t="s">
        <v>267</v>
      </c>
      <c r="D786" t="s">
        <v>268</v>
      </c>
      <c r="E786" t="s">
        <v>206</v>
      </c>
      <c r="F786" t="s">
        <v>199</v>
      </c>
      <c r="G786" t="s">
        <v>202</v>
      </c>
    </row>
    <row r="787" spans="1:8" x14ac:dyDescent="0.3">
      <c r="A787">
        <v>2019</v>
      </c>
      <c r="B787" t="s">
        <v>46</v>
      </c>
      <c r="C787" t="s">
        <v>267</v>
      </c>
      <c r="D787" t="s">
        <v>268</v>
      </c>
      <c r="E787" t="s">
        <v>1</v>
      </c>
      <c r="F787" t="s">
        <v>199</v>
      </c>
      <c r="G787" t="s">
        <v>202</v>
      </c>
    </row>
    <row r="788" spans="1:8" x14ac:dyDescent="0.3">
      <c r="A788">
        <v>2019</v>
      </c>
      <c r="B788" t="s">
        <v>46</v>
      </c>
      <c r="C788" t="s">
        <v>267</v>
      </c>
      <c r="D788" t="s">
        <v>268</v>
      </c>
      <c r="E788" t="s">
        <v>203</v>
      </c>
      <c r="F788" t="s">
        <v>199</v>
      </c>
      <c r="G788" t="s">
        <v>202</v>
      </c>
    </row>
    <row r="789" spans="1:8" x14ac:dyDescent="0.3">
      <c r="A789">
        <v>2019</v>
      </c>
      <c r="B789" t="s">
        <v>46</v>
      </c>
      <c r="C789" t="s">
        <v>267</v>
      </c>
      <c r="D789" t="s">
        <v>268</v>
      </c>
      <c r="E789" t="s">
        <v>204</v>
      </c>
      <c r="F789" t="s">
        <v>199</v>
      </c>
      <c r="G789" t="s">
        <v>202</v>
      </c>
    </row>
    <row r="790" spans="1:8" x14ac:dyDescent="0.3">
      <c r="A790">
        <v>2019</v>
      </c>
      <c r="B790" t="s">
        <v>46</v>
      </c>
      <c r="C790" t="s">
        <v>267</v>
      </c>
      <c r="D790" t="s">
        <v>268</v>
      </c>
      <c r="E790" t="s">
        <v>205</v>
      </c>
      <c r="F790" t="s">
        <v>199</v>
      </c>
      <c r="G790" t="s">
        <v>202</v>
      </c>
    </row>
    <row r="791" spans="1:8" x14ac:dyDescent="0.3">
      <c r="A791">
        <v>2019</v>
      </c>
      <c r="B791" t="s">
        <v>46</v>
      </c>
      <c r="C791" t="s">
        <v>267</v>
      </c>
      <c r="D791" t="s">
        <v>268</v>
      </c>
      <c r="E791" t="s">
        <v>206</v>
      </c>
      <c r="F791" t="s">
        <v>199</v>
      </c>
      <c r="G791" t="s">
        <v>202</v>
      </c>
    </row>
    <row r="792" spans="1:8" x14ac:dyDescent="0.3">
      <c r="A792">
        <v>2019</v>
      </c>
      <c r="B792" t="s">
        <v>29</v>
      </c>
      <c r="C792" t="s">
        <v>267</v>
      </c>
      <c r="D792" t="s">
        <v>268</v>
      </c>
      <c r="E792" t="s">
        <v>1</v>
      </c>
      <c r="F792" t="s">
        <v>199</v>
      </c>
      <c r="G792" t="s">
        <v>202</v>
      </c>
      <c r="H792">
        <v>1</v>
      </c>
    </row>
    <row r="793" spans="1:8" x14ac:dyDescent="0.3">
      <c r="A793">
        <v>2019</v>
      </c>
      <c r="B793" t="s">
        <v>29</v>
      </c>
      <c r="C793" t="s">
        <v>267</v>
      </c>
      <c r="D793" t="s">
        <v>268</v>
      </c>
      <c r="E793" t="s">
        <v>203</v>
      </c>
      <c r="F793" t="s">
        <v>199</v>
      </c>
      <c r="G793" t="s">
        <v>202</v>
      </c>
      <c r="H793">
        <v>0</v>
      </c>
    </row>
    <row r="794" spans="1:8" x14ac:dyDescent="0.3">
      <c r="A794">
        <v>2019</v>
      </c>
      <c r="B794" t="s">
        <v>29</v>
      </c>
      <c r="C794" t="s">
        <v>267</v>
      </c>
      <c r="D794" t="s">
        <v>268</v>
      </c>
      <c r="E794" t="s">
        <v>204</v>
      </c>
      <c r="F794" t="s">
        <v>199</v>
      </c>
      <c r="G794" t="s">
        <v>202</v>
      </c>
      <c r="H794">
        <v>0</v>
      </c>
    </row>
    <row r="795" spans="1:8" x14ac:dyDescent="0.3">
      <c r="A795">
        <v>2019</v>
      </c>
      <c r="B795" t="s">
        <v>29</v>
      </c>
      <c r="C795" t="s">
        <v>267</v>
      </c>
      <c r="D795" t="s">
        <v>268</v>
      </c>
      <c r="E795" t="s">
        <v>205</v>
      </c>
      <c r="F795" t="s">
        <v>199</v>
      </c>
      <c r="G795" t="s">
        <v>202</v>
      </c>
      <c r="H795">
        <v>0</v>
      </c>
    </row>
    <row r="796" spans="1:8" x14ac:dyDescent="0.3">
      <c r="A796">
        <v>2019</v>
      </c>
      <c r="B796" t="s">
        <v>29</v>
      </c>
      <c r="C796" t="s">
        <v>267</v>
      </c>
      <c r="D796" t="s">
        <v>268</v>
      </c>
      <c r="E796" t="s">
        <v>206</v>
      </c>
      <c r="F796" t="s">
        <v>199</v>
      </c>
      <c r="G796" t="s">
        <v>202</v>
      </c>
      <c r="H796">
        <v>0</v>
      </c>
    </row>
    <row r="797" spans="1:8" x14ac:dyDescent="0.3">
      <c r="A797">
        <v>2019</v>
      </c>
      <c r="B797" t="s">
        <v>30</v>
      </c>
      <c r="C797" t="s">
        <v>267</v>
      </c>
      <c r="D797" t="s">
        <v>268</v>
      </c>
      <c r="E797" t="s">
        <v>1</v>
      </c>
      <c r="F797" t="s">
        <v>199</v>
      </c>
      <c r="G797" t="s">
        <v>202</v>
      </c>
      <c r="H797">
        <v>0</v>
      </c>
    </row>
    <row r="798" spans="1:8" x14ac:dyDescent="0.3">
      <c r="A798">
        <v>2019</v>
      </c>
      <c r="B798" t="s">
        <v>30</v>
      </c>
      <c r="C798" t="s">
        <v>267</v>
      </c>
      <c r="D798" t="s">
        <v>268</v>
      </c>
      <c r="E798" t="s">
        <v>203</v>
      </c>
      <c r="F798" t="s">
        <v>199</v>
      </c>
      <c r="G798" t="s">
        <v>202</v>
      </c>
      <c r="H798">
        <v>0</v>
      </c>
    </row>
    <row r="799" spans="1:8" x14ac:dyDescent="0.3">
      <c r="A799">
        <v>2019</v>
      </c>
      <c r="B799" t="s">
        <v>30</v>
      </c>
      <c r="C799" t="s">
        <v>267</v>
      </c>
      <c r="D799" t="s">
        <v>268</v>
      </c>
      <c r="E799" t="s">
        <v>204</v>
      </c>
      <c r="F799" t="s">
        <v>199</v>
      </c>
      <c r="G799" t="s">
        <v>202</v>
      </c>
      <c r="H799">
        <v>0</v>
      </c>
    </row>
    <row r="800" spans="1:8" x14ac:dyDescent="0.3">
      <c r="A800">
        <v>2019</v>
      </c>
      <c r="B800" t="s">
        <v>30</v>
      </c>
      <c r="C800" t="s">
        <v>267</v>
      </c>
      <c r="D800" t="s">
        <v>268</v>
      </c>
      <c r="E800" t="s">
        <v>205</v>
      </c>
      <c r="F800" t="s">
        <v>199</v>
      </c>
      <c r="G800" t="s">
        <v>202</v>
      </c>
      <c r="H800">
        <v>0</v>
      </c>
    </row>
    <row r="801" spans="1:8" x14ac:dyDescent="0.3">
      <c r="A801">
        <v>2019</v>
      </c>
      <c r="B801" t="s">
        <v>30</v>
      </c>
      <c r="C801" t="s">
        <v>267</v>
      </c>
      <c r="D801" t="s">
        <v>268</v>
      </c>
      <c r="E801" t="s">
        <v>206</v>
      </c>
      <c r="F801" t="s">
        <v>199</v>
      </c>
      <c r="G801" t="s">
        <v>202</v>
      </c>
      <c r="H801">
        <v>0</v>
      </c>
    </row>
    <row r="802" spans="1:8" x14ac:dyDescent="0.3">
      <c r="A802">
        <v>2019</v>
      </c>
      <c r="B802" t="s">
        <v>31</v>
      </c>
      <c r="C802" t="s">
        <v>267</v>
      </c>
      <c r="D802" t="s">
        <v>268</v>
      </c>
      <c r="E802" t="s">
        <v>1</v>
      </c>
      <c r="F802" t="s">
        <v>199</v>
      </c>
      <c r="G802" t="s">
        <v>202</v>
      </c>
      <c r="H802">
        <v>1</v>
      </c>
    </row>
    <row r="803" spans="1:8" x14ac:dyDescent="0.3">
      <c r="A803">
        <v>2019</v>
      </c>
      <c r="B803" t="s">
        <v>31</v>
      </c>
      <c r="C803" t="s">
        <v>267</v>
      </c>
      <c r="D803" t="s">
        <v>268</v>
      </c>
      <c r="E803" t="s">
        <v>203</v>
      </c>
      <c r="F803" t="s">
        <v>199</v>
      </c>
      <c r="G803" t="s">
        <v>202</v>
      </c>
      <c r="H803">
        <v>0</v>
      </c>
    </row>
    <row r="804" spans="1:8" x14ac:dyDescent="0.3">
      <c r="A804">
        <v>2019</v>
      </c>
      <c r="B804" t="s">
        <v>31</v>
      </c>
      <c r="C804" t="s">
        <v>267</v>
      </c>
      <c r="D804" t="s">
        <v>268</v>
      </c>
      <c r="E804" t="s">
        <v>204</v>
      </c>
      <c r="F804" t="s">
        <v>199</v>
      </c>
      <c r="G804" t="s">
        <v>202</v>
      </c>
      <c r="H804">
        <v>0</v>
      </c>
    </row>
    <row r="805" spans="1:8" x14ac:dyDescent="0.3">
      <c r="A805">
        <v>2019</v>
      </c>
      <c r="B805" t="s">
        <v>31</v>
      </c>
      <c r="C805" t="s">
        <v>267</v>
      </c>
      <c r="D805" t="s">
        <v>268</v>
      </c>
      <c r="E805" t="s">
        <v>205</v>
      </c>
      <c r="F805" t="s">
        <v>199</v>
      </c>
      <c r="G805" t="s">
        <v>202</v>
      </c>
      <c r="H805">
        <v>0</v>
      </c>
    </row>
    <row r="806" spans="1:8" x14ac:dyDescent="0.3">
      <c r="A806">
        <v>2019</v>
      </c>
      <c r="B806" t="s">
        <v>31</v>
      </c>
      <c r="C806" t="s">
        <v>267</v>
      </c>
      <c r="D806" t="s">
        <v>268</v>
      </c>
      <c r="E806" t="s">
        <v>206</v>
      </c>
      <c r="F806" t="s">
        <v>199</v>
      </c>
      <c r="G806" t="s">
        <v>202</v>
      </c>
      <c r="H806">
        <v>0</v>
      </c>
    </row>
    <row r="807" spans="1:8" x14ac:dyDescent="0.3">
      <c r="A807">
        <v>2019</v>
      </c>
      <c r="B807" t="s">
        <v>32</v>
      </c>
      <c r="C807" t="s">
        <v>267</v>
      </c>
      <c r="D807" t="s">
        <v>268</v>
      </c>
      <c r="E807" t="s">
        <v>1</v>
      </c>
      <c r="F807" t="s">
        <v>199</v>
      </c>
      <c r="G807" t="s">
        <v>202</v>
      </c>
      <c r="H807">
        <v>2</v>
      </c>
    </row>
    <row r="808" spans="1:8" x14ac:dyDescent="0.3">
      <c r="A808">
        <v>2019</v>
      </c>
      <c r="B808" t="s">
        <v>32</v>
      </c>
      <c r="C808" t="s">
        <v>267</v>
      </c>
      <c r="D808" t="s">
        <v>268</v>
      </c>
      <c r="E808" t="s">
        <v>203</v>
      </c>
      <c r="F808" t="s">
        <v>199</v>
      </c>
      <c r="G808" t="s">
        <v>202</v>
      </c>
      <c r="H808">
        <v>1</v>
      </c>
    </row>
    <row r="809" spans="1:8" x14ac:dyDescent="0.3">
      <c r="A809">
        <v>2019</v>
      </c>
      <c r="B809" t="s">
        <v>32</v>
      </c>
      <c r="C809" t="s">
        <v>267</v>
      </c>
      <c r="D809" t="s">
        <v>268</v>
      </c>
      <c r="E809" t="s">
        <v>204</v>
      </c>
      <c r="F809" t="s">
        <v>199</v>
      </c>
      <c r="G809" t="s">
        <v>202</v>
      </c>
    </row>
    <row r="810" spans="1:8" x14ac:dyDescent="0.3">
      <c r="A810">
        <v>2019</v>
      </c>
      <c r="B810" t="s">
        <v>32</v>
      </c>
      <c r="C810" t="s">
        <v>267</v>
      </c>
      <c r="D810" t="s">
        <v>268</v>
      </c>
      <c r="E810" t="s">
        <v>205</v>
      </c>
      <c r="F810" t="s">
        <v>199</v>
      </c>
      <c r="G810" t="s">
        <v>202</v>
      </c>
    </row>
    <row r="811" spans="1:8" x14ac:dyDescent="0.3">
      <c r="A811">
        <v>2019</v>
      </c>
      <c r="B811" t="s">
        <v>32</v>
      </c>
      <c r="C811" t="s">
        <v>267</v>
      </c>
      <c r="D811" t="s">
        <v>268</v>
      </c>
      <c r="E811" t="s">
        <v>206</v>
      </c>
      <c r="F811" t="s">
        <v>199</v>
      </c>
      <c r="G811" t="s">
        <v>202</v>
      </c>
    </row>
    <row r="812" spans="1:8" x14ac:dyDescent="0.3">
      <c r="A812">
        <v>2019</v>
      </c>
      <c r="B812" t="s">
        <v>49</v>
      </c>
      <c r="C812" t="s">
        <v>267</v>
      </c>
      <c r="D812" t="s">
        <v>268</v>
      </c>
      <c r="E812" t="s">
        <v>1</v>
      </c>
      <c r="F812" t="s">
        <v>199</v>
      </c>
      <c r="G812" t="s">
        <v>202</v>
      </c>
      <c r="H812">
        <v>0</v>
      </c>
    </row>
    <row r="813" spans="1:8" x14ac:dyDescent="0.3">
      <c r="A813">
        <v>2019</v>
      </c>
      <c r="B813" t="s">
        <v>49</v>
      </c>
      <c r="C813" t="s">
        <v>267</v>
      </c>
      <c r="D813" t="s">
        <v>268</v>
      </c>
      <c r="E813" t="s">
        <v>203</v>
      </c>
      <c r="F813" t="s">
        <v>199</v>
      </c>
      <c r="G813" t="s">
        <v>202</v>
      </c>
      <c r="H813">
        <v>0</v>
      </c>
    </row>
    <row r="814" spans="1:8" x14ac:dyDescent="0.3">
      <c r="A814">
        <v>2019</v>
      </c>
      <c r="B814" t="s">
        <v>49</v>
      </c>
      <c r="C814" t="s">
        <v>267</v>
      </c>
      <c r="D814" t="s">
        <v>268</v>
      </c>
      <c r="E814" t="s">
        <v>204</v>
      </c>
      <c r="F814" t="s">
        <v>199</v>
      </c>
      <c r="G814" t="s">
        <v>202</v>
      </c>
      <c r="H814">
        <v>0</v>
      </c>
    </row>
    <row r="815" spans="1:8" x14ac:dyDescent="0.3">
      <c r="A815">
        <v>2019</v>
      </c>
      <c r="B815" t="s">
        <v>49</v>
      </c>
      <c r="C815" t="s">
        <v>267</v>
      </c>
      <c r="D815" t="s">
        <v>268</v>
      </c>
      <c r="E815" t="s">
        <v>205</v>
      </c>
      <c r="F815" t="s">
        <v>199</v>
      </c>
      <c r="G815" t="s">
        <v>202</v>
      </c>
      <c r="H815">
        <v>0</v>
      </c>
    </row>
    <row r="816" spans="1:8" x14ac:dyDescent="0.3">
      <c r="A816">
        <v>2019</v>
      </c>
      <c r="B816" t="s">
        <v>49</v>
      </c>
      <c r="C816" t="s">
        <v>267</v>
      </c>
      <c r="D816" t="s">
        <v>268</v>
      </c>
      <c r="E816" t="s">
        <v>206</v>
      </c>
      <c r="F816" t="s">
        <v>199</v>
      </c>
      <c r="G816" t="s">
        <v>202</v>
      </c>
      <c r="H816">
        <v>0</v>
      </c>
    </row>
    <row r="817" spans="1:8" x14ac:dyDescent="0.3">
      <c r="A817">
        <v>2019</v>
      </c>
      <c r="B817" t="s">
        <v>33</v>
      </c>
      <c r="C817" t="s">
        <v>267</v>
      </c>
      <c r="D817" t="s">
        <v>268</v>
      </c>
      <c r="E817" t="s">
        <v>1</v>
      </c>
      <c r="F817" t="s">
        <v>199</v>
      </c>
      <c r="G817" t="s">
        <v>202</v>
      </c>
      <c r="H817">
        <v>1</v>
      </c>
    </row>
    <row r="818" spans="1:8" x14ac:dyDescent="0.3">
      <c r="A818">
        <v>2019</v>
      </c>
      <c r="B818" t="s">
        <v>33</v>
      </c>
      <c r="C818" t="s">
        <v>267</v>
      </c>
      <c r="D818" t="s">
        <v>268</v>
      </c>
      <c r="E818" t="s">
        <v>203</v>
      </c>
      <c r="F818" t="s">
        <v>199</v>
      </c>
      <c r="G818" t="s">
        <v>202</v>
      </c>
      <c r="H818">
        <v>0</v>
      </c>
    </row>
    <row r="819" spans="1:8" x14ac:dyDescent="0.3">
      <c r="A819">
        <v>2019</v>
      </c>
      <c r="B819" t="s">
        <v>33</v>
      </c>
      <c r="C819" t="s">
        <v>267</v>
      </c>
      <c r="D819" t="s">
        <v>268</v>
      </c>
      <c r="E819" t="s">
        <v>204</v>
      </c>
      <c r="F819" t="s">
        <v>199</v>
      </c>
      <c r="G819" t="s">
        <v>202</v>
      </c>
      <c r="H819">
        <v>0</v>
      </c>
    </row>
    <row r="820" spans="1:8" x14ac:dyDescent="0.3">
      <c r="A820">
        <v>2019</v>
      </c>
      <c r="B820" t="s">
        <v>33</v>
      </c>
      <c r="C820" t="s">
        <v>267</v>
      </c>
      <c r="D820" t="s">
        <v>268</v>
      </c>
      <c r="E820" t="s">
        <v>205</v>
      </c>
      <c r="F820" t="s">
        <v>199</v>
      </c>
      <c r="G820" t="s">
        <v>202</v>
      </c>
      <c r="H820">
        <v>0</v>
      </c>
    </row>
    <row r="821" spans="1:8" x14ac:dyDescent="0.3">
      <c r="A821">
        <v>2019</v>
      </c>
      <c r="B821" t="s">
        <v>33</v>
      </c>
      <c r="C821" t="s">
        <v>267</v>
      </c>
      <c r="D821" t="s">
        <v>268</v>
      </c>
      <c r="E821" t="s">
        <v>206</v>
      </c>
      <c r="F821" t="s">
        <v>199</v>
      </c>
      <c r="G821" t="s">
        <v>202</v>
      </c>
      <c r="H821">
        <v>0</v>
      </c>
    </row>
    <row r="822" spans="1:8" x14ac:dyDescent="0.3">
      <c r="A822">
        <v>2019</v>
      </c>
      <c r="B822" t="s">
        <v>34</v>
      </c>
      <c r="C822" t="s">
        <v>267</v>
      </c>
      <c r="D822" t="s">
        <v>268</v>
      </c>
      <c r="E822" t="s">
        <v>1</v>
      </c>
      <c r="F822" t="s">
        <v>199</v>
      </c>
      <c r="G822" t="s">
        <v>202</v>
      </c>
      <c r="H822">
        <v>1</v>
      </c>
    </row>
    <row r="823" spans="1:8" x14ac:dyDescent="0.3">
      <c r="A823">
        <v>2019</v>
      </c>
      <c r="B823" t="s">
        <v>34</v>
      </c>
      <c r="C823" t="s">
        <v>267</v>
      </c>
      <c r="D823" t="s">
        <v>268</v>
      </c>
      <c r="E823" t="s">
        <v>203</v>
      </c>
      <c r="F823" t="s">
        <v>199</v>
      </c>
      <c r="G823" t="s">
        <v>202</v>
      </c>
      <c r="H823">
        <v>0</v>
      </c>
    </row>
    <row r="824" spans="1:8" x14ac:dyDescent="0.3">
      <c r="A824">
        <v>2019</v>
      </c>
      <c r="B824" t="s">
        <v>34</v>
      </c>
      <c r="C824" t="s">
        <v>267</v>
      </c>
      <c r="D824" t="s">
        <v>268</v>
      </c>
      <c r="E824" t="s">
        <v>204</v>
      </c>
      <c r="F824" t="s">
        <v>199</v>
      </c>
      <c r="G824" t="s">
        <v>202</v>
      </c>
      <c r="H824">
        <v>0</v>
      </c>
    </row>
    <row r="825" spans="1:8" x14ac:dyDescent="0.3">
      <c r="A825">
        <v>2019</v>
      </c>
      <c r="B825" t="s">
        <v>34</v>
      </c>
      <c r="C825" t="s">
        <v>267</v>
      </c>
      <c r="D825" t="s">
        <v>268</v>
      </c>
      <c r="E825" t="s">
        <v>205</v>
      </c>
      <c r="F825" t="s">
        <v>199</v>
      </c>
      <c r="G825" t="s">
        <v>202</v>
      </c>
      <c r="H825">
        <v>0</v>
      </c>
    </row>
    <row r="826" spans="1:8" x14ac:dyDescent="0.3">
      <c r="A826">
        <v>2019</v>
      </c>
      <c r="B826" t="s">
        <v>34</v>
      </c>
      <c r="C826" t="s">
        <v>267</v>
      </c>
      <c r="D826" t="s">
        <v>268</v>
      </c>
      <c r="E826" t="s">
        <v>206</v>
      </c>
      <c r="F826" t="s">
        <v>199</v>
      </c>
      <c r="G826" t="s">
        <v>202</v>
      </c>
      <c r="H826">
        <v>0</v>
      </c>
    </row>
    <row r="827" spans="1:8" x14ac:dyDescent="0.3">
      <c r="A827">
        <v>2019</v>
      </c>
      <c r="B827" t="s">
        <v>35</v>
      </c>
      <c r="C827" t="s">
        <v>267</v>
      </c>
      <c r="D827" t="s">
        <v>268</v>
      </c>
      <c r="E827" t="s">
        <v>1</v>
      </c>
      <c r="F827" t="s">
        <v>199</v>
      </c>
      <c r="G827" t="s">
        <v>202</v>
      </c>
      <c r="H827">
        <v>0</v>
      </c>
    </row>
    <row r="828" spans="1:8" x14ac:dyDescent="0.3">
      <c r="A828">
        <v>2019</v>
      </c>
      <c r="B828" t="s">
        <v>35</v>
      </c>
      <c r="C828" t="s">
        <v>267</v>
      </c>
      <c r="D828" t="s">
        <v>268</v>
      </c>
      <c r="E828" t="s">
        <v>203</v>
      </c>
      <c r="F828" t="s">
        <v>199</v>
      </c>
      <c r="G828" t="s">
        <v>202</v>
      </c>
      <c r="H828">
        <v>0</v>
      </c>
    </row>
    <row r="829" spans="1:8" x14ac:dyDescent="0.3">
      <c r="A829">
        <v>2019</v>
      </c>
      <c r="B829" t="s">
        <v>35</v>
      </c>
      <c r="C829" t="s">
        <v>267</v>
      </c>
      <c r="D829" t="s">
        <v>268</v>
      </c>
      <c r="E829" t="s">
        <v>204</v>
      </c>
      <c r="F829" t="s">
        <v>199</v>
      </c>
      <c r="G829" t="s">
        <v>202</v>
      </c>
      <c r="H829">
        <v>0</v>
      </c>
    </row>
    <row r="830" spans="1:8" x14ac:dyDescent="0.3">
      <c r="A830">
        <v>2019</v>
      </c>
      <c r="B830" t="s">
        <v>35</v>
      </c>
      <c r="C830" t="s">
        <v>267</v>
      </c>
      <c r="D830" t="s">
        <v>268</v>
      </c>
      <c r="E830" t="s">
        <v>205</v>
      </c>
      <c r="F830" t="s">
        <v>199</v>
      </c>
      <c r="G830" t="s">
        <v>202</v>
      </c>
      <c r="H830">
        <v>0</v>
      </c>
    </row>
    <row r="831" spans="1:8" x14ac:dyDescent="0.3">
      <c r="A831">
        <v>2019</v>
      </c>
      <c r="B831" t="s">
        <v>35</v>
      </c>
      <c r="C831" t="s">
        <v>267</v>
      </c>
      <c r="D831" t="s">
        <v>268</v>
      </c>
      <c r="E831" t="s">
        <v>206</v>
      </c>
      <c r="F831" t="s">
        <v>199</v>
      </c>
      <c r="G831" t="s">
        <v>202</v>
      </c>
    </row>
    <row r="832" spans="1:8" x14ac:dyDescent="0.3">
      <c r="A832">
        <v>2019</v>
      </c>
      <c r="B832" t="s">
        <v>36</v>
      </c>
      <c r="C832" t="s">
        <v>267</v>
      </c>
      <c r="D832" t="s">
        <v>268</v>
      </c>
      <c r="E832" t="s">
        <v>1</v>
      </c>
      <c r="F832" t="s">
        <v>199</v>
      </c>
      <c r="G832" t="s">
        <v>202</v>
      </c>
      <c r="H832">
        <v>1</v>
      </c>
    </row>
    <row r="833" spans="1:8" x14ac:dyDescent="0.3">
      <c r="A833">
        <v>2019</v>
      </c>
      <c r="B833" t="s">
        <v>36</v>
      </c>
      <c r="C833" t="s">
        <v>267</v>
      </c>
      <c r="D833" t="s">
        <v>268</v>
      </c>
      <c r="E833" t="s">
        <v>203</v>
      </c>
      <c r="F833" t="s">
        <v>199</v>
      </c>
      <c r="G833" t="s">
        <v>202</v>
      </c>
      <c r="H833">
        <v>0</v>
      </c>
    </row>
    <row r="834" spans="1:8" x14ac:dyDescent="0.3">
      <c r="A834">
        <v>2019</v>
      </c>
      <c r="B834" t="s">
        <v>36</v>
      </c>
      <c r="C834" t="s">
        <v>267</v>
      </c>
      <c r="D834" t="s">
        <v>268</v>
      </c>
      <c r="E834" t="s">
        <v>204</v>
      </c>
      <c r="F834" t="s">
        <v>199</v>
      </c>
      <c r="G834" t="s">
        <v>202</v>
      </c>
      <c r="H834">
        <v>0</v>
      </c>
    </row>
    <row r="835" spans="1:8" x14ac:dyDescent="0.3">
      <c r="A835">
        <v>2019</v>
      </c>
      <c r="B835" t="s">
        <v>36</v>
      </c>
      <c r="C835" t="s">
        <v>267</v>
      </c>
      <c r="D835" t="s">
        <v>268</v>
      </c>
      <c r="E835" t="s">
        <v>205</v>
      </c>
      <c r="F835" t="s">
        <v>199</v>
      </c>
      <c r="G835" t="s">
        <v>202</v>
      </c>
      <c r="H835">
        <v>0</v>
      </c>
    </row>
    <row r="836" spans="1:8" x14ac:dyDescent="0.3">
      <c r="A836">
        <v>2019</v>
      </c>
      <c r="B836" t="s">
        <v>36</v>
      </c>
      <c r="C836" t="s">
        <v>267</v>
      </c>
      <c r="D836" t="s">
        <v>268</v>
      </c>
      <c r="E836" t="s">
        <v>206</v>
      </c>
      <c r="F836" t="s">
        <v>199</v>
      </c>
      <c r="G836" t="s">
        <v>202</v>
      </c>
      <c r="H836">
        <v>3</v>
      </c>
    </row>
    <row r="837" spans="1:8" x14ac:dyDescent="0.3">
      <c r="A837">
        <v>2019</v>
      </c>
      <c r="B837" t="s">
        <v>37</v>
      </c>
      <c r="C837" t="s">
        <v>267</v>
      </c>
      <c r="D837" t="s">
        <v>268</v>
      </c>
      <c r="E837" t="s">
        <v>1</v>
      </c>
      <c r="F837" t="s">
        <v>199</v>
      </c>
      <c r="G837" t="s">
        <v>202</v>
      </c>
      <c r="H837">
        <v>0</v>
      </c>
    </row>
    <row r="838" spans="1:8" x14ac:dyDescent="0.3">
      <c r="A838">
        <v>2019</v>
      </c>
      <c r="B838" t="s">
        <v>37</v>
      </c>
      <c r="C838" t="s">
        <v>267</v>
      </c>
      <c r="D838" t="s">
        <v>268</v>
      </c>
      <c r="E838" t="s">
        <v>203</v>
      </c>
      <c r="F838" t="s">
        <v>199</v>
      </c>
      <c r="G838" t="s">
        <v>202</v>
      </c>
      <c r="H838">
        <v>0</v>
      </c>
    </row>
    <row r="839" spans="1:8" x14ac:dyDescent="0.3">
      <c r="A839">
        <v>2019</v>
      </c>
      <c r="B839" t="s">
        <v>37</v>
      </c>
      <c r="C839" t="s">
        <v>267</v>
      </c>
      <c r="D839" t="s">
        <v>268</v>
      </c>
      <c r="E839" t="s">
        <v>204</v>
      </c>
      <c r="F839" t="s">
        <v>199</v>
      </c>
      <c r="G839" t="s">
        <v>202</v>
      </c>
      <c r="H839">
        <v>0</v>
      </c>
    </row>
    <row r="840" spans="1:8" x14ac:dyDescent="0.3">
      <c r="A840">
        <v>2019</v>
      </c>
      <c r="B840" t="s">
        <v>37</v>
      </c>
      <c r="C840" t="s">
        <v>267</v>
      </c>
      <c r="D840" t="s">
        <v>268</v>
      </c>
      <c r="E840" t="s">
        <v>205</v>
      </c>
      <c r="F840" t="s">
        <v>199</v>
      </c>
      <c r="G840" t="s">
        <v>202</v>
      </c>
      <c r="H840">
        <v>0</v>
      </c>
    </row>
    <row r="841" spans="1:8" x14ac:dyDescent="0.3">
      <c r="A841">
        <v>2019</v>
      </c>
      <c r="B841" t="s">
        <v>37</v>
      </c>
      <c r="C841" t="s">
        <v>267</v>
      </c>
      <c r="D841" t="s">
        <v>268</v>
      </c>
      <c r="E841" t="s">
        <v>206</v>
      </c>
      <c r="F841" t="s">
        <v>199</v>
      </c>
      <c r="G841" t="s">
        <v>202</v>
      </c>
      <c r="H841">
        <v>0</v>
      </c>
    </row>
    <row r="842" spans="1:8" x14ac:dyDescent="0.3">
      <c r="A842">
        <v>2019</v>
      </c>
      <c r="B842" t="s">
        <v>38</v>
      </c>
      <c r="C842" t="s">
        <v>267</v>
      </c>
      <c r="D842" t="s">
        <v>268</v>
      </c>
      <c r="E842" t="s">
        <v>1</v>
      </c>
      <c r="F842" t="s">
        <v>199</v>
      </c>
      <c r="G842" t="s">
        <v>202</v>
      </c>
      <c r="H842">
        <v>1</v>
      </c>
    </row>
    <row r="843" spans="1:8" x14ac:dyDescent="0.3">
      <c r="A843">
        <v>2019</v>
      </c>
      <c r="B843" t="s">
        <v>38</v>
      </c>
      <c r="C843" t="s">
        <v>267</v>
      </c>
      <c r="D843" t="s">
        <v>268</v>
      </c>
      <c r="E843" t="s">
        <v>203</v>
      </c>
      <c r="F843" t="s">
        <v>199</v>
      </c>
      <c r="G843" t="s">
        <v>202</v>
      </c>
      <c r="H843">
        <v>0</v>
      </c>
    </row>
    <row r="844" spans="1:8" x14ac:dyDescent="0.3">
      <c r="A844">
        <v>2019</v>
      </c>
      <c r="B844" t="s">
        <v>38</v>
      </c>
      <c r="C844" t="s">
        <v>267</v>
      </c>
      <c r="D844" t="s">
        <v>268</v>
      </c>
      <c r="E844" t="s">
        <v>204</v>
      </c>
      <c r="F844" t="s">
        <v>199</v>
      </c>
      <c r="G844" t="s">
        <v>202</v>
      </c>
      <c r="H844">
        <v>0</v>
      </c>
    </row>
    <row r="845" spans="1:8" x14ac:dyDescent="0.3">
      <c r="A845">
        <v>2019</v>
      </c>
      <c r="B845" t="s">
        <v>38</v>
      </c>
      <c r="C845" t="s">
        <v>267</v>
      </c>
      <c r="D845" t="s">
        <v>268</v>
      </c>
      <c r="E845" t="s">
        <v>205</v>
      </c>
      <c r="F845" t="s">
        <v>199</v>
      </c>
      <c r="G845" t="s">
        <v>202</v>
      </c>
      <c r="H845">
        <v>0</v>
      </c>
    </row>
    <row r="846" spans="1:8" x14ac:dyDescent="0.3">
      <c r="A846">
        <v>2019</v>
      </c>
      <c r="B846" t="s">
        <v>38</v>
      </c>
      <c r="C846" t="s">
        <v>267</v>
      </c>
      <c r="D846" t="s">
        <v>268</v>
      </c>
      <c r="E846" t="s">
        <v>206</v>
      </c>
      <c r="F846" t="s">
        <v>199</v>
      </c>
      <c r="G846" t="s">
        <v>202</v>
      </c>
      <c r="H846">
        <v>1</v>
      </c>
    </row>
    <row r="847" spans="1:8" x14ac:dyDescent="0.3">
      <c r="A847">
        <v>2019</v>
      </c>
      <c r="B847" t="s">
        <v>39</v>
      </c>
      <c r="C847" t="s">
        <v>267</v>
      </c>
      <c r="D847" t="s">
        <v>268</v>
      </c>
      <c r="E847" t="s">
        <v>1</v>
      </c>
      <c r="F847" t="s">
        <v>199</v>
      </c>
      <c r="G847" t="s">
        <v>202</v>
      </c>
      <c r="H847">
        <v>1</v>
      </c>
    </row>
    <row r="848" spans="1:8" x14ac:dyDescent="0.3">
      <c r="A848">
        <v>2019</v>
      </c>
      <c r="B848" t="s">
        <v>39</v>
      </c>
      <c r="C848" t="s">
        <v>267</v>
      </c>
      <c r="D848" t="s">
        <v>268</v>
      </c>
      <c r="E848" t="s">
        <v>203</v>
      </c>
      <c r="F848" t="s">
        <v>199</v>
      </c>
      <c r="G848" t="s">
        <v>202</v>
      </c>
      <c r="H848">
        <v>0</v>
      </c>
    </row>
    <row r="849" spans="1:8" x14ac:dyDescent="0.3">
      <c r="A849">
        <v>2019</v>
      </c>
      <c r="B849" t="s">
        <v>39</v>
      </c>
      <c r="C849" t="s">
        <v>267</v>
      </c>
      <c r="D849" t="s">
        <v>268</v>
      </c>
      <c r="E849" t="s">
        <v>204</v>
      </c>
      <c r="F849" t="s">
        <v>199</v>
      </c>
      <c r="G849" t="s">
        <v>202</v>
      </c>
      <c r="H849">
        <v>0</v>
      </c>
    </row>
    <row r="850" spans="1:8" x14ac:dyDescent="0.3">
      <c r="A850">
        <v>2019</v>
      </c>
      <c r="B850" t="s">
        <v>39</v>
      </c>
      <c r="C850" t="s">
        <v>267</v>
      </c>
      <c r="D850" t="s">
        <v>268</v>
      </c>
      <c r="E850" t="s">
        <v>205</v>
      </c>
      <c r="F850" t="s">
        <v>199</v>
      </c>
      <c r="G850" t="s">
        <v>202</v>
      </c>
      <c r="H850">
        <v>0</v>
      </c>
    </row>
    <row r="851" spans="1:8" x14ac:dyDescent="0.3">
      <c r="A851">
        <v>2019</v>
      </c>
      <c r="B851" t="s">
        <v>39</v>
      </c>
      <c r="C851" t="s">
        <v>267</v>
      </c>
      <c r="D851" t="s">
        <v>268</v>
      </c>
      <c r="E851" t="s">
        <v>206</v>
      </c>
      <c r="F851" t="s">
        <v>199</v>
      </c>
      <c r="G851" t="s">
        <v>202</v>
      </c>
      <c r="H851">
        <v>0</v>
      </c>
    </row>
    <row r="852" spans="1:8" x14ac:dyDescent="0.3">
      <c r="A852">
        <v>2019</v>
      </c>
      <c r="B852" t="s">
        <v>50</v>
      </c>
      <c r="C852" t="s">
        <v>267</v>
      </c>
      <c r="D852" t="s">
        <v>268</v>
      </c>
      <c r="E852" t="s">
        <v>1</v>
      </c>
      <c r="F852" t="s">
        <v>199</v>
      </c>
      <c r="G852" t="s">
        <v>202</v>
      </c>
      <c r="H852">
        <v>0</v>
      </c>
    </row>
    <row r="853" spans="1:8" x14ac:dyDescent="0.3">
      <c r="A853">
        <v>2019</v>
      </c>
      <c r="B853" t="s">
        <v>50</v>
      </c>
      <c r="C853" t="s">
        <v>267</v>
      </c>
      <c r="D853" t="s">
        <v>268</v>
      </c>
      <c r="E853" t="s">
        <v>203</v>
      </c>
      <c r="F853" t="s">
        <v>199</v>
      </c>
      <c r="G853" t="s">
        <v>202</v>
      </c>
      <c r="H853">
        <v>0</v>
      </c>
    </row>
    <row r="854" spans="1:8" x14ac:dyDescent="0.3">
      <c r="A854">
        <v>2019</v>
      </c>
      <c r="B854" t="s">
        <v>50</v>
      </c>
      <c r="C854" t="s">
        <v>267</v>
      </c>
      <c r="D854" t="s">
        <v>268</v>
      </c>
      <c r="E854" t="s">
        <v>204</v>
      </c>
      <c r="F854" t="s">
        <v>199</v>
      </c>
      <c r="G854" t="s">
        <v>202</v>
      </c>
      <c r="H854">
        <v>0</v>
      </c>
    </row>
    <row r="855" spans="1:8" x14ac:dyDescent="0.3">
      <c r="A855">
        <v>2019</v>
      </c>
      <c r="B855" t="s">
        <v>50</v>
      </c>
      <c r="C855" t="s">
        <v>267</v>
      </c>
      <c r="D855" t="s">
        <v>268</v>
      </c>
      <c r="E855" t="s">
        <v>205</v>
      </c>
      <c r="F855" t="s">
        <v>199</v>
      </c>
      <c r="G855" t="s">
        <v>202</v>
      </c>
      <c r="H855">
        <v>0</v>
      </c>
    </row>
    <row r="856" spans="1:8" x14ac:dyDescent="0.3">
      <c r="A856">
        <v>2019</v>
      </c>
      <c r="B856" t="s">
        <v>50</v>
      </c>
      <c r="C856" t="s">
        <v>267</v>
      </c>
      <c r="D856" t="s">
        <v>268</v>
      </c>
      <c r="E856" t="s">
        <v>206</v>
      </c>
      <c r="F856" t="s">
        <v>199</v>
      </c>
      <c r="G856" t="s">
        <v>202</v>
      </c>
      <c r="H856">
        <v>0</v>
      </c>
    </row>
    <row r="857" spans="1:8" x14ac:dyDescent="0.3">
      <c r="A857">
        <v>2019</v>
      </c>
      <c r="B857" t="s">
        <v>40</v>
      </c>
      <c r="C857" t="s">
        <v>267</v>
      </c>
      <c r="D857" t="s">
        <v>268</v>
      </c>
      <c r="E857" t="s">
        <v>1</v>
      </c>
      <c r="F857" t="s">
        <v>199</v>
      </c>
      <c r="G857" t="s">
        <v>202</v>
      </c>
      <c r="H857">
        <v>0</v>
      </c>
    </row>
    <row r="858" spans="1:8" x14ac:dyDescent="0.3">
      <c r="A858">
        <v>2019</v>
      </c>
      <c r="B858" t="s">
        <v>40</v>
      </c>
      <c r="C858" t="s">
        <v>267</v>
      </c>
      <c r="D858" t="s">
        <v>268</v>
      </c>
      <c r="E858" t="s">
        <v>203</v>
      </c>
      <c r="F858" t="s">
        <v>199</v>
      </c>
      <c r="G858" t="s">
        <v>202</v>
      </c>
      <c r="H858">
        <v>0</v>
      </c>
    </row>
    <row r="859" spans="1:8" x14ac:dyDescent="0.3">
      <c r="A859">
        <v>2019</v>
      </c>
      <c r="B859" t="s">
        <v>40</v>
      </c>
      <c r="C859" t="s">
        <v>267</v>
      </c>
      <c r="D859" t="s">
        <v>268</v>
      </c>
      <c r="E859" t="s">
        <v>204</v>
      </c>
      <c r="F859" t="s">
        <v>199</v>
      </c>
      <c r="G859" t="s">
        <v>202</v>
      </c>
      <c r="H859">
        <v>0</v>
      </c>
    </row>
    <row r="860" spans="1:8" x14ac:dyDescent="0.3">
      <c r="A860">
        <v>2019</v>
      </c>
      <c r="B860" t="s">
        <v>40</v>
      </c>
      <c r="C860" t="s">
        <v>267</v>
      </c>
      <c r="D860" t="s">
        <v>268</v>
      </c>
      <c r="E860" t="s">
        <v>205</v>
      </c>
      <c r="F860" t="s">
        <v>199</v>
      </c>
      <c r="G860" t="s">
        <v>202</v>
      </c>
      <c r="H860">
        <v>0</v>
      </c>
    </row>
    <row r="861" spans="1:8" x14ac:dyDescent="0.3">
      <c r="A861">
        <v>2019</v>
      </c>
      <c r="B861" t="s">
        <v>40</v>
      </c>
      <c r="C861" t="s">
        <v>267</v>
      </c>
      <c r="D861" t="s">
        <v>268</v>
      </c>
      <c r="E861" t="s">
        <v>206</v>
      </c>
      <c r="F861" t="s">
        <v>199</v>
      </c>
      <c r="G861" t="s">
        <v>202</v>
      </c>
      <c r="H861">
        <v>0</v>
      </c>
    </row>
    <row r="862" spans="1:8" x14ac:dyDescent="0.3">
      <c r="A862">
        <v>2019</v>
      </c>
      <c r="B862" t="s">
        <v>41</v>
      </c>
      <c r="C862" t="s">
        <v>267</v>
      </c>
      <c r="D862" t="s">
        <v>268</v>
      </c>
      <c r="E862" t="s">
        <v>1</v>
      </c>
      <c r="F862" t="s">
        <v>199</v>
      </c>
      <c r="G862" t="s">
        <v>202</v>
      </c>
      <c r="H862">
        <v>1</v>
      </c>
    </row>
    <row r="863" spans="1:8" x14ac:dyDescent="0.3">
      <c r="A863">
        <v>2019</v>
      </c>
      <c r="B863" t="s">
        <v>41</v>
      </c>
      <c r="C863" t="s">
        <v>267</v>
      </c>
      <c r="D863" t="s">
        <v>268</v>
      </c>
      <c r="E863" t="s">
        <v>203</v>
      </c>
      <c r="F863" t="s">
        <v>199</v>
      </c>
      <c r="G863" t="s">
        <v>202</v>
      </c>
      <c r="H863">
        <v>0</v>
      </c>
    </row>
    <row r="864" spans="1:8" x14ac:dyDescent="0.3">
      <c r="A864">
        <v>2019</v>
      </c>
      <c r="B864" t="s">
        <v>41</v>
      </c>
      <c r="C864" t="s">
        <v>267</v>
      </c>
      <c r="D864" t="s">
        <v>268</v>
      </c>
      <c r="E864" t="s">
        <v>204</v>
      </c>
      <c r="F864" t="s">
        <v>199</v>
      </c>
      <c r="G864" t="s">
        <v>202</v>
      </c>
      <c r="H864">
        <v>0</v>
      </c>
    </row>
    <row r="865" spans="1:8" x14ac:dyDescent="0.3">
      <c r="A865">
        <v>2019</v>
      </c>
      <c r="B865" t="s">
        <v>41</v>
      </c>
      <c r="C865" t="s">
        <v>267</v>
      </c>
      <c r="D865" t="s">
        <v>268</v>
      </c>
      <c r="E865" t="s">
        <v>205</v>
      </c>
      <c r="F865" t="s">
        <v>199</v>
      </c>
      <c r="G865" t="s">
        <v>202</v>
      </c>
      <c r="H865">
        <v>0</v>
      </c>
    </row>
    <row r="866" spans="1:8" x14ac:dyDescent="0.3">
      <c r="A866">
        <v>2019</v>
      </c>
      <c r="B866" t="s">
        <v>41</v>
      </c>
      <c r="C866" t="s">
        <v>267</v>
      </c>
      <c r="D866" t="s">
        <v>268</v>
      </c>
      <c r="E866" t="s">
        <v>206</v>
      </c>
      <c r="F866" t="s">
        <v>199</v>
      </c>
      <c r="G866" t="s">
        <v>202</v>
      </c>
      <c r="H866">
        <v>0</v>
      </c>
    </row>
    <row r="867" spans="1:8" x14ac:dyDescent="0.3">
      <c r="A867">
        <v>2019</v>
      </c>
      <c r="B867" t="s">
        <v>42</v>
      </c>
      <c r="C867" t="s">
        <v>267</v>
      </c>
      <c r="D867" t="s">
        <v>268</v>
      </c>
      <c r="E867" t="s">
        <v>1</v>
      </c>
      <c r="F867" t="s">
        <v>199</v>
      </c>
      <c r="G867" t="s">
        <v>202</v>
      </c>
      <c r="H867">
        <v>0</v>
      </c>
    </row>
    <row r="868" spans="1:8" x14ac:dyDescent="0.3">
      <c r="A868">
        <v>2019</v>
      </c>
      <c r="B868" t="s">
        <v>42</v>
      </c>
      <c r="C868" t="s">
        <v>267</v>
      </c>
      <c r="D868" t="s">
        <v>268</v>
      </c>
      <c r="E868" t="s">
        <v>203</v>
      </c>
      <c r="F868" t="s">
        <v>199</v>
      </c>
      <c r="G868" t="s">
        <v>202</v>
      </c>
      <c r="H868">
        <v>0</v>
      </c>
    </row>
    <row r="869" spans="1:8" x14ac:dyDescent="0.3">
      <c r="A869">
        <v>2019</v>
      </c>
      <c r="B869" t="s">
        <v>42</v>
      </c>
      <c r="C869" t="s">
        <v>267</v>
      </c>
      <c r="D869" t="s">
        <v>268</v>
      </c>
      <c r="E869" t="s">
        <v>204</v>
      </c>
      <c r="F869" t="s">
        <v>199</v>
      </c>
      <c r="G869" t="s">
        <v>202</v>
      </c>
      <c r="H869">
        <v>0</v>
      </c>
    </row>
    <row r="870" spans="1:8" x14ac:dyDescent="0.3">
      <c r="A870">
        <v>2019</v>
      </c>
      <c r="B870" t="s">
        <v>42</v>
      </c>
      <c r="C870" t="s">
        <v>267</v>
      </c>
      <c r="D870" t="s">
        <v>268</v>
      </c>
      <c r="E870" t="s">
        <v>205</v>
      </c>
      <c r="F870" t="s">
        <v>199</v>
      </c>
      <c r="G870" t="s">
        <v>202</v>
      </c>
      <c r="H870">
        <v>0</v>
      </c>
    </row>
    <row r="871" spans="1:8" x14ac:dyDescent="0.3">
      <c r="A871">
        <v>2019</v>
      </c>
      <c r="B871" t="s">
        <v>42</v>
      </c>
      <c r="C871" t="s">
        <v>267</v>
      </c>
      <c r="D871" t="s">
        <v>268</v>
      </c>
      <c r="E871" t="s">
        <v>206</v>
      </c>
      <c r="F871" t="s">
        <v>199</v>
      </c>
      <c r="G871" t="s">
        <v>202</v>
      </c>
      <c r="H871">
        <v>0</v>
      </c>
    </row>
    <row r="872" spans="1:8" x14ac:dyDescent="0.3">
      <c r="A872">
        <v>2019</v>
      </c>
      <c r="B872" t="s">
        <v>215</v>
      </c>
      <c r="C872" t="s">
        <v>267</v>
      </c>
      <c r="D872" t="s">
        <v>268</v>
      </c>
      <c r="E872" t="s">
        <v>1</v>
      </c>
      <c r="F872" t="s">
        <v>199</v>
      </c>
      <c r="G872" t="s">
        <v>202</v>
      </c>
      <c r="H872">
        <v>0</v>
      </c>
    </row>
    <row r="873" spans="1:8" x14ac:dyDescent="0.3">
      <c r="A873">
        <v>2019</v>
      </c>
      <c r="B873" t="s">
        <v>215</v>
      </c>
      <c r="C873" t="s">
        <v>267</v>
      </c>
      <c r="D873" t="s">
        <v>268</v>
      </c>
      <c r="E873" t="s">
        <v>203</v>
      </c>
      <c r="F873" t="s">
        <v>199</v>
      </c>
      <c r="G873" t="s">
        <v>202</v>
      </c>
      <c r="H873">
        <v>0</v>
      </c>
    </row>
    <row r="874" spans="1:8" x14ac:dyDescent="0.3">
      <c r="A874">
        <v>2019</v>
      </c>
      <c r="B874" t="s">
        <v>215</v>
      </c>
      <c r="C874" t="s">
        <v>267</v>
      </c>
      <c r="D874" t="s">
        <v>268</v>
      </c>
      <c r="E874" t="s">
        <v>204</v>
      </c>
      <c r="F874" t="s">
        <v>199</v>
      </c>
      <c r="G874" t="s">
        <v>202</v>
      </c>
      <c r="H874">
        <v>0</v>
      </c>
    </row>
    <row r="875" spans="1:8" x14ac:dyDescent="0.3">
      <c r="A875">
        <v>2019</v>
      </c>
      <c r="B875" t="s">
        <v>215</v>
      </c>
      <c r="C875" t="s">
        <v>267</v>
      </c>
      <c r="D875" t="s">
        <v>268</v>
      </c>
      <c r="E875" t="s">
        <v>205</v>
      </c>
      <c r="F875" t="s">
        <v>199</v>
      </c>
      <c r="G875" t="s">
        <v>202</v>
      </c>
      <c r="H875">
        <v>0</v>
      </c>
    </row>
    <row r="876" spans="1:8" x14ac:dyDescent="0.3">
      <c r="A876">
        <v>2019</v>
      </c>
      <c r="B876" t="s">
        <v>215</v>
      </c>
      <c r="C876" t="s">
        <v>267</v>
      </c>
      <c r="D876" t="s">
        <v>268</v>
      </c>
      <c r="E876" t="s">
        <v>206</v>
      </c>
      <c r="F876" t="s">
        <v>199</v>
      </c>
      <c r="G876" t="s">
        <v>202</v>
      </c>
      <c r="H876">
        <v>0</v>
      </c>
    </row>
    <row r="877" spans="1:8" x14ac:dyDescent="0.3">
      <c r="A877">
        <v>2019</v>
      </c>
      <c r="B877" t="s">
        <v>43</v>
      </c>
      <c r="C877" t="s">
        <v>267</v>
      </c>
      <c r="D877" t="s">
        <v>268</v>
      </c>
      <c r="E877" t="s">
        <v>1</v>
      </c>
      <c r="F877" t="s">
        <v>199</v>
      </c>
      <c r="G877" t="s">
        <v>202</v>
      </c>
      <c r="H877">
        <v>0</v>
      </c>
    </row>
    <row r="878" spans="1:8" x14ac:dyDescent="0.3">
      <c r="A878">
        <v>2019</v>
      </c>
      <c r="B878" t="s">
        <v>43</v>
      </c>
      <c r="C878" t="s">
        <v>267</v>
      </c>
      <c r="D878" t="s">
        <v>268</v>
      </c>
      <c r="E878" t="s">
        <v>203</v>
      </c>
      <c r="F878" t="s">
        <v>199</v>
      </c>
      <c r="G878" t="s">
        <v>202</v>
      </c>
      <c r="H878">
        <v>0</v>
      </c>
    </row>
    <row r="879" spans="1:8" x14ac:dyDescent="0.3">
      <c r="A879">
        <v>2019</v>
      </c>
      <c r="B879" t="s">
        <v>43</v>
      </c>
      <c r="C879" t="s">
        <v>267</v>
      </c>
      <c r="D879" t="s">
        <v>268</v>
      </c>
      <c r="E879" t="s">
        <v>204</v>
      </c>
      <c r="F879" t="s">
        <v>199</v>
      </c>
      <c r="G879" t="s">
        <v>202</v>
      </c>
      <c r="H879">
        <v>0</v>
      </c>
    </row>
    <row r="880" spans="1:8" x14ac:dyDescent="0.3">
      <c r="A880">
        <v>2019</v>
      </c>
      <c r="B880" t="s">
        <v>43</v>
      </c>
      <c r="C880" t="s">
        <v>267</v>
      </c>
      <c r="D880" t="s">
        <v>268</v>
      </c>
      <c r="E880" t="s">
        <v>205</v>
      </c>
      <c r="F880" t="s">
        <v>199</v>
      </c>
      <c r="G880" t="s">
        <v>202</v>
      </c>
      <c r="H880">
        <v>0</v>
      </c>
    </row>
    <row r="881" spans="1:8" x14ac:dyDescent="0.3">
      <c r="A881">
        <v>2019</v>
      </c>
      <c r="B881" t="s">
        <v>43</v>
      </c>
      <c r="C881" t="s">
        <v>267</v>
      </c>
      <c r="D881" t="s">
        <v>268</v>
      </c>
      <c r="E881" t="s">
        <v>206</v>
      </c>
      <c r="F881" t="s">
        <v>199</v>
      </c>
      <c r="G881" t="s">
        <v>202</v>
      </c>
      <c r="H881">
        <v>0</v>
      </c>
    </row>
    <row r="882" spans="1:8" x14ac:dyDescent="0.3">
      <c r="A882">
        <v>2019</v>
      </c>
      <c r="B882" t="s">
        <v>52</v>
      </c>
      <c r="C882" t="s">
        <v>267</v>
      </c>
      <c r="D882" t="s">
        <v>268</v>
      </c>
      <c r="E882" t="s">
        <v>1</v>
      </c>
      <c r="F882" t="s">
        <v>199</v>
      </c>
      <c r="G882" t="s">
        <v>202</v>
      </c>
      <c r="H882">
        <v>0</v>
      </c>
    </row>
    <row r="883" spans="1:8" x14ac:dyDescent="0.3">
      <c r="A883">
        <v>2019</v>
      </c>
      <c r="B883" t="s">
        <v>52</v>
      </c>
      <c r="C883" t="s">
        <v>267</v>
      </c>
      <c r="D883" t="s">
        <v>268</v>
      </c>
      <c r="E883" t="s">
        <v>203</v>
      </c>
      <c r="F883" t="s">
        <v>199</v>
      </c>
      <c r="G883" t="s">
        <v>202</v>
      </c>
      <c r="H883">
        <v>0</v>
      </c>
    </row>
    <row r="884" spans="1:8" x14ac:dyDescent="0.3">
      <c r="A884">
        <v>2019</v>
      </c>
      <c r="B884" t="s">
        <v>52</v>
      </c>
      <c r="C884" t="s">
        <v>267</v>
      </c>
      <c r="D884" t="s">
        <v>268</v>
      </c>
      <c r="E884" t="s">
        <v>204</v>
      </c>
      <c r="F884" t="s">
        <v>199</v>
      </c>
      <c r="G884" t="s">
        <v>202</v>
      </c>
      <c r="H884">
        <v>0</v>
      </c>
    </row>
    <row r="885" spans="1:8" x14ac:dyDescent="0.3">
      <c r="A885">
        <v>2019</v>
      </c>
      <c r="B885" t="s">
        <v>52</v>
      </c>
      <c r="C885" t="s">
        <v>267</v>
      </c>
      <c r="D885" t="s">
        <v>268</v>
      </c>
      <c r="E885" t="s">
        <v>205</v>
      </c>
      <c r="F885" t="s">
        <v>199</v>
      </c>
      <c r="G885" t="s">
        <v>202</v>
      </c>
      <c r="H885">
        <v>0</v>
      </c>
    </row>
    <row r="886" spans="1:8" x14ac:dyDescent="0.3">
      <c r="A886">
        <v>2019</v>
      </c>
      <c r="B886" t="s">
        <v>52</v>
      </c>
      <c r="C886" t="s">
        <v>267</v>
      </c>
      <c r="D886" t="s">
        <v>268</v>
      </c>
      <c r="E886" t="s">
        <v>206</v>
      </c>
      <c r="F886" t="s">
        <v>199</v>
      </c>
      <c r="G886" t="s">
        <v>202</v>
      </c>
      <c r="H886">
        <v>0</v>
      </c>
    </row>
    <row r="887" spans="1:8" x14ac:dyDescent="0.3">
      <c r="A887">
        <v>2019</v>
      </c>
      <c r="B887" t="s">
        <v>44</v>
      </c>
      <c r="C887" t="s">
        <v>267</v>
      </c>
      <c r="D887" t="s">
        <v>268</v>
      </c>
      <c r="E887" t="s">
        <v>1</v>
      </c>
      <c r="F887" t="s">
        <v>199</v>
      </c>
      <c r="G887" t="s">
        <v>202</v>
      </c>
      <c r="H887">
        <v>1</v>
      </c>
    </row>
    <row r="888" spans="1:8" x14ac:dyDescent="0.3">
      <c r="A888">
        <v>2019</v>
      </c>
      <c r="B888" t="s">
        <v>44</v>
      </c>
      <c r="C888" t="s">
        <v>267</v>
      </c>
      <c r="D888" t="s">
        <v>268</v>
      </c>
      <c r="E888" t="s">
        <v>203</v>
      </c>
      <c r="F888" t="s">
        <v>199</v>
      </c>
      <c r="G888" t="s">
        <v>202</v>
      </c>
      <c r="H888">
        <v>0</v>
      </c>
    </row>
    <row r="889" spans="1:8" x14ac:dyDescent="0.3">
      <c r="A889">
        <v>2019</v>
      </c>
      <c r="B889" t="s">
        <v>44</v>
      </c>
      <c r="C889" t="s">
        <v>267</v>
      </c>
      <c r="D889" t="s">
        <v>268</v>
      </c>
      <c r="E889" t="s">
        <v>204</v>
      </c>
      <c r="F889" t="s">
        <v>199</v>
      </c>
      <c r="G889" t="s">
        <v>202</v>
      </c>
      <c r="H889">
        <v>0</v>
      </c>
    </row>
    <row r="890" spans="1:8" x14ac:dyDescent="0.3">
      <c r="A890">
        <v>2019</v>
      </c>
      <c r="B890" t="s">
        <v>44</v>
      </c>
      <c r="C890" t="s">
        <v>267</v>
      </c>
      <c r="D890" t="s">
        <v>268</v>
      </c>
      <c r="E890" t="s">
        <v>205</v>
      </c>
      <c r="F890" t="s">
        <v>199</v>
      </c>
      <c r="G890" t="s">
        <v>202</v>
      </c>
      <c r="H890">
        <v>0</v>
      </c>
    </row>
    <row r="891" spans="1:8" x14ac:dyDescent="0.3">
      <c r="A891">
        <v>2019</v>
      </c>
      <c r="B891" t="s">
        <v>44</v>
      </c>
      <c r="C891" t="s">
        <v>267</v>
      </c>
      <c r="D891" t="s">
        <v>268</v>
      </c>
      <c r="E891" t="s">
        <v>206</v>
      </c>
      <c r="F891" t="s">
        <v>199</v>
      </c>
      <c r="G891" t="s">
        <v>202</v>
      </c>
      <c r="H891">
        <v>0</v>
      </c>
    </row>
    <row r="892" spans="1:8" x14ac:dyDescent="0.3">
      <c r="A892">
        <v>2019</v>
      </c>
      <c r="B892" t="s">
        <v>53</v>
      </c>
      <c r="C892" t="s">
        <v>267</v>
      </c>
      <c r="D892" t="s">
        <v>268</v>
      </c>
      <c r="E892" t="s">
        <v>1</v>
      </c>
      <c r="F892" t="s">
        <v>199</v>
      </c>
      <c r="G892" t="s">
        <v>202</v>
      </c>
      <c r="H892">
        <v>0</v>
      </c>
    </row>
    <row r="893" spans="1:8" x14ac:dyDescent="0.3">
      <c r="A893">
        <v>2019</v>
      </c>
      <c r="B893" t="s">
        <v>53</v>
      </c>
      <c r="C893" t="s">
        <v>267</v>
      </c>
      <c r="D893" t="s">
        <v>268</v>
      </c>
      <c r="E893" t="s">
        <v>203</v>
      </c>
      <c r="F893" t="s">
        <v>199</v>
      </c>
      <c r="G893" t="s">
        <v>202</v>
      </c>
      <c r="H893">
        <v>0</v>
      </c>
    </row>
    <row r="894" spans="1:8" x14ac:dyDescent="0.3">
      <c r="A894">
        <v>2019</v>
      </c>
      <c r="B894" t="s">
        <v>53</v>
      </c>
      <c r="C894" t="s">
        <v>267</v>
      </c>
      <c r="D894" t="s">
        <v>268</v>
      </c>
      <c r="E894" t="s">
        <v>204</v>
      </c>
      <c r="F894" t="s">
        <v>199</v>
      </c>
      <c r="G894" t="s">
        <v>202</v>
      </c>
      <c r="H894">
        <v>0</v>
      </c>
    </row>
    <row r="895" spans="1:8" x14ac:dyDescent="0.3">
      <c r="A895">
        <v>2019</v>
      </c>
      <c r="B895" t="s">
        <v>53</v>
      </c>
      <c r="C895" t="s">
        <v>267</v>
      </c>
      <c r="D895" t="s">
        <v>268</v>
      </c>
      <c r="E895" t="s">
        <v>205</v>
      </c>
      <c r="F895" t="s">
        <v>199</v>
      </c>
      <c r="G895" t="s">
        <v>202</v>
      </c>
      <c r="H895">
        <v>0</v>
      </c>
    </row>
    <row r="896" spans="1:8" x14ac:dyDescent="0.3">
      <c r="A896">
        <v>2019</v>
      </c>
      <c r="B896" t="s">
        <v>53</v>
      </c>
      <c r="C896" t="s">
        <v>267</v>
      </c>
      <c r="D896" t="s">
        <v>268</v>
      </c>
      <c r="E896" t="s">
        <v>206</v>
      </c>
      <c r="F896" t="s">
        <v>199</v>
      </c>
      <c r="G896" t="s">
        <v>202</v>
      </c>
      <c r="H896">
        <v>0</v>
      </c>
    </row>
    <row r="897" spans="1:8" x14ac:dyDescent="0.3">
      <c r="A897">
        <v>2019</v>
      </c>
      <c r="B897" t="s">
        <v>197</v>
      </c>
      <c r="C897" t="s">
        <v>267</v>
      </c>
      <c r="D897" t="s">
        <v>268</v>
      </c>
      <c r="E897" t="s">
        <v>1</v>
      </c>
      <c r="F897" t="s">
        <v>199</v>
      </c>
      <c r="G897" t="s">
        <v>202</v>
      </c>
      <c r="H897">
        <v>0</v>
      </c>
    </row>
    <row r="898" spans="1:8" x14ac:dyDescent="0.3">
      <c r="A898">
        <v>2019</v>
      </c>
      <c r="B898" t="s">
        <v>197</v>
      </c>
      <c r="C898" t="s">
        <v>267</v>
      </c>
      <c r="D898" t="s">
        <v>268</v>
      </c>
      <c r="E898" t="s">
        <v>203</v>
      </c>
      <c r="F898" t="s">
        <v>199</v>
      </c>
      <c r="G898" t="s">
        <v>202</v>
      </c>
      <c r="H898">
        <v>0</v>
      </c>
    </row>
    <row r="899" spans="1:8" x14ac:dyDescent="0.3">
      <c r="A899">
        <v>2019</v>
      </c>
      <c r="B899" t="s">
        <v>197</v>
      </c>
      <c r="C899" t="s">
        <v>267</v>
      </c>
      <c r="D899" t="s">
        <v>268</v>
      </c>
      <c r="E899" t="s">
        <v>204</v>
      </c>
      <c r="F899" t="s">
        <v>199</v>
      </c>
      <c r="G899" t="s">
        <v>202</v>
      </c>
      <c r="H899">
        <v>0</v>
      </c>
    </row>
    <row r="900" spans="1:8" x14ac:dyDescent="0.3">
      <c r="A900">
        <v>2019</v>
      </c>
      <c r="B900" t="s">
        <v>197</v>
      </c>
      <c r="C900" t="s">
        <v>267</v>
      </c>
      <c r="D900" t="s">
        <v>268</v>
      </c>
      <c r="E900" t="s">
        <v>205</v>
      </c>
      <c r="F900" t="s">
        <v>199</v>
      </c>
      <c r="G900" t="s">
        <v>202</v>
      </c>
      <c r="H900">
        <v>0</v>
      </c>
    </row>
    <row r="901" spans="1:8" x14ac:dyDescent="0.3">
      <c r="A901">
        <v>2019</v>
      </c>
      <c r="B901" t="s">
        <v>197</v>
      </c>
      <c r="C901" t="s">
        <v>267</v>
      </c>
      <c r="D901" t="s">
        <v>268</v>
      </c>
      <c r="E901" t="s">
        <v>206</v>
      </c>
      <c r="F901" t="s">
        <v>199</v>
      </c>
      <c r="G901" t="s">
        <v>202</v>
      </c>
      <c r="H901">
        <v>0</v>
      </c>
    </row>
    <row r="902" spans="1:8" x14ac:dyDescent="0.3">
      <c r="A902">
        <v>2019</v>
      </c>
      <c r="B902" t="s">
        <v>8</v>
      </c>
      <c r="C902" t="s">
        <v>267</v>
      </c>
      <c r="D902" t="s">
        <v>268</v>
      </c>
      <c r="E902" t="s">
        <v>1</v>
      </c>
      <c r="F902" t="s">
        <v>200</v>
      </c>
      <c r="G902" t="s">
        <v>201</v>
      </c>
      <c r="H902">
        <v>0</v>
      </c>
    </row>
    <row r="903" spans="1:8" x14ac:dyDescent="0.3">
      <c r="A903">
        <v>2019</v>
      </c>
      <c r="B903" t="s">
        <v>8</v>
      </c>
      <c r="C903" t="s">
        <v>267</v>
      </c>
      <c r="D903" t="s">
        <v>268</v>
      </c>
      <c r="E903" t="s">
        <v>203</v>
      </c>
      <c r="F903" t="s">
        <v>200</v>
      </c>
      <c r="G903" t="s">
        <v>201</v>
      </c>
      <c r="H903">
        <v>0</v>
      </c>
    </row>
    <row r="904" spans="1:8" x14ac:dyDescent="0.3">
      <c r="A904">
        <v>2019</v>
      </c>
      <c r="B904" t="s">
        <v>8</v>
      </c>
      <c r="C904" t="s">
        <v>267</v>
      </c>
      <c r="D904" t="s">
        <v>268</v>
      </c>
      <c r="E904" t="s">
        <v>204</v>
      </c>
      <c r="F904" t="s">
        <v>200</v>
      </c>
      <c r="G904" t="s">
        <v>201</v>
      </c>
      <c r="H904">
        <v>0</v>
      </c>
    </row>
    <row r="905" spans="1:8" x14ac:dyDescent="0.3">
      <c r="A905">
        <v>2019</v>
      </c>
      <c r="B905" t="s">
        <v>8</v>
      </c>
      <c r="C905" t="s">
        <v>267</v>
      </c>
      <c r="D905" t="s">
        <v>268</v>
      </c>
      <c r="E905" t="s">
        <v>205</v>
      </c>
      <c r="F905" t="s">
        <v>200</v>
      </c>
      <c r="G905" t="s">
        <v>201</v>
      </c>
      <c r="H905">
        <v>0</v>
      </c>
    </row>
    <row r="906" spans="1:8" x14ac:dyDescent="0.3">
      <c r="A906">
        <v>2019</v>
      </c>
      <c r="B906" t="s">
        <v>8</v>
      </c>
      <c r="C906" t="s">
        <v>267</v>
      </c>
      <c r="D906" t="s">
        <v>268</v>
      </c>
      <c r="E906" t="s">
        <v>206</v>
      </c>
      <c r="F906" t="s">
        <v>200</v>
      </c>
      <c r="G906" t="s">
        <v>201</v>
      </c>
      <c r="H906">
        <v>0</v>
      </c>
    </row>
    <row r="907" spans="1:8" x14ac:dyDescent="0.3">
      <c r="A907">
        <v>2019</v>
      </c>
      <c r="B907" t="s">
        <v>9</v>
      </c>
      <c r="C907" t="s">
        <v>267</v>
      </c>
      <c r="D907" t="s">
        <v>268</v>
      </c>
      <c r="E907" t="s">
        <v>1</v>
      </c>
      <c r="F907" t="s">
        <v>200</v>
      </c>
      <c r="G907" t="s">
        <v>201</v>
      </c>
      <c r="H907">
        <v>3</v>
      </c>
    </row>
    <row r="908" spans="1:8" x14ac:dyDescent="0.3">
      <c r="A908">
        <v>2019</v>
      </c>
      <c r="B908" t="s">
        <v>9</v>
      </c>
      <c r="C908" t="s">
        <v>267</v>
      </c>
      <c r="D908" t="s">
        <v>268</v>
      </c>
      <c r="E908" t="s">
        <v>203</v>
      </c>
      <c r="F908" t="s">
        <v>200</v>
      </c>
      <c r="G908" t="s">
        <v>201</v>
      </c>
      <c r="H908">
        <v>0</v>
      </c>
    </row>
    <row r="909" spans="1:8" x14ac:dyDescent="0.3">
      <c r="A909">
        <v>2019</v>
      </c>
      <c r="B909" t="s">
        <v>9</v>
      </c>
      <c r="C909" t="s">
        <v>267</v>
      </c>
      <c r="D909" t="s">
        <v>268</v>
      </c>
      <c r="E909" t="s">
        <v>204</v>
      </c>
      <c r="F909" t="s">
        <v>200</v>
      </c>
      <c r="G909" t="s">
        <v>201</v>
      </c>
      <c r="H909">
        <v>0</v>
      </c>
    </row>
    <row r="910" spans="1:8" x14ac:dyDescent="0.3">
      <c r="A910">
        <v>2019</v>
      </c>
      <c r="B910" t="s">
        <v>9</v>
      </c>
      <c r="C910" t="s">
        <v>267</v>
      </c>
      <c r="D910" t="s">
        <v>268</v>
      </c>
      <c r="E910" t="s">
        <v>205</v>
      </c>
      <c r="F910" t="s">
        <v>200</v>
      </c>
      <c r="G910" t="s">
        <v>201</v>
      </c>
    </row>
    <row r="911" spans="1:8" x14ac:dyDescent="0.3">
      <c r="A911">
        <v>2019</v>
      </c>
      <c r="B911" t="s">
        <v>9</v>
      </c>
      <c r="C911" t="s">
        <v>267</v>
      </c>
      <c r="D911" t="s">
        <v>268</v>
      </c>
      <c r="E911" t="s">
        <v>206</v>
      </c>
      <c r="F911" t="s">
        <v>200</v>
      </c>
      <c r="G911" t="s">
        <v>201</v>
      </c>
      <c r="H911">
        <v>1</v>
      </c>
    </row>
    <row r="912" spans="1:8" x14ac:dyDescent="0.3">
      <c r="A912">
        <v>2019</v>
      </c>
      <c r="B912" t="s">
        <v>10</v>
      </c>
      <c r="C912" t="s">
        <v>267</v>
      </c>
      <c r="D912" t="s">
        <v>268</v>
      </c>
      <c r="E912" t="s">
        <v>1</v>
      </c>
      <c r="F912" t="s">
        <v>200</v>
      </c>
      <c r="G912" t="s">
        <v>201</v>
      </c>
      <c r="H912">
        <v>1</v>
      </c>
    </row>
    <row r="913" spans="1:8" x14ac:dyDescent="0.3">
      <c r="A913">
        <v>2019</v>
      </c>
      <c r="B913" t="s">
        <v>10</v>
      </c>
      <c r="C913" t="s">
        <v>267</v>
      </c>
      <c r="D913" t="s">
        <v>268</v>
      </c>
      <c r="E913" t="s">
        <v>203</v>
      </c>
      <c r="F913" t="s">
        <v>200</v>
      </c>
      <c r="G913" t="s">
        <v>201</v>
      </c>
      <c r="H913">
        <v>0</v>
      </c>
    </row>
    <row r="914" spans="1:8" x14ac:dyDescent="0.3">
      <c r="A914">
        <v>2019</v>
      </c>
      <c r="B914" t="s">
        <v>10</v>
      </c>
      <c r="C914" t="s">
        <v>267</v>
      </c>
      <c r="D914" t="s">
        <v>268</v>
      </c>
      <c r="E914" t="s">
        <v>204</v>
      </c>
      <c r="F914" t="s">
        <v>200</v>
      </c>
      <c r="G914" t="s">
        <v>201</v>
      </c>
      <c r="H914">
        <v>0</v>
      </c>
    </row>
    <row r="915" spans="1:8" x14ac:dyDescent="0.3">
      <c r="A915">
        <v>2019</v>
      </c>
      <c r="B915" t="s">
        <v>10</v>
      </c>
      <c r="C915" t="s">
        <v>267</v>
      </c>
      <c r="D915" t="s">
        <v>268</v>
      </c>
      <c r="E915" t="s">
        <v>205</v>
      </c>
      <c r="F915" t="s">
        <v>200</v>
      </c>
      <c r="G915" t="s">
        <v>201</v>
      </c>
      <c r="H915">
        <v>0</v>
      </c>
    </row>
    <row r="916" spans="1:8" x14ac:dyDescent="0.3">
      <c r="A916">
        <v>2019</v>
      </c>
      <c r="B916" t="s">
        <v>10</v>
      </c>
      <c r="C916" t="s">
        <v>267</v>
      </c>
      <c r="D916" t="s">
        <v>268</v>
      </c>
      <c r="E916" t="s">
        <v>206</v>
      </c>
      <c r="F916" t="s">
        <v>200</v>
      </c>
      <c r="G916" t="s">
        <v>201</v>
      </c>
      <c r="H916">
        <v>0</v>
      </c>
    </row>
    <row r="917" spans="1:8" x14ac:dyDescent="0.3">
      <c r="A917">
        <v>2019</v>
      </c>
      <c r="B917" t="s">
        <v>11</v>
      </c>
      <c r="C917" t="s">
        <v>267</v>
      </c>
      <c r="D917" t="s">
        <v>268</v>
      </c>
      <c r="E917" t="s">
        <v>1</v>
      </c>
      <c r="F917" t="s">
        <v>200</v>
      </c>
      <c r="G917" t="s">
        <v>201</v>
      </c>
      <c r="H917">
        <v>0</v>
      </c>
    </row>
    <row r="918" spans="1:8" x14ac:dyDescent="0.3">
      <c r="A918">
        <v>2019</v>
      </c>
      <c r="B918" t="s">
        <v>11</v>
      </c>
      <c r="C918" t="s">
        <v>267</v>
      </c>
      <c r="D918" t="s">
        <v>268</v>
      </c>
      <c r="E918" t="s">
        <v>203</v>
      </c>
      <c r="F918" t="s">
        <v>200</v>
      </c>
      <c r="G918" t="s">
        <v>201</v>
      </c>
      <c r="H918">
        <v>0</v>
      </c>
    </row>
    <row r="919" spans="1:8" x14ac:dyDescent="0.3">
      <c r="A919">
        <v>2019</v>
      </c>
      <c r="B919" t="s">
        <v>11</v>
      </c>
      <c r="C919" t="s">
        <v>267</v>
      </c>
      <c r="D919" t="s">
        <v>268</v>
      </c>
      <c r="E919" t="s">
        <v>204</v>
      </c>
      <c r="F919" t="s">
        <v>200</v>
      </c>
      <c r="G919" t="s">
        <v>201</v>
      </c>
      <c r="H919">
        <v>0</v>
      </c>
    </row>
    <row r="920" spans="1:8" x14ac:dyDescent="0.3">
      <c r="A920">
        <v>2019</v>
      </c>
      <c r="B920" t="s">
        <v>11</v>
      </c>
      <c r="C920" t="s">
        <v>267</v>
      </c>
      <c r="D920" t="s">
        <v>268</v>
      </c>
      <c r="E920" t="s">
        <v>205</v>
      </c>
      <c r="F920" t="s">
        <v>200</v>
      </c>
      <c r="G920" t="s">
        <v>201</v>
      </c>
      <c r="H920">
        <v>0</v>
      </c>
    </row>
    <row r="921" spans="1:8" x14ac:dyDescent="0.3">
      <c r="A921">
        <v>2019</v>
      </c>
      <c r="B921" t="s">
        <v>11</v>
      </c>
      <c r="C921" t="s">
        <v>267</v>
      </c>
      <c r="D921" t="s">
        <v>268</v>
      </c>
      <c r="E921" t="s">
        <v>206</v>
      </c>
      <c r="F921" t="s">
        <v>200</v>
      </c>
      <c r="G921" t="s">
        <v>201</v>
      </c>
      <c r="H921">
        <v>0</v>
      </c>
    </row>
    <row r="922" spans="1:8" x14ac:dyDescent="0.3">
      <c r="A922">
        <v>2019</v>
      </c>
      <c r="B922" t="s">
        <v>12</v>
      </c>
      <c r="C922" t="s">
        <v>267</v>
      </c>
      <c r="D922" t="s">
        <v>268</v>
      </c>
      <c r="E922" t="s">
        <v>1</v>
      </c>
      <c r="F922" t="s">
        <v>200</v>
      </c>
      <c r="G922" t="s">
        <v>201</v>
      </c>
      <c r="H922">
        <v>12</v>
      </c>
    </row>
    <row r="923" spans="1:8" x14ac:dyDescent="0.3">
      <c r="A923">
        <v>2019</v>
      </c>
      <c r="B923" t="s">
        <v>12</v>
      </c>
      <c r="C923" t="s">
        <v>267</v>
      </c>
      <c r="D923" t="s">
        <v>268</v>
      </c>
      <c r="E923" t="s">
        <v>203</v>
      </c>
      <c r="F923" t="s">
        <v>200</v>
      </c>
      <c r="G923" t="s">
        <v>201</v>
      </c>
    </row>
    <row r="924" spans="1:8" x14ac:dyDescent="0.3">
      <c r="A924">
        <v>2019</v>
      </c>
      <c r="B924" t="s">
        <v>12</v>
      </c>
      <c r="C924" t="s">
        <v>267</v>
      </c>
      <c r="D924" t="s">
        <v>268</v>
      </c>
      <c r="E924" t="s">
        <v>204</v>
      </c>
      <c r="F924" t="s">
        <v>200</v>
      </c>
      <c r="G924" t="s">
        <v>201</v>
      </c>
    </row>
    <row r="925" spans="1:8" x14ac:dyDescent="0.3">
      <c r="A925">
        <v>2019</v>
      </c>
      <c r="B925" t="s">
        <v>12</v>
      </c>
      <c r="C925" t="s">
        <v>267</v>
      </c>
      <c r="D925" t="s">
        <v>268</v>
      </c>
      <c r="E925" t="s">
        <v>205</v>
      </c>
      <c r="F925" t="s">
        <v>200</v>
      </c>
      <c r="G925" t="s">
        <v>201</v>
      </c>
    </row>
    <row r="926" spans="1:8" x14ac:dyDescent="0.3">
      <c r="A926">
        <v>2019</v>
      </c>
      <c r="B926" t="s">
        <v>12</v>
      </c>
      <c r="C926" t="s">
        <v>267</v>
      </c>
      <c r="D926" t="s">
        <v>268</v>
      </c>
      <c r="E926" t="s">
        <v>206</v>
      </c>
      <c r="F926" t="s">
        <v>200</v>
      </c>
      <c r="G926" t="s">
        <v>201</v>
      </c>
    </row>
    <row r="927" spans="1:8" x14ac:dyDescent="0.3">
      <c r="A927">
        <v>2019</v>
      </c>
      <c r="B927" t="s">
        <v>13</v>
      </c>
      <c r="C927" t="s">
        <v>267</v>
      </c>
      <c r="D927" t="s">
        <v>268</v>
      </c>
      <c r="E927" t="s">
        <v>1</v>
      </c>
      <c r="F927" t="s">
        <v>200</v>
      </c>
      <c r="G927" t="s">
        <v>201</v>
      </c>
      <c r="H927">
        <v>2</v>
      </c>
    </row>
    <row r="928" spans="1:8" x14ac:dyDescent="0.3">
      <c r="A928">
        <v>2019</v>
      </c>
      <c r="B928" t="s">
        <v>13</v>
      </c>
      <c r="C928" t="s">
        <v>267</v>
      </c>
      <c r="D928" t="s">
        <v>268</v>
      </c>
      <c r="E928" t="s">
        <v>203</v>
      </c>
      <c r="F928" t="s">
        <v>200</v>
      </c>
      <c r="G928" t="s">
        <v>201</v>
      </c>
      <c r="H928">
        <v>0</v>
      </c>
    </row>
    <row r="929" spans="1:8" x14ac:dyDescent="0.3">
      <c r="A929">
        <v>2019</v>
      </c>
      <c r="B929" t="s">
        <v>13</v>
      </c>
      <c r="C929" t="s">
        <v>267</v>
      </c>
      <c r="D929" t="s">
        <v>268</v>
      </c>
      <c r="E929" t="s">
        <v>204</v>
      </c>
      <c r="F929" t="s">
        <v>200</v>
      </c>
      <c r="G929" t="s">
        <v>201</v>
      </c>
      <c r="H929">
        <v>0</v>
      </c>
    </row>
    <row r="930" spans="1:8" x14ac:dyDescent="0.3">
      <c r="A930">
        <v>2019</v>
      </c>
      <c r="B930" t="s">
        <v>13</v>
      </c>
      <c r="C930" t="s">
        <v>267</v>
      </c>
      <c r="D930" t="s">
        <v>268</v>
      </c>
      <c r="E930" t="s">
        <v>205</v>
      </c>
      <c r="F930" t="s">
        <v>200</v>
      </c>
      <c r="G930" t="s">
        <v>201</v>
      </c>
      <c r="H930">
        <v>0</v>
      </c>
    </row>
    <row r="931" spans="1:8" x14ac:dyDescent="0.3">
      <c r="A931">
        <v>2019</v>
      </c>
      <c r="B931" t="s">
        <v>13</v>
      </c>
      <c r="C931" t="s">
        <v>267</v>
      </c>
      <c r="D931" t="s">
        <v>268</v>
      </c>
      <c r="E931" t="s">
        <v>206</v>
      </c>
      <c r="F931" t="s">
        <v>200</v>
      </c>
      <c r="G931" t="s">
        <v>201</v>
      </c>
      <c r="H931">
        <v>0</v>
      </c>
    </row>
    <row r="932" spans="1:8" x14ac:dyDescent="0.3">
      <c r="A932">
        <v>2019</v>
      </c>
      <c r="B932" t="s">
        <v>14</v>
      </c>
      <c r="C932" t="s">
        <v>267</v>
      </c>
      <c r="D932" t="s">
        <v>268</v>
      </c>
      <c r="E932" t="s">
        <v>1</v>
      </c>
      <c r="F932" t="s">
        <v>200</v>
      </c>
      <c r="G932" t="s">
        <v>201</v>
      </c>
      <c r="H932">
        <v>0</v>
      </c>
    </row>
    <row r="933" spans="1:8" x14ac:dyDescent="0.3">
      <c r="A933">
        <v>2019</v>
      </c>
      <c r="B933" t="s">
        <v>14</v>
      </c>
      <c r="C933" t="s">
        <v>267</v>
      </c>
      <c r="D933" t="s">
        <v>268</v>
      </c>
      <c r="E933" t="s">
        <v>203</v>
      </c>
      <c r="F933" t="s">
        <v>200</v>
      </c>
      <c r="G933" t="s">
        <v>201</v>
      </c>
      <c r="H933">
        <v>0</v>
      </c>
    </row>
    <row r="934" spans="1:8" x14ac:dyDescent="0.3">
      <c r="A934">
        <v>2019</v>
      </c>
      <c r="B934" t="s">
        <v>14</v>
      </c>
      <c r="C934" t="s">
        <v>267</v>
      </c>
      <c r="D934" t="s">
        <v>268</v>
      </c>
      <c r="E934" t="s">
        <v>204</v>
      </c>
      <c r="F934" t="s">
        <v>200</v>
      </c>
      <c r="G934" t="s">
        <v>201</v>
      </c>
      <c r="H934">
        <v>0</v>
      </c>
    </row>
    <row r="935" spans="1:8" x14ac:dyDescent="0.3">
      <c r="A935">
        <v>2019</v>
      </c>
      <c r="B935" t="s">
        <v>14</v>
      </c>
      <c r="C935" t="s">
        <v>267</v>
      </c>
      <c r="D935" t="s">
        <v>268</v>
      </c>
      <c r="E935" t="s">
        <v>205</v>
      </c>
      <c r="F935" t="s">
        <v>200</v>
      </c>
      <c r="G935" t="s">
        <v>201</v>
      </c>
      <c r="H935">
        <v>0</v>
      </c>
    </row>
    <row r="936" spans="1:8" x14ac:dyDescent="0.3">
      <c r="A936">
        <v>2019</v>
      </c>
      <c r="B936" t="s">
        <v>14</v>
      </c>
      <c r="C936" t="s">
        <v>267</v>
      </c>
      <c r="D936" t="s">
        <v>268</v>
      </c>
      <c r="E936" t="s">
        <v>206</v>
      </c>
      <c r="F936" t="s">
        <v>200</v>
      </c>
      <c r="G936" t="s">
        <v>201</v>
      </c>
      <c r="H936">
        <v>0</v>
      </c>
    </row>
    <row r="937" spans="1:8" x14ac:dyDescent="0.3">
      <c r="A937">
        <v>2019</v>
      </c>
      <c r="B937" t="s">
        <v>15</v>
      </c>
      <c r="C937" t="s">
        <v>267</v>
      </c>
      <c r="D937" t="s">
        <v>268</v>
      </c>
      <c r="E937" t="s">
        <v>1</v>
      </c>
      <c r="F937" t="s">
        <v>200</v>
      </c>
      <c r="G937" t="s">
        <v>201</v>
      </c>
      <c r="H937">
        <v>3</v>
      </c>
    </row>
    <row r="938" spans="1:8" x14ac:dyDescent="0.3">
      <c r="A938">
        <v>2019</v>
      </c>
      <c r="B938" t="s">
        <v>15</v>
      </c>
      <c r="C938" t="s">
        <v>267</v>
      </c>
      <c r="D938" t="s">
        <v>268</v>
      </c>
      <c r="E938" t="s">
        <v>203</v>
      </c>
      <c r="F938" t="s">
        <v>200</v>
      </c>
      <c r="G938" t="s">
        <v>201</v>
      </c>
      <c r="H938">
        <v>1</v>
      </c>
    </row>
    <row r="939" spans="1:8" x14ac:dyDescent="0.3">
      <c r="A939">
        <v>2019</v>
      </c>
      <c r="B939" t="s">
        <v>15</v>
      </c>
      <c r="C939" t="s">
        <v>267</v>
      </c>
      <c r="D939" t="s">
        <v>268</v>
      </c>
      <c r="E939" t="s">
        <v>204</v>
      </c>
      <c r="F939" t="s">
        <v>200</v>
      </c>
      <c r="G939" t="s">
        <v>201</v>
      </c>
      <c r="H939">
        <v>1</v>
      </c>
    </row>
    <row r="940" spans="1:8" x14ac:dyDescent="0.3">
      <c r="A940">
        <v>2019</v>
      </c>
      <c r="B940" t="s">
        <v>15</v>
      </c>
      <c r="C940" t="s">
        <v>267</v>
      </c>
      <c r="D940" t="s">
        <v>268</v>
      </c>
      <c r="E940" t="s">
        <v>205</v>
      </c>
      <c r="F940" t="s">
        <v>200</v>
      </c>
      <c r="G940" t="s">
        <v>201</v>
      </c>
      <c r="H940">
        <v>0</v>
      </c>
    </row>
    <row r="941" spans="1:8" x14ac:dyDescent="0.3">
      <c r="A941">
        <v>2019</v>
      </c>
      <c r="B941" t="s">
        <v>15</v>
      </c>
      <c r="C941" t="s">
        <v>267</v>
      </c>
      <c r="D941" t="s">
        <v>268</v>
      </c>
      <c r="E941" t="s">
        <v>206</v>
      </c>
      <c r="F941" t="s">
        <v>200</v>
      </c>
      <c r="G941" t="s">
        <v>201</v>
      </c>
    </row>
    <row r="942" spans="1:8" x14ac:dyDescent="0.3">
      <c r="A942">
        <v>2019</v>
      </c>
      <c r="B942" t="s">
        <v>16</v>
      </c>
      <c r="C942" t="s">
        <v>267</v>
      </c>
      <c r="D942" t="s">
        <v>268</v>
      </c>
      <c r="E942" t="s">
        <v>1</v>
      </c>
      <c r="F942" t="s">
        <v>200</v>
      </c>
      <c r="G942" t="s">
        <v>201</v>
      </c>
      <c r="H942">
        <v>3</v>
      </c>
    </row>
    <row r="943" spans="1:8" x14ac:dyDescent="0.3">
      <c r="A943">
        <v>2019</v>
      </c>
      <c r="B943" t="s">
        <v>16</v>
      </c>
      <c r="C943" t="s">
        <v>267</v>
      </c>
      <c r="D943" t="s">
        <v>268</v>
      </c>
      <c r="E943" t="s">
        <v>203</v>
      </c>
      <c r="F943" t="s">
        <v>200</v>
      </c>
      <c r="G943" t="s">
        <v>201</v>
      </c>
      <c r="H943">
        <v>0</v>
      </c>
    </row>
    <row r="944" spans="1:8" x14ac:dyDescent="0.3">
      <c r="A944">
        <v>2019</v>
      </c>
      <c r="B944" t="s">
        <v>16</v>
      </c>
      <c r="C944" t="s">
        <v>267</v>
      </c>
      <c r="D944" t="s">
        <v>268</v>
      </c>
      <c r="E944" t="s">
        <v>204</v>
      </c>
      <c r="F944" t="s">
        <v>200</v>
      </c>
      <c r="G944" t="s">
        <v>201</v>
      </c>
      <c r="H944">
        <v>0</v>
      </c>
    </row>
    <row r="945" spans="1:8" x14ac:dyDescent="0.3">
      <c r="A945">
        <v>2019</v>
      </c>
      <c r="B945" t="s">
        <v>16</v>
      </c>
      <c r="C945" t="s">
        <v>267</v>
      </c>
      <c r="D945" t="s">
        <v>268</v>
      </c>
      <c r="E945" t="s">
        <v>205</v>
      </c>
      <c r="F945" t="s">
        <v>200</v>
      </c>
      <c r="G945" t="s">
        <v>201</v>
      </c>
      <c r="H945">
        <v>0</v>
      </c>
    </row>
    <row r="946" spans="1:8" x14ac:dyDescent="0.3">
      <c r="A946">
        <v>2019</v>
      </c>
      <c r="B946" t="s">
        <v>16</v>
      </c>
      <c r="C946" t="s">
        <v>267</v>
      </c>
      <c r="D946" t="s">
        <v>268</v>
      </c>
      <c r="E946" t="s">
        <v>206</v>
      </c>
      <c r="F946" t="s">
        <v>200</v>
      </c>
      <c r="G946" t="s">
        <v>201</v>
      </c>
      <c r="H946">
        <v>0</v>
      </c>
    </row>
    <row r="947" spans="1:8" x14ac:dyDescent="0.3">
      <c r="A947">
        <v>2019</v>
      </c>
      <c r="B947" t="s">
        <v>17</v>
      </c>
      <c r="C947" t="s">
        <v>267</v>
      </c>
      <c r="D947" t="s">
        <v>268</v>
      </c>
      <c r="E947" t="s">
        <v>1</v>
      </c>
      <c r="F947" t="s">
        <v>200</v>
      </c>
      <c r="G947" t="s">
        <v>201</v>
      </c>
      <c r="H947">
        <v>0</v>
      </c>
    </row>
    <row r="948" spans="1:8" x14ac:dyDescent="0.3">
      <c r="A948">
        <v>2019</v>
      </c>
      <c r="B948" t="s">
        <v>17</v>
      </c>
      <c r="C948" t="s">
        <v>267</v>
      </c>
      <c r="D948" t="s">
        <v>268</v>
      </c>
      <c r="E948" t="s">
        <v>203</v>
      </c>
      <c r="F948" t="s">
        <v>200</v>
      </c>
      <c r="G948" t="s">
        <v>201</v>
      </c>
      <c r="H948">
        <v>0</v>
      </c>
    </row>
    <row r="949" spans="1:8" x14ac:dyDescent="0.3">
      <c r="A949">
        <v>2019</v>
      </c>
      <c r="B949" t="s">
        <v>17</v>
      </c>
      <c r="C949" t="s">
        <v>267</v>
      </c>
      <c r="D949" t="s">
        <v>268</v>
      </c>
      <c r="E949" t="s">
        <v>204</v>
      </c>
      <c r="F949" t="s">
        <v>200</v>
      </c>
      <c r="G949" t="s">
        <v>201</v>
      </c>
      <c r="H949">
        <v>0</v>
      </c>
    </row>
    <row r="950" spans="1:8" x14ac:dyDescent="0.3">
      <c r="A950">
        <v>2019</v>
      </c>
      <c r="B950" t="s">
        <v>17</v>
      </c>
      <c r="C950" t="s">
        <v>267</v>
      </c>
      <c r="D950" t="s">
        <v>268</v>
      </c>
      <c r="E950" t="s">
        <v>205</v>
      </c>
      <c r="F950" t="s">
        <v>200</v>
      </c>
      <c r="G950" t="s">
        <v>201</v>
      </c>
      <c r="H950">
        <v>0</v>
      </c>
    </row>
    <row r="951" spans="1:8" x14ac:dyDescent="0.3">
      <c r="A951">
        <v>2019</v>
      </c>
      <c r="B951" t="s">
        <v>17</v>
      </c>
      <c r="C951" t="s">
        <v>267</v>
      </c>
      <c r="D951" t="s">
        <v>268</v>
      </c>
      <c r="E951" t="s">
        <v>206</v>
      </c>
      <c r="F951" t="s">
        <v>200</v>
      </c>
      <c r="G951" t="s">
        <v>201</v>
      </c>
      <c r="H951">
        <v>0</v>
      </c>
    </row>
    <row r="952" spans="1:8" x14ac:dyDescent="0.3">
      <c r="A952">
        <v>2019</v>
      </c>
      <c r="B952" t="s">
        <v>163</v>
      </c>
      <c r="C952" t="s">
        <v>267</v>
      </c>
      <c r="D952" t="s">
        <v>268</v>
      </c>
      <c r="E952" t="s">
        <v>1</v>
      </c>
      <c r="F952" t="s">
        <v>200</v>
      </c>
      <c r="G952" t="s">
        <v>201</v>
      </c>
      <c r="H952">
        <v>4</v>
      </c>
    </row>
    <row r="953" spans="1:8" x14ac:dyDescent="0.3">
      <c r="A953">
        <v>2019</v>
      </c>
      <c r="B953" t="s">
        <v>163</v>
      </c>
      <c r="C953" t="s">
        <v>267</v>
      </c>
      <c r="D953" t="s">
        <v>268</v>
      </c>
      <c r="E953" t="s">
        <v>203</v>
      </c>
      <c r="F953" t="s">
        <v>200</v>
      </c>
      <c r="G953" t="s">
        <v>201</v>
      </c>
      <c r="H953">
        <v>1</v>
      </c>
    </row>
    <row r="954" spans="1:8" x14ac:dyDescent="0.3">
      <c r="A954">
        <v>2019</v>
      </c>
      <c r="B954" t="s">
        <v>163</v>
      </c>
      <c r="C954" t="s">
        <v>267</v>
      </c>
      <c r="D954" t="s">
        <v>268</v>
      </c>
      <c r="E954" t="s">
        <v>204</v>
      </c>
      <c r="F954" t="s">
        <v>200</v>
      </c>
      <c r="G954" t="s">
        <v>201</v>
      </c>
      <c r="H954">
        <v>0</v>
      </c>
    </row>
    <row r="955" spans="1:8" x14ac:dyDescent="0.3">
      <c r="A955">
        <v>2019</v>
      </c>
      <c r="B955" t="s">
        <v>163</v>
      </c>
      <c r="C955" t="s">
        <v>267</v>
      </c>
      <c r="D955" t="s">
        <v>268</v>
      </c>
      <c r="E955" t="s">
        <v>205</v>
      </c>
      <c r="F955" t="s">
        <v>200</v>
      </c>
      <c r="G955" t="s">
        <v>201</v>
      </c>
      <c r="H955">
        <v>0</v>
      </c>
    </row>
    <row r="956" spans="1:8" x14ac:dyDescent="0.3">
      <c r="A956">
        <v>2019</v>
      </c>
      <c r="B956" t="s">
        <v>163</v>
      </c>
      <c r="C956" t="s">
        <v>267</v>
      </c>
      <c r="D956" t="s">
        <v>268</v>
      </c>
      <c r="E956" t="s">
        <v>206</v>
      </c>
      <c r="F956" t="s">
        <v>200</v>
      </c>
      <c r="G956" t="s">
        <v>201</v>
      </c>
      <c r="H956">
        <v>24</v>
      </c>
    </row>
    <row r="957" spans="1:8" x14ac:dyDescent="0.3">
      <c r="A957">
        <v>2019</v>
      </c>
      <c r="B957" t="s">
        <v>20</v>
      </c>
      <c r="C957" t="s">
        <v>267</v>
      </c>
      <c r="D957" t="s">
        <v>268</v>
      </c>
      <c r="E957" t="s">
        <v>1</v>
      </c>
      <c r="F957" t="s">
        <v>200</v>
      </c>
      <c r="G957" t="s">
        <v>201</v>
      </c>
      <c r="H957">
        <v>0</v>
      </c>
    </row>
    <row r="958" spans="1:8" x14ac:dyDescent="0.3">
      <c r="A958">
        <v>2019</v>
      </c>
      <c r="B958" t="s">
        <v>20</v>
      </c>
      <c r="C958" t="s">
        <v>267</v>
      </c>
      <c r="D958" t="s">
        <v>268</v>
      </c>
      <c r="E958" t="s">
        <v>203</v>
      </c>
      <c r="F958" t="s">
        <v>200</v>
      </c>
      <c r="G958" t="s">
        <v>201</v>
      </c>
      <c r="H958">
        <v>0</v>
      </c>
    </row>
    <row r="959" spans="1:8" x14ac:dyDescent="0.3">
      <c r="A959">
        <v>2019</v>
      </c>
      <c r="B959" t="s">
        <v>20</v>
      </c>
      <c r="C959" t="s">
        <v>267</v>
      </c>
      <c r="D959" t="s">
        <v>268</v>
      </c>
      <c r="E959" t="s">
        <v>204</v>
      </c>
      <c r="F959" t="s">
        <v>200</v>
      </c>
      <c r="G959" t="s">
        <v>201</v>
      </c>
      <c r="H959">
        <v>0</v>
      </c>
    </row>
    <row r="960" spans="1:8" x14ac:dyDescent="0.3">
      <c r="A960">
        <v>2019</v>
      </c>
      <c r="B960" t="s">
        <v>20</v>
      </c>
      <c r="C960" t="s">
        <v>267</v>
      </c>
      <c r="D960" t="s">
        <v>268</v>
      </c>
      <c r="E960" t="s">
        <v>205</v>
      </c>
      <c r="F960" t="s">
        <v>200</v>
      </c>
      <c r="G960" t="s">
        <v>201</v>
      </c>
      <c r="H960">
        <v>0</v>
      </c>
    </row>
    <row r="961" spans="1:8" x14ac:dyDescent="0.3">
      <c r="A961">
        <v>2019</v>
      </c>
      <c r="B961" t="s">
        <v>20</v>
      </c>
      <c r="C961" t="s">
        <v>267</v>
      </c>
      <c r="D961" t="s">
        <v>268</v>
      </c>
      <c r="E961" t="s">
        <v>206</v>
      </c>
      <c r="F961" t="s">
        <v>200</v>
      </c>
      <c r="G961" t="s">
        <v>201</v>
      </c>
      <c r="H961">
        <v>0</v>
      </c>
    </row>
    <row r="962" spans="1:8" x14ac:dyDescent="0.3">
      <c r="A962">
        <v>2019</v>
      </c>
      <c r="B962" t="s">
        <v>21</v>
      </c>
      <c r="C962" t="s">
        <v>267</v>
      </c>
      <c r="D962" t="s">
        <v>268</v>
      </c>
      <c r="E962" t="s">
        <v>1</v>
      </c>
      <c r="F962" t="s">
        <v>200</v>
      </c>
      <c r="G962" t="s">
        <v>201</v>
      </c>
      <c r="H962">
        <v>15</v>
      </c>
    </row>
    <row r="963" spans="1:8" x14ac:dyDescent="0.3">
      <c r="A963">
        <v>2019</v>
      </c>
      <c r="B963" t="s">
        <v>21</v>
      </c>
      <c r="C963" t="s">
        <v>267</v>
      </c>
      <c r="D963" t="s">
        <v>268</v>
      </c>
      <c r="E963" t="s">
        <v>203</v>
      </c>
      <c r="F963" t="s">
        <v>200</v>
      </c>
      <c r="G963" t="s">
        <v>201</v>
      </c>
      <c r="H963">
        <v>1</v>
      </c>
    </row>
    <row r="964" spans="1:8" x14ac:dyDescent="0.3">
      <c r="A964">
        <v>2019</v>
      </c>
      <c r="B964" t="s">
        <v>21</v>
      </c>
      <c r="C964" t="s">
        <v>267</v>
      </c>
      <c r="D964" t="s">
        <v>268</v>
      </c>
      <c r="E964" t="s">
        <v>204</v>
      </c>
      <c r="F964" t="s">
        <v>200</v>
      </c>
      <c r="G964" t="s">
        <v>201</v>
      </c>
      <c r="H964">
        <v>0</v>
      </c>
    </row>
    <row r="965" spans="1:8" x14ac:dyDescent="0.3">
      <c r="A965">
        <v>2019</v>
      </c>
      <c r="B965" t="s">
        <v>21</v>
      </c>
      <c r="C965" t="s">
        <v>267</v>
      </c>
      <c r="D965" t="s">
        <v>268</v>
      </c>
      <c r="E965" t="s">
        <v>205</v>
      </c>
      <c r="F965" t="s">
        <v>200</v>
      </c>
      <c r="G965" t="s">
        <v>201</v>
      </c>
      <c r="H965">
        <v>0</v>
      </c>
    </row>
    <row r="966" spans="1:8" x14ac:dyDescent="0.3">
      <c r="A966">
        <v>2019</v>
      </c>
      <c r="B966" t="s">
        <v>21</v>
      </c>
      <c r="C966" t="s">
        <v>267</v>
      </c>
      <c r="D966" t="s">
        <v>268</v>
      </c>
      <c r="E966" t="s">
        <v>206</v>
      </c>
      <c r="F966" t="s">
        <v>200</v>
      </c>
      <c r="G966" t="s">
        <v>201</v>
      </c>
      <c r="H966">
        <v>9</v>
      </c>
    </row>
    <row r="967" spans="1:8" x14ac:dyDescent="0.3">
      <c r="A967">
        <v>2019</v>
      </c>
      <c r="B967" t="s">
        <v>22</v>
      </c>
      <c r="C967" t="s">
        <v>267</v>
      </c>
      <c r="D967" t="s">
        <v>268</v>
      </c>
      <c r="E967" t="s">
        <v>1</v>
      </c>
      <c r="F967" t="s">
        <v>200</v>
      </c>
      <c r="G967" t="s">
        <v>201</v>
      </c>
      <c r="H967">
        <v>3</v>
      </c>
    </row>
    <row r="968" spans="1:8" x14ac:dyDescent="0.3">
      <c r="A968">
        <v>2019</v>
      </c>
      <c r="B968" t="s">
        <v>22</v>
      </c>
      <c r="C968" t="s">
        <v>267</v>
      </c>
      <c r="D968" t="s">
        <v>268</v>
      </c>
      <c r="E968" t="s">
        <v>203</v>
      </c>
      <c r="F968" t="s">
        <v>200</v>
      </c>
      <c r="G968" t="s">
        <v>201</v>
      </c>
      <c r="H968">
        <v>0</v>
      </c>
    </row>
    <row r="969" spans="1:8" x14ac:dyDescent="0.3">
      <c r="A969">
        <v>2019</v>
      </c>
      <c r="B969" t="s">
        <v>22</v>
      </c>
      <c r="C969" t="s">
        <v>267</v>
      </c>
      <c r="D969" t="s">
        <v>268</v>
      </c>
      <c r="E969" t="s">
        <v>204</v>
      </c>
      <c r="F969" t="s">
        <v>200</v>
      </c>
      <c r="G969" t="s">
        <v>201</v>
      </c>
      <c r="H969">
        <v>0</v>
      </c>
    </row>
    <row r="970" spans="1:8" x14ac:dyDescent="0.3">
      <c r="A970">
        <v>2019</v>
      </c>
      <c r="B970" t="s">
        <v>22</v>
      </c>
      <c r="C970" t="s">
        <v>267</v>
      </c>
      <c r="D970" t="s">
        <v>268</v>
      </c>
      <c r="E970" t="s">
        <v>205</v>
      </c>
      <c r="F970" t="s">
        <v>200</v>
      </c>
      <c r="G970" t="s">
        <v>201</v>
      </c>
      <c r="H970">
        <v>0</v>
      </c>
    </row>
    <row r="971" spans="1:8" x14ac:dyDescent="0.3">
      <c r="A971">
        <v>2019</v>
      </c>
      <c r="B971" t="s">
        <v>22</v>
      </c>
      <c r="C971" t="s">
        <v>267</v>
      </c>
      <c r="D971" t="s">
        <v>268</v>
      </c>
      <c r="E971" t="s">
        <v>206</v>
      </c>
      <c r="F971" t="s">
        <v>200</v>
      </c>
      <c r="G971" t="s">
        <v>201</v>
      </c>
      <c r="H971">
        <v>0</v>
      </c>
    </row>
    <row r="972" spans="1:8" x14ac:dyDescent="0.3">
      <c r="A972">
        <v>2019</v>
      </c>
      <c r="B972" t="s">
        <v>23</v>
      </c>
      <c r="C972" t="s">
        <v>267</v>
      </c>
      <c r="D972" t="s">
        <v>268</v>
      </c>
      <c r="E972" t="s">
        <v>1</v>
      </c>
      <c r="F972" t="s">
        <v>200</v>
      </c>
      <c r="G972" t="s">
        <v>201</v>
      </c>
      <c r="H972">
        <v>4</v>
      </c>
    </row>
    <row r="973" spans="1:8" x14ac:dyDescent="0.3">
      <c r="A973">
        <v>2019</v>
      </c>
      <c r="B973" t="s">
        <v>23</v>
      </c>
      <c r="C973" t="s">
        <v>267</v>
      </c>
      <c r="D973" t="s">
        <v>268</v>
      </c>
      <c r="E973" t="s">
        <v>203</v>
      </c>
      <c r="F973" t="s">
        <v>200</v>
      </c>
      <c r="G973" t="s">
        <v>201</v>
      </c>
      <c r="H973">
        <v>0</v>
      </c>
    </row>
    <row r="974" spans="1:8" x14ac:dyDescent="0.3">
      <c r="A974">
        <v>2019</v>
      </c>
      <c r="B974" t="s">
        <v>23</v>
      </c>
      <c r="C974" t="s">
        <v>267</v>
      </c>
      <c r="D974" t="s">
        <v>268</v>
      </c>
      <c r="E974" t="s">
        <v>204</v>
      </c>
      <c r="F974" t="s">
        <v>200</v>
      </c>
      <c r="G974" t="s">
        <v>201</v>
      </c>
      <c r="H974">
        <v>0</v>
      </c>
    </row>
    <row r="975" spans="1:8" x14ac:dyDescent="0.3">
      <c r="A975">
        <v>2019</v>
      </c>
      <c r="B975" t="s">
        <v>23</v>
      </c>
      <c r="C975" t="s">
        <v>267</v>
      </c>
      <c r="D975" t="s">
        <v>268</v>
      </c>
      <c r="E975" t="s">
        <v>205</v>
      </c>
      <c r="F975" t="s">
        <v>200</v>
      </c>
      <c r="G975" t="s">
        <v>201</v>
      </c>
      <c r="H975">
        <v>0</v>
      </c>
    </row>
    <row r="976" spans="1:8" x14ac:dyDescent="0.3">
      <c r="A976">
        <v>2019</v>
      </c>
      <c r="B976" t="s">
        <v>23</v>
      </c>
      <c r="C976" t="s">
        <v>267</v>
      </c>
      <c r="D976" t="s">
        <v>268</v>
      </c>
      <c r="E976" t="s">
        <v>206</v>
      </c>
      <c r="F976" t="s">
        <v>200</v>
      </c>
      <c r="G976" t="s">
        <v>201</v>
      </c>
      <c r="H976">
        <v>0</v>
      </c>
    </row>
    <row r="977" spans="1:8" x14ac:dyDescent="0.3">
      <c r="A977">
        <v>2019</v>
      </c>
      <c r="B977" t="s">
        <v>54</v>
      </c>
      <c r="C977" t="s">
        <v>267</v>
      </c>
      <c r="D977" t="s">
        <v>268</v>
      </c>
      <c r="E977" t="s">
        <v>1</v>
      </c>
      <c r="F977" t="s">
        <v>200</v>
      </c>
      <c r="G977" t="s">
        <v>201</v>
      </c>
      <c r="H977">
        <v>47</v>
      </c>
    </row>
    <row r="978" spans="1:8" x14ac:dyDescent="0.3">
      <c r="A978">
        <v>2019</v>
      </c>
      <c r="B978" t="s">
        <v>54</v>
      </c>
      <c r="C978" t="s">
        <v>267</v>
      </c>
      <c r="D978" t="s">
        <v>268</v>
      </c>
      <c r="E978" t="s">
        <v>203</v>
      </c>
      <c r="F978" t="s">
        <v>200</v>
      </c>
      <c r="G978" t="s">
        <v>201</v>
      </c>
      <c r="H978">
        <v>5</v>
      </c>
    </row>
    <row r="979" spans="1:8" x14ac:dyDescent="0.3">
      <c r="A979">
        <v>2019</v>
      </c>
      <c r="B979" t="s">
        <v>54</v>
      </c>
      <c r="C979" t="s">
        <v>267</v>
      </c>
      <c r="D979" t="s">
        <v>268</v>
      </c>
      <c r="E979" t="s">
        <v>204</v>
      </c>
      <c r="F979" t="s">
        <v>200</v>
      </c>
      <c r="G979" t="s">
        <v>201</v>
      </c>
      <c r="H979">
        <v>1</v>
      </c>
    </row>
    <row r="980" spans="1:8" x14ac:dyDescent="0.3">
      <c r="A980">
        <v>2019</v>
      </c>
      <c r="B980" t="s">
        <v>54</v>
      </c>
      <c r="C980" t="s">
        <v>267</v>
      </c>
      <c r="D980" t="s">
        <v>268</v>
      </c>
      <c r="E980" t="s">
        <v>205</v>
      </c>
      <c r="F980" t="s">
        <v>200</v>
      </c>
      <c r="G980" t="s">
        <v>201</v>
      </c>
      <c r="H980">
        <v>0</v>
      </c>
    </row>
    <row r="981" spans="1:8" x14ac:dyDescent="0.3">
      <c r="A981">
        <v>2019</v>
      </c>
      <c r="B981" t="s">
        <v>54</v>
      </c>
      <c r="C981" t="s">
        <v>267</v>
      </c>
      <c r="D981" t="s">
        <v>268</v>
      </c>
      <c r="E981" t="s">
        <v>206</v>
      </c>
      <c r="F981" t="s">
        <v>200</v>
      </c>
      <c r="G981" t="s">
        <v>201</v>
      </c>
    </row>
    <row r="982" spans="1:8" x14ac:dyDescent="0.3">
      <c r="A982">
        <v>2019</v>
      </c>
      <c r="B982" t="s">
        <v>48</v>
      </c>
      <c r="C982" t="s">
        <v>267</v>
      </c>
      <c r="D982" t="s">
        <v>268</v>
      </c>
      <c r="E982" t="s">
        <v>1</v>
      </c>
      <c r="F982" t="s">
        <v>200</v>
      </c>
      <c r="G982" t="s">
        <v>201</v>
      </c>
      <c r="H982">
        <v>2</v>
      </c>
    </row>
    <row r="983" spans="1:8" x14ac:dyDescent="0.3">
      <c r="A983">
        <v>2019</v>
      </c>
      <c r="B983" t="s">
        <v>48</v>
      </c>
      <c r="C983" t="s">
        <v>267</v>
      </c>
      <c r="D983" t="s">
        <v>268</v>
      </c>
      <c r="E983" t="s">
        <v>203</v>
      </c>
      <c r="F983" t="s">
        <v>200</v>
      </c>
      <c r="G983" t="s">
        <v>201</v>
      </c>
      <c r="H983">
        <v>0</v>
      </c>
    </row>
    <row r="984" spans="1:8" x14ac:dyDescent="0.3">
      <c r="A984">
        <v>2019</v>
      </c>
      <c r="B984" t="s">
        <v>48</v>
      </c>
      <c r="C984" t="s">
        <v>267</v>
      </c>
      <c r="D984" t="s">
        <v>268</v>
      </c>
      <c r="E984" t="s">
        <v>204</v>
      </c>
      <c r="F984" t="s">
        <v>200</v>
      </c>
      <c r="G984" t="s">
        <v>201</v>
      </c>
      <c r="H984">
        <v>0</v>
      </c>
    </row>
    <row r="985" spans="1:8" x14ac:dyDescent="0.3">
      <c r="A985">
        <v>2019</v>
      </c>
      <c r="B985" t="s">
        <v>48</v>
      </c>
      <c r="C985" t="s">
        <v>267</v>
      </c>
      <c r="D985" t="s">
        <v>268</v>
      </c>
      <c r="E985" t="s">
        <v>205</v>
      </c>
      <c r="F985" t="s">
        <v>200</v>
      </c>
      <c r="G985" t="s">
        <v>201</v>
      </c>
      <c r="H985">
        <v>0</v>
      </c>
    </row>
    <row r="986" spans="1:8" x14ac:dyDescent="0.3">
      <c r="A986">
        <v>2019</v>
      </c>
      <c r="B986" t="s">
        <v>48</v>
      </c>
      <c r="C986" t="s">
        <v>267</v>
      </c>
      <c r="D986" t="s">
        <v>268</v>
      </c>
      <c r="E986" t="s">
        <v>206</v>
      </c>
      <c r="F986" t="s">
        <v>200</v>
      </c>
      <c r="G986" t="s">
        <v>201</v>
      </c>
      <c r="H986">
        <v>8</v>
      </c>
    </row>
    <row r="987" spans="1:8" x14ac:dyDescent="0.3">
      <c r="A987">
        <v>2019</v>
      </c>
      <c r="B987" t="s">
        <v>24</v>
      </c>
      <c r="C987" t="s">
        <v>267</v>
      </c>
      <c r="D987" t="s">
        <v>268</v>
      </c>
      <c r="E987" t="s">
        <v>1</v>
      </c>
      <c r="F987" t="s">
        <v>200</v>
      </c>
      <c r="G987" t="s">
        <v>201</v>
      </c>
      <c r="H987">
        <v>4</v>
      </c>
    </row>
    <row r="988" spans="1:8" x14ac:dyDescent="0.3">
      <c r="A988">
        <v>2019</v>
      </c>
      <c r="B988" t="s">
        <v>24</v>
      </c>
      <c r="C988" t="s">
        <v>267</v>
      </c>
      <c r="D988" t="s">
        <v>268</v>
      </c>
      <c r="E988" t="s">
        <v>203</v>
      </c>
      <c r="F988" t="s">
        <v>200</v>
      </c>
      <c r="G988" t="s">
        <v>201</v>
      </c>
      <c r="H988">
        <v>0</v>
      </c>
    </row>
    <row r="989" spans="1:8" x14ac:dyDescent="0.3">
      <c r="A989">
        <v>2019</v>
      </c>
      <c r="B989" t="s">
        <v>24</v>
      </c>
      <c r="C989" t="s">
        <v>267</v>
      </c>
      <c r="D989" t="s">
        <v>268</v>
      </c>
      <c r="E989" t="s">
        <v>204</v>
      </c>
      <c r="F989" t="s">
        <v>200</v>
      </c>
      <c r="G989" t="s">
        <v>201</v>
      </c>
      <c r="H989">
        <v>0</v>
      </c>
    </row>
    <row r="990" spans="1:8" x14ac:dyDescent="0.3">
      <c r="A990">
        <v>2019</v>
      </c>
      <c r="B990" t="s">
        <v>24</v>
      </c>
      <c r="C990" t="s">
        <v>267</v>
      </c>
      <c r="D990" t="s">
        <v>268</v>
      </c>
      <c r="E990" t="s">
        <v>205</v>
      </c>
      <c r="F990" t="s">
        <v>200</v>
      </c>
      <c r="G990" t="s">
        <v>201</v>
      </c>
      <c r="H990">
        <v>0</v>
      </c>
    </row>
    <row r="991" spans="1:8" x14ac:dyDescent="0.3">
      <c r="A991">
        <v>2019</v>
      </c>
      <c r="B991" t="s">
        <v>24</v>
      </c>
      <c r="C991" t="s">
        <v>267</v>
      </c>
      <c r="D991" t="s">
        <v>268</v>
      </c>
      <c r="E991" t="s">
        <v>206</v>
      </c>
      <c r="F991" t="s">
        <v>200</v>
      </c>
      <c r="G991" t="s">
        <v>201</v>
      </c>
      <c r="H991">
        <v>7</v>
      </c>
    </row>
    <row r="992" spans="1:8" x14ac:dyDescent="0.3">
      <c r="A992">
        <v>2019</v>
      </c>
      <c r="B992" t="s">
        <v>214</v>
      </c>
      <c r="C992" t="s">
        <v>267</v>
      </c>
      <c r="D992" t="s">
        <v>268</v>
      </c>
      <c r="E992" t="s">
        <v>1</v>
      </c>
      <c r="F992" t="s">
        <v>200</v>
      </c>
      <c r="G992" t="s">
        <v>201</v>
      </c>
      <c r="H992">
        <v>1</v>
      </c>
    </row>
    <row r="993" spans="1:8" x14ac:dyDescent="0.3">
      <c r="A993">
        <v>2019</v>
      </c>
      <c r="B993" t="s">
        <v>214</v>
      </c>
      <c r="C993" t="s">
        <v>267</v>
      </c>
      <c r="D993" t="s">
        <v>268</v>
      </c>
      <c r="E993" t="s">
        <v>203</v>
      </c>
      <c r="F993" t="s">
        <v>200</v>
      </c>
      <c r="G993" t="s">
        <v>201</v>
      </c>
      <c r="H993">
        <v>0</v>
      </c>
    </row>
    <row r="994" spans="1:8" x14ac:dyDescent="0.3">
      <c r="A994">
        <v>2019</v>
      </c>
      <c r="B994" t="s">
        <v>214</v>
      </c>
      <c r="C994" t="s">
        <v>267</v>
      </c>
      <c r="D994" t="s">
        <v>268</v>
      </c>
      <c r="E994" t="s">
        <v>204</v>
      </c>
      <c r="F994" t="s">
        <v>200</v>
      </c>
      <c r="G994" t="s">
        <v>201</v>
      </c>
      <c r="H994">
        <v>0</v>
      </c>
    </row>
    <row r="995" spans="1:8" x14ac:dyDescent="0.3">
      <c r="A995">
        <v>2019</v>
      </c>
      <c r="B995" t="s">
        <v>214</v>
      </c>
      <c r="C995" t="s">
        <v>267</v>
      </c>
      <c r="D995" t="s">
        <v>268</v>
      </c>
      <c r="E995" t="s">
        <v>205</v>
      </c>
      <c r="F995" t="s">
        <v>200</v>
      </c>
      <c r="G995" t="s">
        <v>201</v>
      </c>
      <c r="H995">
        <v>0</v>
      </c>
    </row>
    <row r="996" spans="1:8" x14ac:dyDescent="0.3">
      <c r="A996">
        <v>2019</v>
      </c>
      <c r="B996" t="s">
        <v>214</v>
      </c>
      <c r="C996" t="s">
        <v>267</v>
      </c>
      <c r="D996" t="s">
        <v>268</v>
      </c>
      <c r="E996" t="s">
        <v>206</v>
      </c>
      <c r="F996" t="s">
        <v>200</v>
      </c>
      <c r="G996" t="s">
        <v>201</v>
      </c>
      <c r="H996">
        <v>0</v>
      </c>
    </row>
    <row r="997" spans="1:8" x14ac:dyDescent="0.3">
      <c r="A997">
        <v>2019</v>
      </c>
      <c r="B997" t="s">
        <v>26</v>
      </c>
      <c r="C997" t="s">
        <v>267</v>
      </c>
      <c r="D997" t="s">
        <v>268</v>
      </c>
      <c r="E997" t="s">
        <v>1</v>
      </c>
      <c r="F997" t="s">
        <v>200</v>
      </c>
      <c r="G997" t="s">
        <v>201</v>
      </c>
      <c r="H997">
        <v>8</v>
      </c>
    </row>
    <row r="998" spans="1:8" x14ac:dyDescent="0.3">
      <c r="A998">
        <v>2019</v>
      </c>
      <c r="B998" t="s">
        <v>26</v>
      </c>
      <c r="C998" t="s">
        <v>267</v>
      </c>
      <c r="D998" t="s">
        <v>268</v>
      </c>
      <c r="E998" t="s">
        <v>203</v>
      </c>
      <c r="F998" t="s">
        <v>200</v>
      </c>
      <c r="G998" t="s">
        <v>201</v>
      </c>
      <c r="H998">
        <v>3</v>
      </c>
    </row>
    <row r="999" spans="1:8" x14ac:dyDescent="0.3">
      <c r="A999">
        <v>2019</v>
      </c>
      <c r="B999" t="s">
        <v>26</v>
      </c>
      <c r="C999" t="s">
        <v>267</v>
      </c>
      <c r="D999" t="s">
        <v>268</v>
      </c>
      <c r="E999" t="s">
        <v>204</v>
      </c>
      <c r="F999" t="s">
        <v>200</v>
      </c>
      <c r="G999" t="s">
        <v>201</v>
      </c>
      <c r="H999">
        <v>0</v>
      </c>
    </row>
    <row r="1000" spans="1:8" x14ac:dyDescent="0.3">
      <c r="A1000">
        <v>2019</v>
      </c>
      <c r="B1000" t="s">
        <v>26</v>
      </c>
      <c r="C1000" t="s">
        <v>267</v>
      </c>
      <c r="D1000" t="s">
        <v>268</v>
      </c>
      <c r="E1000" t="s">
        <v>205</v>
      </c>
      <c r="F1000" t="s">
        <v>200</v>
      </c>
      <c r="G1000" t="s">
        <v>201</v>
      </c>
      <c r="H1000">
        <v>0</v>
      </c>
    </row>
    <row r="1001" spans="1:8" x14ac:dyDescent="0.3">
      <c r="A1001">
        <v>2019</v>
      </c>
      <c r="B1001" t="s">
        <v>26</v>
      </c>
      <c r="C1001" t="s">
        <v>267</v>
      </c>
      <c r="D1001" t="s">
        <v>268</v>
      </c>
      <c r="E1001" t="s">
        <v>206</v>
      </c>
      <c r="F1001" t="s">
        <v>200</v>
      </c>
      <c r="G1001" t="s">
        <v>201</v>
      </c>
      <c r="H1001">
        <v>39</v>
      </c>
    </row>
    <row r="1002" spans="1:8" x14ac:dyDescent="0.3">
      <c r="A1002">
        <v>2019</v>
      </c>
      <c r="B1002" t="s">
        <v>27</v>
      </c>
      <c r="C1002" t="s">
        <v>267</v>
      </c>
      <c r="D1002" t="s">
        <v>268</v>
      </c>
      <c r="E1002" t="s">
        <v>1</v>
      </c>
      <c r="F1002" t="s">
        <v>200</v>
      </c>
      <c r="G1002" t="s">
        <v>201</v>
      </c>
      <c r="H1002">
        <v>3</v>
      </c>
    </row>
    <row r="1003" spans="1:8" x14ac:dyDescent="0.3">
      <c r="A1003">
        <v>2019</v>
      </c>
      <c r="B1003" t="s">
        <v>27</v>
      </c>
      <c r="C1003" t="s">
        <v>267</v>
      </c>
      <c r="D1003" t="s">
        <v>268</v>
      </c>
      <c r="E1003" t="s">
        <v>203</v>
      </c>
      <c r="F1003" t="s">
        <v>200</v>
      </c>
      <c r="G1003" t="s">
        <v>201</v>
      </c>
      <c r="H1003">
        <v>2</v>
      </c>
    </row>
    <row r="1004" spans="1:8" x14ac:dyDescent="0.3">
      <c r="A1004">
        <v>2019</v>
      </c>
      <c r="B1004" t="s">
        <v>27</v>
      </c>
      <c r="C1004" t="s">
        <v>267</v>
      </c>
      <c r="D1004" t="s">
        <v>268</v>
      </c>
      <c r="E1004" t="s">
        <v>204</v>
      </c>
      <c r="F1004" t="s">
        <v>200</v>
      </c>
      <c r="G1004" t="s">
        <v>201</v>
      </c>
      <c r="H1004">
        <v>0</v>
      </c>
    </row>
    <row r="1005" spans="1:8" x14ac:dyDescent="0.3">
      <c r="A1005">
        <v>2019</v>
      </c>
      <c r="B1005" t="s">
        <v>27</v>
      </c>
      <c r="C1005" t="s">
        <v>267</v>
      </c>
      <c r="D1005" t="s">
        <v>268</v>
      </c>
      <c r="E1005" t="s">
        <v>205</v>
      </c>
      <c r="F1005" t="s">
        <v>200</v>
      </c>
      <c r="G1005" t="s">
        <v>201</v>
      </c>
      <c r="H1005">
        <v>0</v>
      </c>
    </row>
    <row r="1006" spans="1:8" x14ac:dyDescent="0.3">
      <c r="A1006">
        <v>2019</v>
      </c>
      <c r="B1006" t="s">
        <v>27</v>
      </c>
      <c r="C1006" t="s">
        <v>267</v>
      </c>
      <c r="D1006" t="s">
        <v>268</v>
      </c>
      <c r="E1006" t="s">
        <v>206</v>
      </c>
      <c r="F1006" t="s">
        <v>200</v>
      </c>
      <c r="G1006" t="s">
        <v>201</v>
      </c>
      <c r="H1006">
        <v>17</v>
      </c>
    </row>
    <row r="1007" spans="1:8" x14ac:dyDescent="0.3">
      <c r="A1007">
        <v>2019</v>
      </c>
      <c r="B1007" t="s">
        <v>219</v>
      </c>
      <c r="C1007" t="s">
        <v>267</v>
      </c>
      <c r="D1007" t="s">
        <v>268</v>
      </c>
      <c r="E1007" t="s">
        <v>1</v>
      </c>
      <c r="F1007" t="s">
        <v>200</v>
      </c>
      <c r="G1007" t="s">
        <v>201</v>
      </c>
    </row>
    <row r="1008" spans="1:8" x14ac:dyDescent="0.3">
      <c r="A1008">
        <v>2019</v>
      </c>
      <c r="B1008" t="s">
        <v>219</v>
      </c>
      <c r="C1008" t="s">
        <v>267</v>
      </c>
      <c r="D1008" t="s">
        <v>268</v>
      </c>
      <c r="E1008" t="s">
        <v>203</v>
      </c>
      <c r="F1008" t="s">
        <v>200</v>
      </c>
      <c r="G1008" t="s">
        <v>201</v>
      </c>
    </row>
    <row r="1009" spans="1:8" x14ac:dyDescent="0.3">
      <c r="A1009">
        <v>2019</v>
      </c>
      <c r="B1009" t="s">
        <v>219</v>
      </c>
      <c r="C1009" t="s">
        <v>267</v>
      </c>
      <c r="D1009" t="s">
        <v>268</v>
      </c>
      <c r="E1009" t="s">
        <v>204</v>
      </c>
      <c r="F1009" t="s">
        <v>200</v>
      </c>
      <c r="G1009" t="s">
        <v>201</v>
      </c>
    </row>
    <row r="1010" spans="1:8" x14ac:dyDescent="0.3">
      <c r="A1010">
        <v>2019</v>
      </c>
      <c r="B1010" t="s">
        <v>219</v>
      </c>
      <c r="C1010" t="s">
        <v>267</v>
      </c>
      <c r="D1010" t="s">
        <v>268</v>
      </c>
      <c r="E1010" t="s">
        <v>205</v>
      </c>
      <c r="F1010" t="s">
        <v>200</v>
      </c>
      <c r="G1010" t="s">
        <v>201</v>
      </c>
    </row>
    <row r="1011" spans="1:8" x14ac:dyDescent="0.3">
      <c r="A1011">
        <v>2019</v>
      </c>
      <c r="B1011" t="s">
        <v>219</v>
      </c>
      <c r="C1011" t="s">
        <v>267</v>
      </c>
      <c r="D1011" t="s">
        <v>268</v>
      </c>
      <c r="E1011" t="s">
        <v>206</v>
      </c>
      <c r="F1011" t="s">
        <v>200</v>
      </c>
      <c r="G1011" t="s">
        <v>201</v>
      </c>
    </row>
    <row r="1012" spans="1:8" x14ac:dyDescent="0.3">
      <c r="A1012">
        <v>2019</v>
      </c>
      <c r="B1012" t="s">
        <v>46</v>
      </c>
      <c r="C1012" t="s">
        <v>267</v>
      </c>
      <c r="D1012" t="s">
        <v>268</v>
      </c>
      <c r="E1012" t="s">
        <v>1</v>
      </c>
      <c r="F1012" t="s">
        <v>200</v>
      </c>
      <c r="G1012" t="s">
        <v>201</v>
      </c>
    </row>
    <row r="1013" spans="1:8" x14ac:dyDescent="0.3">
      <c r="A1013">
        <v>2019</v>
      </c>
      <c r="B1013" t="s">
        <v>46</v>
      </c>
      <c r="C1013" t="s">
        <v>267</v>
      </c>
      <c r="D1013" t="s">
        <v>268</v>
      </c>
      <c r="E1013" t="s">
        <v>203</v>
      </c>
      <c r="F1013" t="s">
        <v>200</v>
      </c>
      <c r="G1013" t="s">
        <v>201</v>
      </c>
    </row>
    <row r="1014" spans="1:8" x14ac:dyDescent="0.3">
      <c r="A1014">
        <v>2019</v>
      </c>
      <c r="B1014" t="s">
        <v>46</v>
      </c>
      <c r="C1014" t="s">
        <v>267</v>
      </c>
      <c r="D1014" t="s">
        <v>268</v>
      </c>
      <c r="E1014" t="s">
        <v>204</v>
      </c>
      <c r="F1014" t="s">
        <v>200</v>
      </c>
      <c r="G1014" t="s">
        <v>201</v>
      </c>
    </row>
    <row r="1015" spans="1:8" x14ac:dyDescent="0.3">
      <c r="A1015">
        <v>2019</v>
      </c>
      <c r="B1015" t="s">
        <v>46</v>
      </c>
      <c r="C1015" t="s">
        <v>267</v>
      </c>
      <c r="D1015" t="s">
        <v>268</v>
      </c>
      <c r="E1015" t="s">
        <v>205</v>
      </c>
      <c r="F1015" t="s">
        <v>200</v>
      </c>
      <c r="G1015" t="s">
        <v>201</v>
      </c>
    </row>
    <row r="1016" spans="1:8" x14ac:dyDescent="0.3">
      <c r="A1016">
        <v>2019</v>
      </c>
      <c r="B1016" t="s">
        <v>46</v>
      </c>
      <c r="C1016" t="s">
        <v>267</v>
      </c>
      <c r="D1016" t="s">
        <v>268</v>
      </c>
      <c r="E1016" t="s">
        <v>206</v>
      </c>
      <c r="F1016" t="s">
        <v>200</v>
      </c>
      <c r="G1016" t="s">
        <v>201</v>
      </c>
    </row>
    <row r="1017" spans="1:8" x14ac:dyDescent="0.3">
      <c r="A1017">
        <v>2019</v>
      </c>
      <c r="B1017" t="s">
        <v>29</v>
      </c>
      <c r="C1017" t="s">
        <v>267</v>
      </c>
      <c r="D1017" t="s">
        <v>268</v>
      </c>
      <c r="E1017" t="s">
        <v>1</v>
      </c>
      <c r="F1017" t="s">
        <v>200</v>
      </c>
      <c r="G1017" t="s">
        <v>201</v>
      </c>
      <c r="H1017">
        <v>19</v>
      </c>
    </row>
    <row r="1018" spans="1:8" x14ac:dyDescent="0.3">
      <c r="A1018">
        <v>2019</v>
      </c>
      <c r="B1018" t="s">
        <v>29</v>
      </c>
      <c r="C1018" t="s">
        <v>267</v>
      </c>
      <c r="D1018" t="s">
        <v>268</v>
      </c>
      <c r="E1018" t="s">
        <v>203</v>
      </c>
      <c r="F1018" t="s">
        <v>200</v>
      </c>
      <c r="G1018" t="s">
        <v>201</v>
      </c>
      <c r="H1018">
        <v>1</v>
      </c>
    </row>
    <row r="1019" spans="1:8" x14ac:dyDescent="0.3">
      <c r="A1019">
        <v>2019</v>
      </c>
      <c r="B1019" t="s">
        <v>29</v>
      </c>
      <c r="C1019" t="s">
        <v>267</v>
      </c>
      <c r="D1019" t="s">
        <v>268</v>
      </c>
      <c r="E1019" t="s">
        <v>204</v>
      </c>
      <c r="F1019" t="s">
        <v>200</v>
      </c>
      <c r="G1019" t="s">
        <v>201</v>
      </c>
      <c r="H1019">
        <v>0</v>
      </c>
    </row>
    <row r="1020" spans="1:8" x14ac:dyDescent="0.3">
      <c r="A1020">
        <v>2019</v>
      </c>
      <c r="B1020" t="s">
        <v>29</v>
      </c>
      <c r="C1020" t="s">
        <v>267</v>
      </c>
      <c r="D1020" t="s">
        <v>268</v>
      </c>
      <c r="E1020" t="s">
        <v>205</v>
      </c>
      <c r="F1020" t="s">
        <v>200</v>
      </c>
      <c r="G1020" t="s">
        <v>201</v>
      </c>
      <c r="H1020">
        <v>0</v>
      </c>
    </row>
    <row r="1021" spans="1:8" x14ac:dyDescent="0.3">
      <c r="A1021">
        <v>2019</v>
      </c>
      <c r="B1021" t="s">
        <v>29</v>
      </c>
      <c r="C1021" t="s">
        <v>267</v>
      </c>
      <c r="D1021" t="s">
        <v>268</v>
      </c>
      <c r="E1021" t="s">
        <v>206</v>
      </c>
      <c r="F1021" t="s">
        <v>200</v>
      </c>
      <c r="G1021" t="s">
        <v>201</v>
      </c>
      <c r="H1021">
        <v>3</v>
      </c>
    </row>
    <row r="1022" spans="1:8" x14ac:dyDescent="0.3">
      <c r="A1022">
        <v>2019</v>
      </c>
      <c r="B1022" t="s">
        <v>30</v>
      </c>
      <c r="C1022" t="s">
        <v>267</v>
      </c>
      <c r="D1022" t="s">
        <v>268</v>
      </c>
      <c r="E1022" t="s">
        <v>1</v>
      </c>
      <c r="F1022" t="s">
        <v>200</v>
      </c>
      <c r="G1022" t="s">
        <v>201</v>
      </c>
      <c r="H1022">
        <v>3</v>
      </c>
    </row>
    <row r="1023" spans="1:8" x14ac:dyDescent="0.3">
      <c r="A1023">
        <v>2019</v>
      </c>
      <c r="B1023" t="s">
        <v>30</v>
      </c>
      <c r="C1023" t="s">
        <v>267</v>
      </c>
      <c r="D1023" t="s">
        <v>268</v>
      </c>
      <c r="E1023" t="s">
        <v>203</v>
      </c>
      <c r="F1023" t="s">
        <v>200</v>
      </c>
      <c r="G1023" t="s">
        <v>201</v>
      </c>
      <c r="H1023">
        <v>0</v>
      </c>
    </row>
    <row r="1024" spans="1:8" x14ac:dyDescent="0.3">
      <c r="A1024">
        <v>2019</v>
      </c>
      <c r="B1024" t="s">
        <v>30</v>
      </c>
      <c r="C1024" t="s">
        <v>267</v>
      </c>
      <c r="D1024" t="s">
        <v>268</v>
      </c>
      <c r="E1024" t="s">
        <v>204</v>
      </c>
      <c r="F1024" t="s">
        <v>200</v>
      </c>
      <c r="G1024" t="s">
        <v>201</v>
      </c>
      <c r="H1024">
        <v>0</v>
      </c>
    </row>
    <row r="1025" spans="1:8" x14ac:dyDescent="0.3">
      <c r="A1025">
        <v>2019</v>
      </c>
      <c r="B1025" t="s">
        <v>30</v>
      </c>
      <c r="C1025" t="s">
        <v>267</v>
      </c>
      <c r="D1025" t="s">
        <v>268</v>
      </c>
      <c r="E1025" t="s">
        <v>205</v>
      </c>
      <c r="F1025" t="s">
        <v>200</v>
      </c>
      <c r="G1025" t="s">
        <v>201</v>
      </c>
      <c r="H1025">
        <v>0</v>
      </c>
    </row>
    <row r="1026" spans="1:8" x14ac:dyDescent="0.3">
      <c r="A1026">
        <v>2019</v>
      </c>
      <c r="B1026" t="s">
        <v>30</v>
      </c>
      <c r="C1026" t="s">
        <v>267</v>
      </c>
      <c r="D1026" t="s">
        <v>268</v>
      </c>
      <c r="E1026" t="s">
        <v>206</v>
      </c>
      <c r="F1026" t="s">
        <v>200</v>
      </c>
      <c r="G1026" t="s">
        <v>201</v>
      </c>
      <c r="H1026">
        <v>4</v>
      </c>
    </row>
    <row r="1027" spans="1:8" x14ac:dyDescent="0.3">
      <c r="A1027">
        <v>2019</v>
      </c>
      <c r="B1027" t="s">
        <v>31</v>
      </c>
      <c r="C1027" t="s">
        <v>267</v>
      </c>
      <c r="D1027" t="s">
        <v>268</v>
      </c>
      <c r="E1027" t="s">
        <v>1</v>
      </c>
      <c r="F1027" t="s">
        <v>200</v>
      </c>
      <c r="G1027" t="s">
        <v>201</v>
      </c>
      <c r="H1027">
        <v>3</v>
      </c>
    </row>
    <row r="1028" spans="1:8" x14ac:dyDescent="0.3">
      <c r="A1028">
        <v>2019</v>
      </c>
      <c r="B1028" t="s">
        <v>31</v>
      </c>
      <c r="C1028" t="s">
        <v>267</v>
      </c>
      <c r="D1028" t="s">
        <v>268</v>
      </c>
      <c r="E1028" t="s">
        <v>203</v>
      </c>
      <c r="F1028" t="s">
        <v>200</v>
      </c>
      <c r="G1028" t="s">
        <v>201</v>
      </c>
      <c r="H1028">
        <v>1</v>
      </c>
    </row>
    <row r="1029" spans="1:8" x14ac:dyDescent="0.3">
      <c r="A1029">
        <v>2019</v>
      </c>
      <c r="B1029" t="s">
        <v>31</v>
      </c>
      <c r="C1029" t="s">
        <v>267</v>
      </c>
      <c r="D1029" t="s">
        <v>268</v>
      </c>
      <c r="E1029" t="s">
        <v>204</v>
      </c>
      <c r="F1029" t="s">
        <v>200</v>
      </c>
      <c r="G1029" t="s">
        <v>201</v>
      </c>
      <c r="H1029">
        <v>0</v>
      </c>
    </row>
    <row r="1030" spans="1:8" x14ac:dyDescent="0.3">
      <c r="A1030">
        <v>2019</v>
      </c>
      <c r="B1030" t="s">
        <v>31</v>
      </c>
      <c r="C1030" t="s">
        <v>267</v>
      </c>
      <c r="D1030" t="s">
        <v>268</v>
      </c>
      <c r="E1030" t="s">
        <v>205</v>
      </c>
      <c r="F1030" t="s">
        <v>200</v>
      </c>
      <c r="G1030" t="s">
        <v>201</v>
      </c>
      <c r="H1030">
        <v>0</v>
      </c>
    </row>
    <row r="1031" spans="1:8" x14ac:dyDescent="0.3">
      <c r="A1031">
        <v>2019</v>
      </c>
      <c r="B1031" t="s">
        <v>31</v>
      </c>
      <c r="C1031" t="s">
        <v>267</v>
      </c>
      <c r="D1031" t="s">
        <v>268</v>
      </c>
      <c r="E1031" t="s">
        <v>206</v>
      </c>
      <c r="F1031" t="s">
        <v>200</v>
      </c>
      <c r="G1031" t="s">
        <v>201</v>
      </c>
      <c r="H1031">
        <v>31.5</v>
      </c>
    </row>
    <row r="1032" spans="1:8" x14ac:dyDescent="0.3">
      <c r="A1032">
        <v>2019</v>
      </c>
      <c r="B1032" t="s">
        <v>32</v>
      </c>
      <c r="C1032" t="s">
        <v>267</v>
      </c>
      <c r="D1032" t="s">
        <v>268</v>
      </c>
      <c r="E1032" t="s">
        <v>1</v>
      </c>
      <c r="F1032" t="s">
        <v>200</v>
      </c>
      <c r="G1032" t="s">
        <v>201</v>
      </c>
      <c r="H1032">
        <v>3</v>
      </c>
    </row>
    <row r="1033" spans="1:8" x14ac:dyDescent="0.3">
      <c r="A1033">
        <v>2019</v>
      </c>
      <c r="B1033" t="s">
        <v>32</v>
      </c>
      <c r="C1033" t="s">
        <v>267</v>
      </c>
      <c r="D1033" t="s">
        <v>268</v>
      </c>
      <c r="E1033" t="s">
        <v>203</v>
      </c>
      <c r="F1033" t="s">
        <v>200</v>
      </c>
      <c r="G1033" t="s">
        <v>201</v>
      </c>
      <c r="H1033">
        <v>1</v>
      </c>
    </row>
    <row r="1034" spans="1:8" x14ac:dyDescent="0.3">
      <c r="A1034">
        <v>2019</v>
      </c>
      <c r="B1034" t="s">
        <v>32</v>
      </c>
      <c r="C1034" t="s">
        <v>267</v>
      </c>
      <c r="D1034" t="s">
        <v>268</v>
      </c>
      <c r="E1034" t="s">
        <v>204</v>
      </c>
      <c r="F1034" t="s">
        <v>200</v>
      </c>
      <c r="G1034" t="s">
        <v>201</v>
      </c>
    </row>
    <row r="1035" spans="1:8" x14ac:dyDescent="0.3">
      <c r="A1035">
        <v>2019</v>
      </c>
      <c r="B1035" t="s">
        <v>32</v>
      </c>
      <c r="C1035" t="s">
        <v>267</v>
      </c>
      <c r="D1035" t="s">
        <v>268</v>
      </c>
      <c r="E1035" t="s">
        <v>205</v>
      </c>
      <c r="F1035" t="s">
        <v>200</v>
      </c>
      <c r="G1035" t="s">
        <v>201</v>
      </c>
    </row>
    <row r="1036" spans="1:8" x14ac:dyDescent="0.3">
      <c r="A1036">
        <v>2019</v>
      </c>
      <c r="B1036" t="s">
        <v>32</v>
      </c>
      <c r="C1036" t="s">
        <v>267</v>
      </c>
      <c r="D1036" t="s">
        <v>268</v>
      </c>
      <c r="E1036" t="s">
        <v>206</v>
      </c>
      <c r="F1036" t="s">
        <v>200</v>
      </c>
      <c r="G1036" t="s">
        <v>201</v>
      </c>
    </row>
    <row r="1037" spans="1:8" x14ac:dyDescent="0.3">
      <c r="A1037">
        <v>2019</v>
      </c>
      <c r="B1037" t="s">
        <v>49</v>
      </c>
      <c r="C1037" t="s">
        <v>267</v>
      </c>
      <c r="D1037" t="s">
        <v>268</v>
      </c>
      <c r="E1037" t="s">
        <v>1</v>
      </c>
      <c r="F1037" t="s">
        <v>200</v>
      </c>
      <c r="G1037" t="s">
        <v>201</v>
      </c>
      <c r="H1037">
        <v>1</v>
      </c>
    </row>
    <row r="1038" spans="1:8" x14ac:dyDescent="0.3">
      <c r="A1038">
        <v>2019</v>
      </c>
      <c r="B1038" t="s">
        <v>49</v>
      </c>
      <c r="C1038" t="s">
        <v>267</v>
      </c>
      <c r="D1038" t="s">
        <v>268</v>
      </c>
      <c r="E1038" t="s">
        <v>203</v>
      </c>
      <c r="F1038" t="s">
        <v>200</v>
      </c>
      <c r="G1038" t="s">
        <v>201</v>
      </c>
      <c r="H1038">
        <v>0</v>
      </c>
    </row>
    <row r="1039" spans="1:8" x14ac:dyDescent="0.3">
      <c r="A1039">
        <v>2019</v>
      </c>
      <c r="B1039" t="s">
        <v>49</v>
      </c>
      <c r="C1039" t="s">
        <v>267</v>
      </c>
      <c r="D1039" t="s">
        <v>268</v>
      </c>
      <c r="E1039" t="s">
        <v>204</v>
      </c>
      <c r="F1039" t="s">
        <v>200</v>
      </c>
      <c r="G1039" t="s">
        <v>201</v>
      </c>
      <c r="H1039">
        <v>0</v>
      </c>
    </row>
    <row r="1040" spans="1:8" x14ac:dyDescent="0.3">
      <c r="A1040">
        <v>2019</v>
      </c>
      <c r="B1040" t="s">
        <v>49</v>
      </c>
      <c r="C1040" t="s">
        <v>267</v>
      </c>
      <c r="D1040" t="s">
        <v>268</v>
      </c>
      <c r="E1040" t="s">
        <v>205</v>
      </c>
      <c r="F1040" t="s">
        <v>200</v>
      </c>
      <c r="G1040" t="s">
        <v>201</v>
      </c>
      <c r="H1040">
        <v>0</v>
      </c>
    </row>
    <row r="1041" spans="1:8" x14ac:dyDescent="0.3">
      <c r="A1041">
        <v>2019</v>
      </c>
      <c r="B1041" t="s">
        <v>49</v>
      </c>
      <c r="C1041" t="s">
        <v>267</v>
      </c>
      <c r="D1041" t="s">
        <v>268</v>
      </c>
      <c r="E1041" t="s">
        <v>206</v>
      </c>
      <c r="F1041" t="s">
        <v>200</v>
      </c>
      <c r="G1041" t="s">
        <v>201</v>
      </c>
      <c r="H1041">
        <v>0</v>
      </c>
    </row>
    <row r="1042" spans="1:8" x14ac:dyDescent="0.3">
      <c r="A1042">
        <v>2019</v>
      </c>
      <c r="B1042" t="s">
        <v>33</v>
      </c>
      <c r="C1042" t="s">
        <v>267</v>
      </c>
      <c r="D1042" t="s">
        <v>268</v>
      </c>
      <c r="E1042" t="s">
        <v>1</v>
      </c>
      <c r="F1042" t="s">
        <v>200</v>
      </c>
      <c r="G1042" t="s">
        <v>201</v>
      </c>
      <c r="H1042">
        <v>5</v>
      </c>
    </row>
    <row r="1043" spans="1:8" x14ac:dyDescent="0.3">
      <c r="A1043">
        <v>2019</v>
      </c>
      <c r="B1043" t="s">
        <v>33</v>
      </c>
      <c r="C1043" t="s">
        <v>267</v>
      </c>
      <c r="D1043" t="s">
        <v>268</v>
      </c>
      <c r="E1043" t="s">
        <v>203</v>
      </c>
      <c r="F1043" t="s">
        <v>200</v>
      </c>
      <c r="G1043" t="s">
        <v>201</v>
      </c>
      <c r="H1043">
        <v>2</v>
      </c>
    </row>
    <row r="1044" spans="1:8" x14ac:dyDescent="0.3">
      <c r="A1044">
        <v>2019</v>
      </c>
      <c r="B1044" t="s">
        <v>33</v>
      </c>
      <c r="C1044" t="s">
        <v>267</v>
      </c>
      <c r="D1044" t="s">
        <v>268</v>
      </c>
      <c r="E1044" t="s">
        <v>204</v>
      </c>
      <c r="F1044" t="s">
        <v>200</v>
      </c>
      <c r="G1044" t="s">
        <v>201</v>
      </c>
      <c r="H1044">
        <v>0</v>
      </c>
    </row>
    <row r="1045" spans="1:8" x14ac:dyDescent="0.3">
      <c r="A1045">
        <v>2019</v>
      </c>
      <c r="B1045" t="s">
        <v>33</v>
      </c>
      <c r="C1045" t="s">
        <v>267</v>
      </c>
      <c r="D1045" t="s">
        <v>268</v>
      </c>
      <c r="E1045" t="s">
        <v>205</v>
      </c>
      <c r="F1045" t="s">
        <v>200</v>
      </c>
      <c r="G1045" t="s">
        <v>201</v>
      </c>
      <c r="H1045">
        <v>0</v>
      </c>
    </row>
    <row r="1046" spans="1:8" x14ac:dyDescent="0.3">
      <c r="A1046">
        <v>2019</v>
      </c>
      <c r="B1046" t="s">
        <v>33</v>
      </c>
      <c r="C1046" t="s">
        <v>267</v>
      </c>
      <c r="D1046" t="s">
        <v>268</v>
      </c>
      <c r="E1046" t="s">
        <v>206</v>
      </c>
      <c r="F1046" t="s">
        <v>200</v>
      </c>
      <c r="G1046" t="s">
        <v>201</v>
      </c>
      <c r="H1046">
        <v>37</v>
      </c>
    </row>
    <row r="1047" spans="1:8" x14ac:dyDescent="0.3">
      <c r="A1047">
        <v>2019</v>
      </c>
      <c r="B1047" t="s">
        <v>34</v>
      </c>
      <c r="C1047" t="s">
        <v>267</v>
      </c>
      <c r="D1047" t="s">
        <v>268</v>
      </c>
      <c r="E1047" t="s">
        <v>1</v>
      </c>
      <c r="F1047" t="s">
        <v>200</v>
      </c>
      <c r="G1047" t="s">
        <v>201</v>
      </c>
      <c r="H1047">
        <v>2</v>
      </c>
    </row>
    <row r="1048" spans="1:8" x14ac:dyDescent="0.3">
      <c r="A1048">
        <v>2019</v>
      </c>
      <c r="B1048" t="s">
        <v>34</v>
      </c>
      <c r="C1048" t="s">
        <v>267</v>
      </c>
      <c r="D1048" t="s">
        <v>268</v>
      </c>
      <c r="E1048" t="s">
        <v>203</v>
      </c>
      <c r="F1048" t="s">
        <v>200</v>
      </c>
      <c r="G1048" t="s">
        <v>201</v>
      </c>
      <c r="H1048">
        <v>0</v>
      </c>
    </row>
    <row r="1049" spans="1:8" x14ac:dyDescent="0.3">
      <c r="A1049">
        <v>2019</v>
      </c>
      <c r="B1049" t="s">
        <v>34</v>
      </c>
      <c r="C1049" t="s">
        <v>267</v>
      </c>
      <c r="D1049" t="s">
        <v>268</v>
      </c>
      <c r="E1049" t="s">
        <v>204</v>
      </c>
      <c r="F1049" t="s">
        <v>200</v>
      </c>
      <c r="G1049" t="s">
        <v>201</v>
      </c>
      <c r="H1049">
        <v>0</v>
      </c>
    </row>
    <row r="1050" spans="1:8" x14ac:dyDescent="0.3">
      <c r="A1050">
        <v>2019</v>
      </c>
      <c r="B1050" t="s">
        <v>34</v>
      </c>
      <c r="C1050" t="s">
        <v>267</v>
      </c>
      <c r="D1050" t="s">
        <v>268</v>
      </c>
      <c r="E1050" t="s">
        <v>205</v>
      </c>
      <c r="F1050" t="s">
        <v>200</v>
      </c>
      <c r="G1050" t="s">
        <v>201</v>
      </c>
      <c r="H1050">
        <v>0</v>
      </c>
    </row>
    <row r="1051" spans="1:8" x14ac:dyDescent="0.3">
      <c r="A1051">
        <v>2019</v>
      </c>
      <c r="B1051" t="s">
        <v>34</v>
      </c>
      <c r="C1051" t="s">
        <v>267</v>
      </c>
      <c r="D1051" t="s">
        <v>268</v>
      </c>
      <c r="E1051" t="s">
        <v>206</v>
      </c>
      <c r="F1051" t="s">
        <v>200</v>
      </c>
      <c r="G1051" t="s">
        <v>201</v>
      </c>
      <c r="H1051">
        <v>2</v>
      </c>
    </row>
    <row r="1052" spans="1:8" x14ac:dyDescent="0.3">
      <c r="A1052">
        <v>2019</v>
      </c>
      <c r="B1052" t="s">
        <v>35</v>
      </c>
      <c r="C1052" t="s">
        <v>267</v>
      </c>
      <c r="D1052" t="s">
        <v>268</v>
      </c>
      <c r="E1052" t="s">
        <v>1</v>
      </c>
      <c r="F1052" t="s">
        <v>200</v>
      </c>
      <c r="G1052" t="s">
        <v>201</v>
      </c>
      <c r="H1052">
        <v>2</v>
      </c>
    </row>
    <row r="1053" spans="1:8" x14ac:dyDescent="0.3">
      <c r="A1053">
        <v>2019</v>
      </c>
      <c r="B1053" t="s">
        <v>35</v>
      </c>
      <c r="C1053" t="s">
        <v>267</v>
      </c>
      <c r="D1053" t="s">
        <v>268</v>
      </c>
      <c r="E1053" t="s">
        <v>203</v>
      </c>
      <c r="F1053" t="s">
        <v>200</v>
      </c>
      <c r="G1053" t="s">
        <v>201</v>
      </c>
      <c r="H1053">
        <v>1</v>
      </c>
    </row>
    <row r="1054" spans="1:8" x14ac:dyDescent="0.3">
      <c r="A1054">
        <v>2019</v>
      </c>
      <c r="B1054" t="s">
        <v>35</v>
      </c>
      <c r="C1054" t="s">
        <v>267</v>
      </c>
      <c r="D1054" t="s">
        <v>268</v>
      </c>
      <c r="E1054" t="s">
        <v>204</v>
      </c>
      <c r="F1054" t="s">
        <v>200</v>
      </c>
      <c r="G1054" t="s">
        <v>201</v>
      </c>
      <c r="H1054">
        <v>1</v>
      </c>
    </row>
    <row r="1055" spans="1:8" x14ac:dyDescent="0.3">
      <c r="A1055">
        <v>2019</v>
      </c>
      <c r="B1055" t="s">
        <v>35</v>
      </c>
      <c r="C1055" t="s">
        <v>267</v>
      </c>
      <c r="D1055" t="s">
        <v>268</v>
      </c>
      <c r="E1055" t="s">
        <v>205</v>
      </c>
      <c r="F1055" t="s">
        <v>200</v>
      </c>
      <c r="G1055" t="s">
        <v>201</v>
      </c>
      <c r="H1055">
        <v>0</v>
      </c>
    </row>
    <row r="1056" spans="1:8" x14ac:dyDescent="0.3">
      <c r="A1056">
        <v>2019</v>
      </c>
      <c r="B1056" t="s">
        <v>35</v>
      </c>
      <c r="C1056" t="s">
        <v>267</v>
      </c>
      <c r="D1056" t="s">
        <v>268</v>
      </c>
      <c r="E1056" t="s">
        <v>206</v>
      </c>
      <c r="F1056" t="s">
        <v>200</v>
      </c>
      <c r="G1056" t="s">
        <v>201</v>
      </c>
    </row>
    <row r="1057" spans="1:8" x14ac:dyDescent="0.3">
      <c r="A1057">
        <v>2019</v>
      </c>
      <c r="B1057" t="s">
        <v>36</v>
      </c>
      <c r="C1057" t="s">
        <v>267</v>
      </c>
      <c r="D1057" t="s">
        <v>268</v>
      </c>
      <c r="E1057" t="s">
        <v>1</v>
      </c>
      <c r="F1057" t="s">
        <v>200</v>
      </c>
      <c r="G1057" t="s">
        <v>201</v>
      </c>
      <c r="H1057">
        <v>1</v>
      </c>
    </row>
    <row r="1058" spans="1:8" x14ac:dyDescent="0.3">
      <c r="A1058">
        <v>2019</v>
      </c>
      <c r="B1058" t="s">
        <v>36</v>
      </c>
      <c r="C1058" t="s">
        <v>267</v>
      </c>
      <c r="D1058" t="s">
        <v>268</v>
      </c>
      <c r="E1058" t="s">
        <v>203</v>
      </c>
      <c r="F1058" t="s">
        <v>200</v>
      </c>
      <c r="G1058" t="s">
        <v>201</v>
      </c>
      <c r="H1058">
        <v>0</v>
      </c>
    </row>
    <row r="1059" spans="1:8" x14ac:dyDescent="0.3">
      <c r="A1059">
        <v>2019</v>
      </c>
      <c r="B1059" t="s">
        <v>36</v>
      </c>
      <c r="C1059" t="s">
        <v>267</v>
      </c>
      <c r="D1059" t="s">
        <v>268</v>
      </c>
      <c r="E1059" t="s">
        <v>204</v>
      </c>
      <c r="F1059" t="s">
        <v>200</v>
      </c>
      <c r="G1059" t="s">
        <v>201</v>
      </c>
      <c r="H1059">
        <v>0</v>
      </c>
    </row>
    <row r="1060" spans="1:8" x14ac:dyDescent="0.3">
      <c r="A1060">
        <v>2019</v>
      </c>
      <c r="B1060" t="s">
        <v>36</v>
      </c>
      <c r="C1060" t="s">
        <v>267</v>
      </c>
      <c r="D1060" t="s">
        <v>268</v>
      </c>
      <c r="E1060" t="s">
        <v>205</v>
      </c>
      <c r="F1060" t="s">
        <v>200</v>
      </c>
      <c r="G1060" t="s">
        <v>201</v>
      </c>
      <c r="H1060">
        <v>0</v>
      </c>
    </row>
    <row r="1061" spans="1:8" x14ac:dyDescent="0.3">
      <c r="A1061">
        <v>2019</v>
      </c>
      <c r="B1061" t="s">
        <v>36</v>
      </c>
      <c r="C1061" t="s">
        <v>267</v>
      </c>
      <c r="D1061" t="s">
        <v>268</v>
      </c>
      <c r="E1061" t="s">
        <v>206</v>
      </c>
      <c r="F1061" t="s">
        <v>200</v>
      </c>
      <c r="G1061" t="s">
        <v>201</v>
      </c>
      <c r="H1061">
        <v>0</v>
      </c>
    </row>
    <row r="1062" spans="1:8" x14ac:dyDescent="0.3">
      <c r="A1062">
        <v>2019</v>
      </c>
      <c r="B1062" t="s">
        <v>37</v>
      </c>
      <c r="C1062" t="s">
        <v>267</v>
      </c>
      <c r="D1062" t="s">
        <v>268</v>
      </c>
      <c r="E1062" t="s">
        <v>1</v>
      </c>
      <c r="F1062" t="s">
        <v>200</v>
      </c>
      <c r="G1062" t="s">
        <v>201</v>
      </c>
      <c r="H1062">
        <v>6</v>
      </c>
    </row>
    <row r="1063" spans="1:8" x14ac:dyDescent="0.3">
      <c r="A1063">
        <v>2019</v>
      </c>
      <c r="B1063" t="s">
        <v>37</v>
      </c>
      <c r="C1063" t="s">
        <v>267</v>
      </c>
      <c r="D1063" t="s">
        <v>268</v>
      </c>
      <c r="E1063" t="s">
        <v>203</v>
      </c>
      <c r="F1063" t="s">
        <v>200</v>
      </c>
      <c r="G1063" t="s">
        <v>201</v>
      </c>
      <c r="H1063">
        <v>3</v>
      </c>
    </row>
    <row r="1064" spans="1:8" x14ac:dyDescent="0.3">
      <c r="A1064">
        <v>2019</v>
      </c>
      <c r="B1064" t="s">
        <v>37</v>
      </c>
      <c r="C1064" t="s">
        <v>267</v>
      </c>
      <c r="D1064" t="s">
        <v>268</v>
      </c>
      <c r="E1064" t="s">
        <v>204</v>
      </c>
      <c r="F1064" t="s">
        <v>200</v>
      </c>
      <c r="G1064" t="s">
        <v>201</v>
      </c>
      <c r="H1064">
        <v>1</v>
      </c>
    </row>
    <row r="1065" spans="1:8" x14ac:dyDescent="0.3">
      <c r="A1065">
        <v>2019</v>
      </c>
      <c r="B1065" t="s">
        <v>37</v>
      </c>
      <c r="C1065" t="s">
        <v>267</v>
      </c>
      <c r="D1065" t="s">
        <v>268</v>
      </c>
      <c r="E1065" t="s">
        <v>205</v>
      </c>
      <c r="F1065" t="s">
        <v>200</v>
      </c>
      <c r="G1065" t="s">
        <v>201</v>
      </c>
      <c r="H1065">
        <v>0</v>
      </c>
    </row>
    <row r="1066" spans="1:8" x14ac:dyDescent="0.3">
      <c r="A1066">
        <v>2019</v>
      </c>
      <c r="B1066" t="s">
        <v>37</v>
      </c>
      <c r="C1066" t="s">
        <v>267</v>
      </c>
      <c r="D1066" t="s">
        <v>268</v>
      </c>
      <c r="E1066" t="s">
        <v>206</v>
      </c>
      <c r="F1066" t="s">
        <v>200</v>
      </c>
      <c r="G1066" t="s">
        <v>201</v>
      </c>
      <c r="H1066">
        <v>314</v>
      </c>
    </row>
    <row r="1067" spans="1:8" x14ac:dyDescent="0.3">
      <c r="A1067">
        <v>2019</v>
      </c>
      <c r="B1067" t="s">
        <v>38</v>
      </c>
      <c r="C1067" t="s">
        <v>267</v>
      </c>
      <c r="D1067" t="s">
        <v>268</v>
      </c>
      <c r="E1067" t="s">
        <v>1</v>
      </c>
      <c r="F1067" t="s">
        <v>200</v>
      </c>
      <c r="G1067" t="s">
        <v>201</v>
      </c>
      <c r="H1067">
        <v>1</v>
      </c>
    </row>
    <row r="1068" spans="1:8" x14ac:dyDescent="0.3">
      <c r="A1068">
        <v>2019</v>
      </c>
      <c r="B1068" t="s">
        <v>38</v>
      </c>
      <c r="C1068" t="s">
        <v>267</v>
      </c>
      <c r="D1068" t="s">
        <v>268</v>
      </c>
      <c r="E1068" t="s">
        <v>203</v>
      </c>
      <c r="F1068" t="s">
        <v>200</v>
      </c>
      <c r="G1068" t="s">
        <v>201</v>
      </c>
      <c r="H1068">
        <v>0</v>
      </c>
    </row>
    <row r="1069" spans="1:8" x14ac:dyDescent="0.3">
      <c r="A1069">
        <v>2019</v>
      </c>
      <c r="B1069" t="s">
        <v>38</v>
      </c>
      <c r="C1069" t="s">
        <v>267</v>
      </c>
      <c r="D1069" t="s">
        <v>268</v>
      </c>
      <c r="E1069" t="s">
        <v>204</v>
      </c>
      <c r="F1069" t="s">
        <v>200</v>
      </c>
      <c r="G1069" t="s">
        <v>201</v>
      </c>
      <c r="H1069">
        <v>0</v>
      </c>
    </row>
    <row r="1070" spans="1:8" x14ac:dyDescent="0.3">
      <c r="A1070">
        <v>2019</v>
      </c>
      <c r="B1070" t="s">
        <v>38</v>
      </c>
      <c r="C1070" t="s">
        <v>267</v>
      </c>
      <c r="D1070" t="s">
        <v>268</v>
      </c>
      <c r="E1070" t="s">
        <v>205</v>
      </c>
      <c r="F1070" t="s">
        <v>200</v>
      </c>
      <c r="G1070" t="s">
        <v>201</v>
      </c>
      <c r="H1070">
        <v>0</v>
      </c>
    </row>
    <row r="1071" spans="1:8" x14ac:dyDescent="0.3">
      <c r="A1071">
        <v>2019</v>
      </c>
      <c r="B1071" t="s">
        <v>38</v>
      </c>
      <c r="C1071" t="s">
        <v>267</v>
      </c>
      <c r="D1071" t="s">
        <v>268</v>
      </c>
      <c r="E1071" t="s">
        <v>206</v>
      </c>
      <c r="F1071" t="s">
        <v>200</v>
      </c>
      <c r="G1071" t="s">
        <v>201</v>
      </c>
      <c r="H1071">
        <v>0</v>
      </c>
    </row>
    <row r="1072" spans="1:8" x14ac:dyDescent="0.3">
      <c r="A1072">
        <v>2019</v>
      </c>
      <c r="B1072" t="s">
        <v>39</v>
      </c>
      <c r="C1072" t="s">
        <v>267</v>
      </c>
      <c r="D1072" t="s">
        <v>268</v>
      </c>
      <c r="E1072" t="s">
        <v>1</v>
      </c>
      <c r="F1072" t="s">
        <v>200</v>
      </c>
      <c r="G1072" t="s">
        <v>201</v>
      </c>
      <c r="H1072">
        <v>0</v>
      </c>
    </row>
    <row r="1073" spans="1:8" x14ac:dyDescent="0.3">
      <c r="A1073">
        <v>2019</v>
      </c>
      <c r="B1073" t="s">
        <v>39</v>
      </c>
      <c r="C1073" t="s">
        <v>267</v>
      </c>
      <c r="D1073" t="s">
        <v>268</v>
      </c>
      <c r="E1073" t="s">
        <v>203</v>
      </c>
      <c r="F1073" t="s">
        <v>200</v>
      </c>
      <c r="G1073" t="s">
        <v>201</v>
      </c>
      <c r="H1073">
        <v>0</v>
      </c>
    </row>
    <row r="1074" spans="1:8" x14ac:dyDescent="0.3">
      <c r="A1074">
        <v>2019</v>
      </c>
      <c r="B1074" t="s">
        <v>39</v>
      </c>
      <c r="C1074" t="s">
        <v>267</v>
      </c>
      <c r="D1074" t="s">
        <v>268</v>
      </c>
      <c r="E1074" t="s">
        <v>204</v>
      </c>
      <c r="F1074" t="s">
        <v>200</v>
      </c>
      <c r="G1074" t="s">
        <v>201</v>
      </c>
      <c r="H1074">
        <v>0</v>
      </c>
    </row>
    <row r="1075" spans="1:8" x14ac:dyDescent="0.3">
      <c r="A1075">
        <v>2019</v>
      </c>
      <c r="B1075" t="s">
        <v>39</v>
      </c>
      <c r="C1075" t="s">
        <v>267</v>
      </c>
      <c r="D1075" t="s">
        <v>268</v>
      </c>
      <c r="E1075" t="s">
        <v>205</v>
      </c>
      <c r="F1075" t="s">
        <v>200</v>
      </c>
      <c r="G1075" t="s">
        <v>201</v>
      </c>
      <c r="H1075">
        <v>0</v>
      </c>
    </row>
    <row r="1076" spans="1:8" x14ac:dyDescent="0.3">
      <c r="A1076">
        <v>2019</v>
      </c>
      <c r="B1076" t="s">
        <v>39</v>
      </c>
      <c r="C1076" t="s">
        <v>267</v>
      </c>
      <c r="D1076" t="s">
        <v>268</v>
      </c>
      <c r="E1076" t="s">
        <v>206</v>
      </c>
      <c r="F1076" t="s">
        <v>200</v>
      </c>
      <c r="G1076" t="s">
        <v>201</v>
      </c>
      <c r="H1076">
        <v>0</v>
      </c>
    </row>
    <row r="1077" spans="1:8" x14ac:dyDescent="0.3">
      <c r="A1077">
        <v>2019</v>
      </c>
      <c r="B1077" t="s">
        <v>50</v>
      </c>
      <c r="C1077" t="s">
        <v>267</v>
      </c>
      <c r="D1077" t="s">
        <v>268</v>
      </c>
      <c r="E1077" t="s">
        <v>1</v>
      </c>
      <c r="F1077" t="s">
        <v>200</v>
      </c>
      <c r="G1077" t="s">
        <v>201</v>
      </c>
      <c r="H1077">
        <v>12</v>
      </c>
    </row>
    <row r="1078" spans="1:8" x14ac:dyDescent="0.3">
      <c r="A1078">
        <v>2019</v>
      </c>
      <c r="B1078" t="s">
        <v>50</v>
      </c>
      <c r="C1078" t="s">
        <v>267</v>
      </c>
      <c r="D1078" t="s">
        <v>268</v>
      </c>
      <c r="E1078" t="s">
        <v>203</v>
      </c>
      <c r="F1078" t="s">
        <v>200</v>
      </c>
      <c r="G1078" t="s">
        <v>201</v>
      </c>
      <c r="H1078">
        <v>1</v>
      </c>
    </row>
    <row r="1079" spans="1:8" x14ac:dyDescent="0.3">
      <c r="A1079">
        <v>2019</v>
      </c>
      <c r="B1079" t="s">
        <v>50</v>
      </c>
      <c r="C1079" t="s">
        <v>267</v>
      </c>
      <c r="D1079" t="s">
        <v>268</v>
      </c>
      <c r="E1079" t="s">
        <v>204</v>
      </c>
      <c r="F1079" t="s">
        <v>200</v>
      </c>
      <c r="G1079" t="s">
        <v>201</v>
      </c>
      <c r="H1079">
        <v>0</v>
      </c>
    </row>
    <row r="1080" spans="1:8" x14ac:dyDescent="0.3">
      <c r="A1080">
        <v>2019</v>
      </c>
      <c r="B1080" t="s">
        <v>50</v>
      </c>
      <c r="C1080" t="s">
        <v>267</v>
      </c>
      <c r="D1080" t="s">
        <v>268</v>
      </c>
      <c r="E1080" t="s">
        <v>205</v>
      </c>
      <c r="F1080" t="s">
        <v>200</v>
      </c>
      <c r="G1080" t="s">
        <v>201</v>
      </c>
      <c r="H1080">
        <v>0</v>
      </c>
    </row>
    <row r="1081" spans="1:8" x14ac:dyDescent="0.3">
      <c r="A1081">
        <v>2019</v>
      </c>
      <c r="B1081" t="s">
        <v>50</v>
      </c>
      <c r="C1081" t="s">
        <v>267</v>
      </c>
      <c r="D1081" t="s">
        <v>268</v>
      </c>
      <c r="E1081" t="s">
        <v>206</v>
      </c>
      <c r="F1081" t="s">
        <v>200</v>
      </c>
      <c r="G1081" t="s">
        <v>201</v>
      </c>
      <c r="H1081">
        <v>36</v>
      </c>
    </row>
    <row r="1082" spans="1:8" x14ac:dyDescent="0.3">
      <c r="A1082">
        <v>2019</v>
      </c>
      <c r="B1082" t="s">
        <v>40</v>
      </c>
      <c r="C1082" t="s">
        <v>267</v>
      </c>
      <c r="D1082" t="s">
        <v>268</v>
      </c>
      <c r="E1082" t="s">
        <v>1</v>
      </c>
      <c r="F1082" t="s">
        <v>200</v>
      </c>
      <c r="G1082" t="s">
        <v>201</v>
      </c>
      <c r="H1082">
        <v>3</v>
      </c>
    </row>
    <row r="1083" spans="1:8" x14ac:dyDescent="0.3">
      <c r="A1083">
        <v>2019</v>
      </c>
      <c r="B1083" t="s">
        <v>40</v>
      </c>
      <c r="C1083" t="s">
        <v>267</v>
      </c>
      <c r="D1083" t="s">
        <v>268</v>
      </c>
      <c r="E1083" t="s">
        <v>203</v>
      </c>
      <c r="F1083" t="s">
        <v>200</v>
      </c>
      <c r="G1083" t="s">
        <v>201</v>
      </c>
      <c r="H1083">
        <v>0</v>
      </c>
    </row>
    <row r="1084" spans="1:8" x14ac:dyDescent="0.3">
      <c r="A1084">
        <v>2019</v>
      </c>
      <c r="B1084" t="s">
        <v>40</v>
      </c>
      <c r="C1084" t="s">
        <v>267</v>
      </c>
      <c r="D1084" t="s">
        <v>268</v>
      </c>
      <c r="E1084" t="s">
        <v>204</v>
      </c>
      <c r="F1084" t="s">
        <v>200</v>
      </c>
      <c r="G1084" t="s">
        <v>201</v>
      </c>
      <c r="H1084">
        <v>0</v>
      </c>
    </row>
    <row r="1085" spans="1:8" x14ac:dyDescent="0.3">
      <c r="A1085">
        <v>2019</v>
      </c>
      <c r="B1085" t="s">
        <v>40</v>
      </c>
      <c r="C1085" t="s">
        <v>267</v>
      </c>
      <c r="D1085" t="s">
        <v>268</v>
      </c>
      <c r="E1085" t="s">
        <v>205</v>
      </c>
      <c r="F1085" t="s">
        <v>200</v>
      </c>
      <c r="G1085" t="s">
        <v>201</v>
      </c>
      <c r="H1085">
        <v>0</v>
      </c>
    </row>
    <row r="1086" spans="1:8" x14ac:dyDescent="0.3">
      <c r="A1086">
        <v>2019</v>
      </c>
      <c r="B1086" t="s">
        <v>40</v>
      </c>
      <c r="C1086" t="s">
        <v>267</v>
      </c>
      <c r="D1086" t="s">
        <v>268</v>
      </c>
      <c r="E1086" t="s">
        <v>206</v>
      </c>
      <c r="F1086" t="s">
        <v>200</v>
      </c>
      <c r="G1086" t="s">
        <v>201</v>
      </c>
      <c r="H1086">
        <v>7</v>
      </c>
    </row>
    <row r="1087" spans="1:8" x14ac:dyDescent="0.3">
      <c r="A1087">
        <v>2019</v>
      </c>
      <c r="B1087" t="s">
        <v>41</v>
      </c>
      <c r="C1087" t="s">
        <v>267</v>
      </c>
      <c r="D1087" t="s">
        <v>268</v>
      </c>
      <c r="E1087" t="s">
        <v>1</v>
      </c>
      <c r="F1087" t="s">
        <v>200</v>
      </c>
      <c r="G1087" t="s">
        <v>201</v>
      </c>
      <c r="H1087">
        <v>3</v>
      </c>
    </row>
    <row r="1088" spans="1:8" x14ac:dyDescent="0.3">
      <c r="A1088">
        <v>2019</v>
      </c>
      <c r="B1088" t="s">
        <v>41</v>
      </c>
      <c r="C1088" t="s">
        <v>267</v>
      </c>
      <c r="D1088" t="s">
        <v>268</v>
      </c>
      <c r="E1088" t="s">
        <v>203</v>
      </c>
      <c r="F1088" t="s">
        <v>200</v>
      </c>
      <c r="G1088" t="s">
        <v>201</v>
      </c>
      <c r="H1088">
        <v>0</v>
      </c>
    </row>
    <row r="1089" spans="1:8" x14ac:dyDescent="0.3">
      <c r="A1089">
        <v>2019</v>
      </c>
      <c r="B1089" t="s">
        <v>41</v>
      </c>
      <c r="C1089" t="s">
        <v>267</v>
      </c>
      <c r="D1089" t="s">
        <v>268</v>
      </c>
      <c r="E1089" t="s">
        <v>204</v>
      </c>
      <c r="F1089" t="s">
        <v>200</v>
      </c>
      <c r="G1089" t="s">
        <v>201</v>
      </c>
      <c r="H1089">
        <v>0</v>
      </c>
    </row>
    <row r="1090" spans="1:8" x14ac:dyDescent="0.3">
      <c r="A1090">
        <v>2019</v>
      </c>
      <c r="B1090" t="s">
        <v>41</v>
      </c>
      <c r="C1090" t="s">
        <v>267</v>
      </c>
      <c r="D1090" t="s">
        <v>268</v>
      </c>
      <c r="E1090" t="s">
        <v>205</v>
      </c>
      <c r="F1090" t="s">
        <v>200</v>
      </c>
      <c r="G1090" t="s">
        <v>201</v>
      </c>
      <c r="H1090">
        <v>0</v>
      </c>
    </row>
    <row r="1091" spans="1:8" x14ac:dyDescent="0.3">
      <c r="A1091">
        <v>2019</v>
      </c>
      <c r="B1091" t="s">
        <v>41</v>
      </c>
      <c r="C1091" t="s">
        <v>267</v>
      </c>
      <c r="D1091" t="s">
        <v>268</v>
      </c>
      <c r="E1091" t="s">
        <v>206</v>
      </c>
      <c r="F1091" t="s">
        <v>200</v>
      </c>
      <c r="G1091" t="s">
        <v>201</v>
      </c>
      <c r="H1091">
        <v>5</v>
      </c>
    </row>
    <row r="1092" spans="1:8" x14ac:dyDescent="0.3">
      <c r="A1092">
        <v>2019</v>
      </c>
      <c r="B1092" t="s">
        <v>42</v>
      </c>
      <c r="C1092" t="s">
        <v>267</v>
      </c>
      <c r="D1092" t="s">
        <v>268</v>
      </c>
      <c r="E1092" t="s">
        <v>1</v>
      </c>
      <c r="F1092" t="s">
        <v>200</v>
      </c>
      <c r="G1092" t="s">
        <v>201</v>
      </c>
      <c r="H1092">
        <v>1</v>
      </c>
    </row>
    <row r="1093" spans="1:8" x14ac:dyDescent="0.3">
      <c r="A1093">
        <v>2019</v>
      </c>
      <c r="B1093" t="s">
        <v>42</v>
      </c>
      <c r="C1093" t="s">
        <v>267</v>
      </c>
      <c r="D1093" t="s">
        <v>268</v>
      </c>
      <c r="E1093" t="s">
        <v>203</v>
      </c>
      <c r="F1093" t="s">
        <v>200</v>
      </c>
      <c r="G1093" t="s">
        <v>201</v>
      </c>
      <c r="H1093">
        <v>1</v>
      </c>
    </row>
    <row r="1094" spans="1:8" x14ac:dyDescent="0.3">
      <c r="A1094">
        <v>2019</v>
      </c>
      <c r="B1094" t="s">
        <v>42</v>
      </c>
      <c r="C1094" t="s">
        <v>267</v>
      </c>
      <c r="D1094" t="s">
        <v>268</v>
      </c>
      <c r="E1094" t="s">
        <v>204</v>
      </c>
      <c r="F1094" t="s">
        <v>200</v>
      </c>
      <c r="G1094" t="s">
        <v>201</v>
      </c>
      <c r="H1094">
        <v>0</v>
      </c>
    </row>
    <row r="1095" spans="1:8" x14ac:dyDescent="0.3">
      <c r="A1095">
        <v>2019</v>
      </c>
      <c r="B1095" t="s">
        <v>42</v>
      </c>
      <c r="C1095" t="s">
        <v>267</v>
      </c>
      <c r="D1095" t="s">
        <v>268</v>
      </c>
      <c r="E1095" t="s">
        <v>205</v>
      </c>
      <c r="F1095" t="s">
        <v>200</v>
      </c>
      <c r="G1095" t="s">
        <v>201</v>
      </c>
      <c r="H1095">
        <v>0</v>
      </c>
    </row>
    <row r="1096" spans="1:8" x14ac:dyDescent="0.3">
      <c r="A1096">
        <v>2019</v>
      </c>
      <c r="B1096" t="s">
        <v>42</v>
      </c>
      <c r="C1096" t="s">
        <v>267</v>
      </c>
      <c r="D1096" t="s">
        <v>268</v>
      </c>
      <c r="E1096" t="s">
        <v>206</v>
      </c>
      <c r="F1096" t="s">
        <v>200</v>
      </c>
      <c r="G1096" t="s">
        <v>201</v>
      </c>
      <c r="H1096">
        <v>0</v>
      </c>
    </row>
    <row r="1097" spans="1:8" x14ac:dyDescent="0.3">
      <c r="A1097">
        <v>2019</v>
      </c>
      <c r="B1097" t="s">
        <v>215</v>
      </c>
      <c r="C1097" t="s">
        <v>267</v>
      </c>
      <c r="D1097" t="s">
        <v>268</v>
      </c>
      <c r="E1097" t="s">
        <v>1</v>
      </c>
      <c r="F1097" t="s">
        <v>200</v>
      </c>
      <c r="G1097" t="s">
        <v>201</v>
      </c>
      <c r="H1097">
        <v>6</v>
      </c>
    </row>
    <row r="1098" spans="1:8" x14ac:dyDescent="0.3">
      <c r="A1098">
        <v>2019</v>
      </c>
      <c r="B1098" t="s">
        <v>215</v>
      </c>
      <c r="C1098" t="s">
        <v>267</v>
      </c>
      <c r="D1098" t="s">
        <v>268</v>
      </c>
      <c r="E1098" t="s">
        <v>203</v>
      </c>
      <c r="F1098" t="s">
        <v>200</v>
      </c>
      <c r="G1098" t="s">
        <v>201</v>
      </c>
      <c r="H1098">
        <v>0</v>
      </c>
    </row>
    <row r="1099" spans="1:8" x14ac:dyDescent="0.3">
      <c r="A1099">
        <v>2019</v>
      </c>
      <c r="B1099" t="s">
        <v>215</v>
      </c>
      <c r="C1099" t="s">
        <v>267</v>
      </c>
      <c r="D1099" t="s">
        <v>268</v>
      </c>
      <c r="E1099" t="s">
        <v>204</v>
      </c>
      <c r="F1099" t="s">
        <v>200</v>
      </c>
      <c r="G1099" t="s">
        <v>201</v>
      </c>
      <c r="H1099">
        <v>0</v>
      </c>
    </row>
    <row r="1100" spans="1:8" x14ac:dyDescent="0.3">
      <c r="A1100">
        <v>2019</v>
      </c>
      <c r="B1100" t="s">
        <v>215</v>
      </c>
      <c r="C1100" t="s">
        <v>267</v>
      </c>
      <c r="D1100" t="s">
        <v>268</v>
      </c>
      <c r="E1100" t="s">
        <v>205</v>
      </c>
      <c r="F1100" t="s">
        <v>200</v>
      </c>
      <c r="G1100" t="s">
        <v>201</v>
      </c>
      <c r="H1100">
        <v>0</v>
      </c>
    </row>
    <row r="1101" spans="1:8" x14ac:dyDescent="0.3">
      <c r="A1101">
        <v>2019</v>
      </c>
      <c r="B1101" t="s">
        <v>215</v>
      </c>
      <c r="C1101" t="s">
        <v>267</v>
      </c>
      <c r="D1101" t="s">
        <v>268</v>
      </c>
      <c r="E1101" t="s">
        <v>206</v>
      </c>
      <c r="F1101" t="s">
        <v>200</v>
      </c>
      <c r="G1101" t="s">
        <v>201</v>
      </c>
      <c r="H1101">
        <v>0</v>
      </c>
    </row>
    <row r="1102" spans="1:8" x14ac:dyDescent="0.3">
      <c r="A1102">
        <v>2019</v>
      </c>
      <c r="B1102" t="s">
        <v>43</v>
      </c>
      <c r="C1102" t="s">
        <v>267</v>
      </c>
      <c r="D1102" t="s">
        <v>268</v>
      </c>
      <c r="E1102" t="s">
        <v>1</v>
      </c>
      <c r="F1102" t="s">
        <v>200</v>
      </c>
      <c r="G1102" t="s">
        <v>201</v>
      </c>
      <c r="H1102">
        <v>2</v>
      </c>
    </row>
    <row r="1103" spans="1:8" x14ac:dyDescent="0.3">
      <c r="A1103">
        <v>2019</v>
      </c>
      <c r="B1103" t="s">
        <v>43</v>
      </c>
      <c r="C1103" t="s">
        <v>267</v>
      </c>
      <c r="D1103" t="s">
        <v>268</v>
      </c>
      <c r="E1103" t="s">
        <v>203</v>
      </c>
      <c r="F1103" t="s">
        <v>200</v>
      </c>
      <c r="G1103" t="s">
        <v>201</v>
      </c>
      <c r="H1103">
        <v>0</v>
      </c>
    </row>
    <row r="1104" spans="1:8" x14ac:dyDescent="0.3">
      <c r="A1104">
        <v>2019</v>
      </c>
      <c r="B1104" t="s">
        <v>43</v>
      </c>
      <c r="C1104" t="s">
        <v>267</v>
      </c>
      <c r="D1104" t="s">
        <v>268</v>
      </c>
      <c r="E1104" t="s">
        <v>204</v>
      </c>
      <c r="F1104" t="s">
        <v>200</v>
      </c>
      <c r="G1104" t="s">
        <v>201</v>
      </c>
      <c r="H1104">
        <v>0</v>
      </c>
    </row>
    <row r="1105" spans="1:8" x14ac:dyDescent="0.3">
      <c r="A1105">
        <v>2019</v>
      </c>
      <c r="B1105" t="s">
        <v>43</v>
      </c>
      <c r="C1105" t="s">
        <v>267</v>
      </c>
      <c r="D1105" t="s">
        <v>268</v>
      </c>
      <c r="E1105" t="s">
        <v>205</v>
      </c>
      <c r="F1105" t="s">
        <v>200</v>
      </c>
      <c r="G1105" t="s">
        <v>201</v>
      </c>
      <c r="H1105">
        <v>0</v>
      </c>
    </row>
    <row r="1106" spans="1:8" x14ac:dyDescent="0.3">
      <c r="A1106">
        <v>2019</v>
      </c>
      <c r="B1106" t="s">
        <v>43</v>
      </c>
      <c r="C1106" t="s">
        <v>267</v>
      </c>
      <c r="D1106" t="s">
        <v>268</v>
      </c>
      <c r="E1106" t="s">
        <v>206</v>
      </c>
      <c r="F1106" t="s">
        <v>200</v>
      </c>
      <c r="G1106" t="s">
        <v>201</v>
      </c>
      <c r="H1106">
        <v>0</v>
      </c>
    </row>
    <row r="1107" spans="1:8" x14ac:dyDescent="0.3">
      <c r="A1107">
        <v>2019</v>
      </c>
      <c r="B1107" t="s">
        <v>52</v>
      </c>
      <c r="C1107" t="s">
        <v>267</v>
      </c>
      <c r="D1107" t="s">
        <v>268</v>
      </c>
      <c r="E1107" t="s">
        <v>1</v>
      </c>
      <c r="F1107" t="s">
        <v>200</v>
      </c>
      <c r="G1107" t="s">
        <v>201</v>
      </c>
      <c r="H1107">
        <v>5</v>
      </c>
    </row>
    <row r="1108" spans="1:8" x14ac:dyDescent="0.3">
      <c r="A1108">
        <v>2019</v>
      </c>
      <c r="B1108" t="s">
        <v>52</v>
      </c>
      <c r="C1108" t="s">
        <v>267</v>
      </c>
      <c r="D1108" t="s">
        <v>268</v>
      </c>
      <c r="E1108" t="s">
        <v>203</v>
      </c>
      <c r="F1108" t="s">
        <v>200</v>
      </c>
      <c r="G1108" t="s">
        <v>201</v>
      </c>
      <c r="H1108">
        <v>0</v>
      </c>
    </row>
    <row r="1109" spans="1:8" x14ac:dyDescent="0.3">
      <c r="A1109">
        <v>2019</v>
      </c>
      <c r="B1109" t="s">
        <v>52</v>
      </c>
      <c r="C1109" t="s">
        <v>267</v>
      </c>
      <c r="D1109" t="s">
        <v>268</v>
      </c>
      <c r="E1109" t="s">
        <v>204</v>
      </c>
      <c r="F1109" t="s">
        <v>200</v>
      </c>
      <c r="G1109" t="s">
        <v>201</v>
      </c>
      <c r="H1109">
        <v>0</v>
      </c>
    </row>
    <row r="1110" spans="1:8" x14ac:dyDescent="0.3">
      <c r="A1110">
        <v>2019</v>
      </c>
      <c r="B1110" t="s">
        <v>52</v>
      </c>
      <c r="C1110" t="s">
        <v>267</v>
      </c>
      <c r="D1110" t="s">
        <v>268</v>
      </c>
      <c r="E1110" t="s">
        <v>205</v>
      </c>
      <c r="F1110" t="s">
        <v>200</v>
      </c>
      <c r="G1110" t="s">
        <v>201</v>
      </c>
      <c r="H1110">
        <v>0</v>
      </c>
    </row>
    <row r="1111" spans="1:8" x14ac:dyDescent="0.3">
      <c r="A1111">
        <v>2019</v>
      </c>
      <c r="B1111" t="s">
        <v>52</v>
      </c>
      <c r="C1111" t="s">
        <v>267</v>
      </c>
      <c r="D1111" t="s">
        <v>268</v>
      </c>
      <c r="E1111" t="s">
        <v>206</v>
      </c>
      <c r="F1111" t="s">
        <v>200</v>
      </c>
      <c r="G1111" t="s">
        <v>201</v>
      </c>
      <c r="H1111">
        <v>13</v>
      </c>
    </row>
    <row r="1112" spans="1:8" x14ac:dyDescent="0.3">
      <c r="A1112">
        <v>2019</v>
      </c>
      <c r="B1112" t="s">
        <v>44</v>
      </c>
      <c r="C1112" t="s">
        <v>267</v>
      </c>
      <c r="D1112" t="s">
        <v>268</v>
      </c>
      <c r="E1112" t="s">
        <v>1</v>
      </c>
      <c r="F1112" t="s">
        <v>200</v>
      </c>
      <c r="G1112" t="s">
        <v>201</v>
      </c>
      <c r="H1112">
        <v>0</v>
      </c>
    </row>
    <row r="1113" spans="1:8" x14ac:dyDescent="0.3">
      <c r="A1113">
        <v>2019</v>
      </c>
      <c r="B1113" t="s">
        <v>44</v>
      </c>
      <c r="C1113" t="s">
        <v>267</v>
      </c>
      <c r="D1113" t="s">
        <v>268</v>
      </c>
      <c r="E1113" t="s">
        <v>203</v>
      </c>
      <c r="F1113" t="s">
        <v>200</v>
      </c>
      <c r="G1113" t="s">
        <v>201</v>
      </c>
      <c r="H1113">
        <v>0</v>
      </c>
    </row>
    <row r="1114" spans="1:8" x14ac:dyDescent="0.3">
      <c r="A1114">
        <v>2019</v>
      </c>
      <c r="B1114" t="s">
        <v>44</v>
      </c>
      <c r="C1114" t="s">
        <v>267</v>
      </c>
      <c r="D1114" t="s">
        <v>268</v>
      </c>
      <c r="E1114" t="s">
        <v>204</v>
      </c>
      <c r="F1114" t="s">
        <v>200</v>
      </c>
      <c r="G1114" t="s">
        <v>201</v>
      </c>
      <c r="H1114">
        <v>0</v>
      </c>
    </row>
    <row r="1115" spans="1:8" x14ac:dyDescent="0.3">
      <c r="A1115">
        <v>2019</v>
      </c>
      <c r="B1115" t="s">
        <v>44</v>
      </c>
      <c r="C1115" t="s">
        <v>267</v>
      </c>
      <c r="D1115" t="s">
        <v>268</v>
      </c>
      <c r="E1115" t="s">
        <v>205</v>
      </c>
      <c r="F1115" t="s">
        <v>200</v>
      </c>
      <c r="G1115" t="s">
        <v>201</v>
      </c>
      <c r="H1115">
        <v>0</v>
      </c>
    </row>
    <row r="1116" spans="1:8" x14ac:dyDescent="0.3">
      <c r="A1116">
        <v>2019</v>
      </c>
      <c r="B1116" t="s">
        <v>44</v>
      </c>
      <c r="C1116" t="s">
        <v>267</v>
      </c>
      <c r="D1116" t="s">
        <v>268</v>
      </c>
      <c r="E1116" t="s">
        <v>206</v>
      </c>
      <c r="F1116" t="s">
        <v>200</v>
      </c>
      <c r="G1116" t="s">
        <v>201</v>
      </c>
      <c r="H1116">
        <v>0</v>
      </c>
    </row>
    <row r="1117" spans="1:8" x14ac:dyDescent="0.3">
      <c r="A1117">
        <v>2019</v>
      </c>
      <c r="B1117" t="s">
        <v>53</v>
      </c>
      <c r="C1117" t="s">
        <v>267</v>
      </c>
      <c r="D1117" t="s">
        <v>268</v>
      </c>
      <c r="E1117" t="s">
        <v>1</v>
      </c>
      <c r="F1117" t="s">
        <v>200</v>
      </c>
      <c r="G1117" t="s">
        <v>201</v>
      </c>
      <c r="H1117">
        <v>1</v>
      </c>
    </row>
    <row r="1118" spans="1:8" x14ac:dyDescent="0.3">
      <c r="A1118">
        <v>2019</v>
      </c>
      <c r="B1118" t="s">
        <v>53</v>
      </c>
      <c r="C1118" t="s">
        <v>267</v>
      </c>
      <c r="D1118" t="s">
        <v>268</v>
      </c>
      <c r="E1118" t="s">
        <v>203</v>
      </c>
      <c r="F1118" t="s">
        <v>200</v>
      </c>
      <c r="G1118" t="s">
        <v>201</v>
      </c>
      <c r="H1118">
        <v>0</v>
      </c>
    </row>
    <row r="1119" spans="1:8" x14ac:dyDescent="0.3">
      <c r="A1119">
        <v>2019</v>
      </c>
      <c r="B1119" t="s">
        <v>53</v>
      </c>
      <c r="C1119" t="s">
        <v>267</v>
      </c>
      <c r="D1119" t="s">
        <v>268</v>
      </c>
      <c r="E1119" t="s">
        <v>204</v>
      </c>
      <c r="F1119" t="s">
        <v>200</v>
      </c>
      <c r="G1119" t="s">
        <v>201</v>
      </c>
      <c r="H1119">
        <v>0</v>
      </c>
    </row>
    <row r="1120" spans="1:8" x14ac:dyDescent="0.3">
      <c r="A1120">
        <v>2019</v>
      </c>
      <c r="B1120" t="s">
        <v>53</v>
      </c>
      <c r="C1120" t="s">
        <v>267</v>
      </c>
      <c r="D1120" t="s">
        <v>268</v>
      </c>
      <c r="E1120" t="s">
        <v>205</v>
      </c>
      <c r="F1120" t="s">
        <v>200</v>
      </c>
      <c r="G1120" t="s">
        <v>201</v>
      </c>
      <c r="H1120">
        <v>0</v>
      </c>
    </row>
    <row r="1121" spans="1:8" x14ac:dyDescent="0.3">
      <c r="A1121">
        <v>2019</v>
      </c>
      <c r="B1121" t="s">
        <v>53</v>
      </c>
      <c r="C1121" t="s">
        <v>267</v>
      </c>
      <c r="D1121" t="s">
        <v>268</v>
      </c>
      <c r="E1121" t="s">
        <v>206</v>
      </c>
      <c r="F1121" t="s">
        <v>200</v>
      </c>
      <c r="G1121" t="s">
        <v>201</v>
      </c>
      <c r="H1121">
        <v>0</v>
      </c>
    </row>
    <row r="1122" spans="1:8" x14ac:dyDescent="0.3">
      <c r="A1122">
        <v>2019</v>
      </c>
      <c r="B1122" t="s">
        <v>197</v>
      </c>
      <c r="C1122" t="s">
        <v>267</v>
      </c>
      <c r="D1122" t="s">
        <v>268</v>
      </c>
      <c r="E1122" t="s">
        <v>1</v>
      </c>
      <c r="F1122" t="s">
        <v>200</v>
      </c>
      <c r="G1122" t="s">
        <v>201</v>
      </c>
      <c r="H1122">
        <v>7</v>
      </c>
    </row>
    <row r="1123" spans="1:8" x14ac:dyDescent="0.3">
      <c r="A1123">
        <v>2019</v>
      </c>
      <c r="B1123" t="s">
        <v>197</v>
      </c>
      <c r="C1123" t="s">
        <v>267</v>
      </c>
      <c r="D1123" t="s">
        <v>268</v>
      </c>
      <c r="E1123" t="s">
        <v>203</v>
      </c>
      <c r="F1123" t="s">
        <v>200</v>
      </c>
      <c r="G1123" t="s">
        <v>201</v>
      </c>
      <c r="H1123">
        <v>1</v>
      </c>
    </row>
    <row r="1124" spans="1:8" x14ac:dyDescent="0.3">
      <c r="A1124">
        <v>2019</v>
      </c>
      <c r="B1124" t="s">
        <v>197</v>
      </c>
      <c r="C1124" t="s">
        <v>267</v>
      </c>
      <c r="D1124" t="s">
        <v>268</v>
      </c>
      <c r="E1124" t="s">
        <v>204</v>
      </c>
      <c r="F1124" t="s">
        <v>200</v>
      </c>
      <c r="G1124" t="s">
        <v>201</v>
      </c>
      <c r="H1124">
        <v>0</v>
      </c>
    </row>
    <row r="1125" spans="1:8" x14ac:dyDescent="0.3">
      <c r="A1125">
        <v>2019</v>
      </c>
      <c r="B1125" t="s">
        <v>197</v>
      </c>
      <c r="C1125" t="s">
        <v>267</v>
      </c>
      <c r="D1125" t="s">
        <v>268</v>
      </c>
      <c r="E1125" t="s">
        <v>205</v>
      </c>
      <c r="F1125" t="s">
        <v>200</v>
      </c>
      <c r="G1125" t="s">
        <v>201</v>
      </c>
      <c r="H1125">
        <v>0</v>
      </c>
    </row>
    <row r="1126" spans="1:8" x14ac:dyDescent="0.3">
      <c r="A1126">
        <v>2019</v>
      </c>
      <c r="B1126" t="s">
        <v>197</v>
      </c>
      <c r="C1126" t="s">
        <v>267</v>
      </c>
      <c r="D1126" t="s">
        <v>268</v>
      </c>
      <c r="E1126" t="s">
        <v>206</v>
      </c>
      <c r="F1126" t="s">
        <v>200</v>
      </c>
      <c r="G1126" t="s">
        <v>201</v>
      </c>
      <c r="H1126">
        <v>6</v>
      </c>
    </row>
    <row r="1127" spans="1:8" x14ac:dyDescent="0.3">
      <c r="A1127">
        <v>2019</v>
      </c>
      <c r="B1127" t="s">
        <v>8</v>
      </c>
      <c r="C1127" t="s">
        <v>267</v>
      </c>
      <c r="D1127" t="s">
        <v>268</v>
      </c>
      <c r="E1127" t="s">
        <v>1</v>
      </c>
      <c r="F1127" t="s">
        <v>200</v>
      </c>
      <c r="G1127" t="s">
        <v>202</v>
      </c>
      <c r="H1127">
        <v>0</v>
      </c>
    </row>
    <row r="1128" spans="1:8" x14ac:dyDescent="0.3">
      <c r="A1128">
        <v>2019</v>
      </c>
      <c r="B1128" t="s">
        <v>8</v>
      </c>
      <c r="C1128" t="s">
        <v>267</v>
      </c>
      <c r="D1128" t="s">
        <v>268</v>
      </c>
      <c r="E1128" t="s">
        <v>203</v>
      </c>
      <c r="F1128" t="s">
        <v>200</v>
      </c>
      <c r="G1128" t="s">
        <v>202</v>
      </c>
      <c r="H1128">
        <v>0</v>
      </c>
    </row>
    <row r="1129" spans="1:8" x14ac:dyDescent="0.3">
      <c r="A1129">
        <v>2019</v>
      </c>
      <c r="B1129" t="s">
        <v>8</v>
      </c>
      <c r="C1129" t="s">
        <v>267</v>
      </c>
      <c r="D1129" t="s">
        <v>268</v>
      </c>
      <c r="E1129" t="s">
        <v>204</v>
      </c>
      <c r="F1129" t="s">
        <v>200</v>
      </c>
      <c r="G1129" t="s">
        <v>202</v>
      </c>
      <c r="H1129">
        <v>0</v>
      </c>
    </row>
    <row r="1130" spans="1:8" x14ac:dyDescent="0.3">
      <c r="A1130">
        <v>2019</v>
      </c>
      <c r="B1130" t="s">
        <v>8</v>
      </c>
      <c r="C1130" t="s">
        <v>267</v>
      </c>
      <c r="D1130" t="s">
        <v>268</v>
      </c>
      <c r="E1130" t="s">
        <v>205</v>
      </c>
      <c r="F1130" t="s">
        <v>200</v>
      </c>
      <c r="G1130" t="s">
        <v>202</v>
      </c>
      <c r="H1130">
        <v>0</v>
      </c>
    </row>
    <row r="1131" spans="1:8" x14ac:dyDescent="0.3">
      <c r="A1131">
        <v>2019</v>
      </c>
      <c r="B1131" t="s">
        <v>8</v>
      </c>
      <c r="C1131" t="s">
        <v>267</v>
      </c>
      <c r="D1131" t="s">
        <v>268</v>
      </c>
      <c r="E1131" t="s">
        <v>206</v>
      </c>
      <c r="F1131" t="s">
        <v>200</v>
      </c>
      <c r="G1131" t="s">
        <v>202</v>
      </c>
      <c r="H1131">
        <v>0</v>
      </c>
    </row>
    <row r="1132" spans="1:8" x14ac:dyDescent="0.3">
      <c r="A1132">
        <v>2019</v>
      </c>
      <c r="B1132" t="s">
        <v>9</v>
      </c>
      <c r="C1132" t="s">
        <v>267</v>
      </c>
      <c r="D1132" t="s">
        <v>268</v>
      </c>
      <c r="E1132" t="s">
        <v>1</v>
      </c>
      <c r="F1132" t="s">
        <v>200</v>
      </c>
      <c r="G1132" t="s">
        <v>202</v>
      </c>
      <c r="H1132">
        <v>1</v>
      </c>
    </row>
    <row r="1133" spans="1:8" x14ac:dyDescent="0.3">
      <c r="A1133">
        <v>2019</v>
      </c>
      <c r="B1133" t="s">
        <v>9</v>
      </c>
      <c r="C1133" t="s">
        <v>267</v>
      </c>
      <c r="D1133" t="s">
        <v>268</v>
      </c>
      <c r="E1133" t="s">
        <v>203</v>
      </c>
      <c r="F1133" t="s">
        <v>200</v>
      </c>
      <c r="G1133" t="s">
        <v>202</v>
      </c>
      <c r="H1133">
        <v>0</v>
      </c>
    </row>
    <row r="1134" spans="1:8" x14ac:dyDescent="0.3">
      <c r="A1134">
        <v>2019</v>
      </c>
      <c r="B1134" t="s">
        <v>9</v>
      </c>
      <c r="C1134" t="s">
        <v>267</v>
      </c>
      <c r="D1134" t="s">
        <v>268</v>
      </c>
      <c r="E1134" t="s">
        <v>204</v>
      </c>
      <c r="F1134" t="s">
        <v>200</v>
      </c>
      <c r="G1134" t="s">
        <v>202</v>
      </c>
      <c r="H1134">
        <v>0</v>
      </c>
    </row>
    <row r="1135" spans="1:8" x14ac:dyDescent="0.3">
      <c r="A1135">
        <v>2019</v>
      </c>
      <c r="B1135" t="s">
        <v>9</v>
      </c>
      <c r="C1135" t="s">
        <v>267</v>
      </c>
      <c r="D1135" t="s">
        <v>268</v>
      </c>
      <c r="E1135" t="s">
        <v>205</v>
      </c>
      <c r="F1135" t="s">
        <v>200</v>
      </c>
      <c r="G1135" t="s">
        <v>202</v>
      </c>
    </row>
    <row r="1136" spans="1:8" x14ac:dyDescent="0.3">
      <c r="A1136">
        <v>2019</v>
      </c>
      <c r="B1136" t="s">
        <v>9</v>
      </c>
      <c r="C1136" t="s">
        <v>267</v>
      </c>
      <c r="D1136" t="s">
        <v>268</v>
      </c>
      <c r="E1136" t="s">
        <v>206</v>
      </c>
      <c r="F1136" t="s">
        <v>200</v>
      </c>
      <c r="G1136" t="s">
        <v>202</v>
      </c>
      <c r="H1136">
        <v>0</v>
      </c>
    </row>
    <row r="1137" spans="1:8" x14ac:dyDescent="0.3">
      <c r="A1137">
        <v>2019</v>
      </c>
      <c r="B1137" t="s">
        <v>10</v>
      </c>
      <c r="C1137" t="s">
        <v>267</v>
      </c>
      <c r="D1137" t="s">
        <v>268</v>
      </c>
      <c r="E1137" t="s">
        <v>1</v>
      </c>
      <c r="F1137" t="s">
        <v>200</v>
      </c>
      <c r="G1137" t="s">
        <v>202</v>
      </c>
      <c r="H1137">
        <v>0</v>
      </c>
    </row>
    <row r="1138" spans="1:8" x14ac:dyDescent="0.3">
      <c r="A1138">
        <v>2019</v>
      </c>
      <c r="B1138" t="s">
        <v>10</v>
      </c>
      <c r="C1138" t="s">
        <v>267</v>
      </c>
      <c r="D1138" t="s">
        <v>268</v>
      </c>
      <c r="E1138" t="s">
        <v>203</v>
      </c>
      <c r="F1138" t="s">
        <v>200</v>
      </c>
      <c r="G1138" t="s">
        <v>202</v>
      </c>
      <c r="H1138">
        <v>0</v>
      </c>
    </row>
    <row r="1139" spans="1:8" x14ac:dyDescent="0.3">
      <c r="A1139">
        <v>2019</v>
      </c>
      <c r="B1139" t="s">
        <v>10</v>
      </c>
      <c r="C1139" t="s">
        <v>267</v>
      </c>
      <c r="D1139" t="s">
        <v>268</v>
      </c>
      <c r="E1139" t="s">
        <v>204</v>
      </c>
      <c r="F1139" t="s">
        <v>200</v>
      </c>
      <c r="G1139" t="s">
        <v>202</v>
      </c>
      <c r="H1139">
        <v>0</v>
      </c>
    </row>
    <row r="1140" spans="1:8" x14ac:dyDescent="0.3">
      <c r="A1140">
        <v>2019</v>
      </c>
      <c r="B1140" t="s">
        <v>10</v>
      </c>
      <c r="C1140" t="s">
        <v>267</v>
      </c>
      <c r="D1140" t="s">
        <v>268</v>
      </c>
      <c r="E1140" t="s">
        <v>205</v>
      </c>
      <c r="F1140" t="s">
        <v>200</v>
      </c>
      <c r="G1140" t="s">
        <v>202</v>
      </c>
      <c r="H1140">
        <v>0</v>
      </c>
    </row>
    <row r="1141" spans="1:8" x14ac:dyDescent="0.3">
      <c r="A1141">
        <v>2019</v>
      </c>
      <c r="B1141" t="s">
        <v>10</v>
      </c>
      <c r="C1141" t="s">
        <v>267</v>
      </c>
      <c r="D1141" t="s">
        <v>268</v>
      </c>
      <c r="E1141" t="s">
        <v>206</v>
      </c>
      <c r="F1141" t="s">
        <v>200</v>
      </c>
      <c r="G1141" t="s">
        <v>202</v>
      </c>
      <c r="H1141">
        <v>0</v>
      </c>
    </row>
    <row r="1142" spans="1:8" x14ac:dyDescent="0.3">
      <c r="A1142">
        <v>2019</v>
      </c>
      <c r="B1142" t="s">
        <v>11</v>
      </c>
      <c r="C1142" t="s">
        <v>267</v>
      </c>
      <c r="D1142" t="s">
        <v>268</v>
      </c>
      <c r="E1142" t="s">
        <v>1</v>
      </c>
      <c r="F1142" t="s">
        <v>200</v>
      </c>
      <c r="G1142" t="s">
        <v>202</v>
      </c>
      <c r="H1142">
        <v>0</v>
      </c>
    </row>
    <row r="1143" spans="1:8" x14ac:dyDescent="0.3">
      <c r="A1143">
        <v>2019</v>
      </c>
      <c r="B1143" t="s">
        <v>11</v>
      </c>
      <c r="C1143" t="s">
        <v>267</v>
      </c>
      <c r="D1143" t="s">
        <v>268</v>
      </c>
      <c r="E1143" t="s">
        <v>203</v>
      </c>
      <c r="F1143" t="s">
        <v>200</v>
      </c>
      <c r="G1143" t="s">
        <v>202</v>
      </c>
      <c r="H1143">
        <v>0</v>
      </c>
    </row>
    <row r="1144" spans="1:8" x14ac:dyDescent="0.3">
      <c r="A1144">
        <v>2019</v>
      </c>
      <c r="B1144" t="s">
        <v>11</v>
      </c>
      <c r="C1144" t="s">
        <v>267</v>
      </c>
      <c r="D1144" t="s">
        <v>268</v>
      </c>
      <c r="E1144" t="s">
        <v>204</v>
      </c>
      <c r="F1144" t="s">
        <v>200</v>
      </c>
      <c r="G1144" t="s">
        <v>202</v>
      </c>
      <c r="H1144">
        <v>0</v>
      </c>
    </row>
    <row r="1145" spans="1:8" x14ac:dyDescent="0.3">
      <c r="A1145">
        <v>2019</v>
      </c>
      <c r="B1145" t="s">
        <v>11</v>
      </c>
      <c r="C1145" t="s">
        <v>267</v>
      </c>
      <c r="D1145" t="s">
        <v>268</v>
      </c>
      <c r="E1145" t="s">
        <v>205</v>
      </c>
      <c r="F1145" t="s">
        <v>200</v>
      </c>
      <c r="G1145" t="s">
        <v>202</v>
      </c>
      <c r="H1145">
        <v>0</v>
      </c>
    </row>
    <row r="1146" spans="1:8" x14ac:dyDescent="0.3">
      <c r="A1146">
        <v>2019</v>
      </c>
      <c r="B1146" t="s">
        <v>11</v>
      </c>
      <c r="C1146" t="s">
        <v>267</v>
      </c>
      <c r="D1146" t="s">
        <v>268</v>
      </c>
      <c r="E1146" t="s">
        <v>206</v>
      </c>
      <c r="F1146" t="s">
        <v>200</v>
      </c>
      <c r="G1146" t="s">
        <v>202</v>
      </c>
      <c r="H1146">
        <v>0</v>
      </c>
    </row>
    <row r="1147" spans="1:8" x14ac:dyDescent="0.3">
      <c r="A1147">
        <v>2019</v>
      </c>
      <c r="B1147" t="s">
        <v>12</v>
      </c>
      <c r="C1147" t="s">
        <v>267</v>
      </c>
      <c r="D1147" t="s">
        <v>268</v>
      </c>
      <c r="E1147" t="s">
        <v>1</v>
      </c>
      <c r="F1147" t="s">
        <v>200</v>
      </c>
      <c r="G1147" t="s">
        <v>202</v>
      </c>
    </row>
    <row r="1148" spans="1:8" x14ac:dyDescent="0.3">
      <c r="A1148">
        <v>2019</v>
      </c>
      <c r="B1148" t="s">
        <v>12</v>
      </c>
      <c r="C1148" t="s">
        <v>267</v>
      </c>
      <c r="D1148" t="s">
        <v>268</v>
      </c>
      <c r="E1148" t="s">
        <v>203</v>
      </c>
      <c r="F1148" t="s">
        <v>200</v>
      </c>
      <c r="G1148" t="s">
        <v>202</v>
      </c>
    </row>
    <row r="1149" spans="1:8" x14ac:dyDescent="0.3">
      <c r="A1149">
        <v>2019</v>
      </c>
      <c r="B1149" t="s">
        <v>12</v>
      </c>
      <c r="C1149" t="s">
        <v>267</v>
      </c>
      <c r="D1149" t="s">
        <v>268</v>
      </c>
      <c r="E1149" t="s">
        <v>204</v>
      </c>
      <c r="F1149" t="s">
        <v>200</v>
      </c>
      <c r="G1149" t="s">
        <v>202</v>
      </c>
    </row>
    <row r="1150" spans="1:8" x14ac:dyDescent="0.3">
      <c r="A1150">
        <v>2019</v>
      </c>
      <c r="B1150" t="s">
        <v>12</v>
      </c>
      <c r="C1150" t="s">
        <v>267</v>
      </c>
      <c r="D1150" t="s">
        <v>268</v>
      </c>
      <c r="E1150" t="s">
        <v>205</v>
      </c>
      <c r="F1150" t="s">
        <v>200</v>
      </c>
      <c r="G1150" t="s">
        <v>202</v>
      </c>
    </row>
    <row r="1151" spans="1:8" x14ac:dyDescent="0.3">
      <c r="A1151">
        <v>2019</v>
      </c>
      <c r="B1151" t="s">
        <v>12</v>
      </c>
      <c r="C1151" t="s">
        <v>267</v>
      </c>
      <c r="D1151" t="s">
        <v>268</v>
      </c>
      <c r="E1151" t="s">
        <v>206</v>
      </c>
      <c r="F1151" t="s">
        <v>200</v>
      </c>
      <c r="G1151" t="s">
        <v>202</v>
      </c>
    </row>
    <row r="1152" spans="1:8" x14ac:dyDescent="0.3">
      <c r="A1152">
        <v>2019</v>
      </c>
      <c r="B1152" t="s">
        <v>13</v>
      </c>
      <c r="C1152" t="s">
        <v>267</v>
      </c>
      <c r="D1152" t="s">
        <v>268</v>
      </c>
      <c r="E1152" t="s">
        <v>1</v>
      </c>
      <c r="F1152" t="s">
        <v>200</v>
      </c>
      <c r="G1152" t="s">
        <v>202</v>
      </c>
      <c r="H1152">
        <v>1</v>
      </c>
    </row>
    <row r="1153" spans="1:8" x14ac:dyDescent="0.3">
      <c r="A1153">
        <v>2019</v>
      </c>
      <c r="B1153" t="s">
        <v>13</v>
      </c>
      <c r="C1153" t="s">
        <v>267</v>
      </c>
      <c r="D1153" t="s">
        <v>268</v>
      </c>
      <c r="E1153" t="s">
        <v>203</v>
      </c>
      <c r="F1153" t="s">
        <v>200</v>
      </c>
      <c r="G1153" t="s">
        <v>202</v>
      </c>
      <c r="H1153">
        <v>0</v>
      </c>
    </row>
    <row r="1154" spans="1:8" x14ac:dyDescent="0.3">
      <c r="A1154">
        <v>2019</v>
      </c>
      <c r="B1154" t="s">
        <v>13</v>
      </c>
      <c r="C1154" t="s">
        <v>267</v>
      </c>
      <c r="D1154" t="s">
        <v>268</v>
      </c>
      <c r="E1154" t="s">
        <v>204</v>
      </c>
      <c r="F1154" t="s">
        <v>200</v>
      </c>
      <c r="G1154" t="s">
        <v>202</v>
      </c>
      <c r="H1154">
        <v>1</v>
      </c>
    </row>
    <row r="1155" spans="1:8" x14ac:dyDescent="0.3">
      <c r="A1155">
        <v>2019</v>
      </c>
      <c r="B1155" t="s">
        <v>13</v>
      </c>
      <c r="C1155" t="s">
        <v>267</v>
      </c>
      <c r="D1155" t="s">
        <v>268</v>
      </c>
      <c r="E1155" t="s">
        <v>205</v>
      </c>
      <c r="F1155" t="s">
        <v>200</v>
      </c>
      <c r="G1155" t="s">
        <v>202</v>
      </c>
      <c r="H1155">
        <v>0</v>
      </c>
    </row>
    <row r="1156" spans="1:8" x14ac:dyDescent="0.3">
      <c r="A1156">
        <v>2019</v>
      </c>
      <c r="B1156" t="s">
        <v>13</v>
      </c>
      <c r="C1156" t="s">
        <v>267</v>
      </c>
      <c r="D1156" t="s">
        <v>268</v>
      </c>
      <c r="E1156" t="s">
        <v>206</v>
      </c>
      <c r="F1156" t="s">
        <v>200</v>
      </c>
      <c r="G1156" t="s">
        <v>202</v>
      </c>
      <c r="H1156">
        <v>0</v>
      </c>
    </row>
    <row r="1157" spans="1:8" x14ac:dyDescent="0.3">
      <c r="A1157">
        <v>2019</v>
      </c>
      <c r="B1157" t="s">
        <v>14</v>
      </c>
      <c r="C1157" t="s">
        <v>267</v>
      </c>
      <c r="D1157" t="s">
        <v>268</v>
      </c>
      <c r="E1157" t="s">
        <v>1</v>
      </c>
      <c r="F1157" t="s">
        <v>200</v>
      </c>
      <c r="G1157" t="s">
        <v>202</v>
      </c>
      <c r="H1157">
        <v>0</v>
      </c>
    </row>
    <row r="1158" spans="1:8" x14ac:dyDescent="0.3">
      <c r="A1158">
        <v>2019</v>
      </c>
      <c r="B1158" t="s">
        <v>14</v>
      </c>
      <c r="C1158" t="s">
        <v>267</v>
      </c>
      <c r="D1158" t="s">
        <v>268</v>
      </c>
      <c r="E1158" t="s">
        <v>203</v>
      </c>
      <c r="F1158" t="s">
        <v>200</v>
      </c>
      <c r="G1158" t="s">
        <v>202</v>
      </c>
      <c r="H1158">
        <v>0</v>
      </c>
    </row>
    <row r="1159" spans="1:8" x14ac:dyDescent="0.3">
      <c r="A1159">
        <v>2019</v>
      </c>
      <c r="B1159" t="s">
        <v>14</v>
      </c>
      <c r="C1159" t="s">
        <v>267</v>
      </c>
      <c r="D1159" t="s">
        <v>268</v>
      </c>
      <c r="E1159" t="s">
        <v>204</v>
      </c>
      <c r="F1159" t="s">
        <v>200</v>
      </c>
      <c r="G1159" t="s">
        <v>202</v>
      </c>
      <c r="H1159">
        <v>0</v>
      </c>
    </row>
    <row r="1160" spans="1:8" x14ac:dyDescent="0.3">
      <c r="A1160">
        <v>2019</v>
      </c>
      <c r="B1160" t="s">
        <v>14</v>
      </c>
      <c r="C1160" t="s">
        <v>267</v>
      </c>
      <c r="D1160" t="s">
        <v>268</v>
      </c>
      <c r="E1160" t="s">
        <v>205</v>
      </c>
      <c r="F1160" t="s">
        <v>200</v>
      </c>
      <c r="G1160" t="s">
        <v>202</v>
      </c>
      <c r="H1160">
        <v>0</v>
      </c>
    </row>
    <row r="1161" spans="1:8" x14ac:dyDescent="0.3">
      <c r="A1161">
        <v>2019</v>
      </c>
      <c r="B1161" t="s">
        <v>14</v>
      </c>
      <c r="C1161" t="s">
        <v>267</v>
      </c>
      <c r="D1161" t="s">
        <v>268</v>
      </c>
      <c r="E1161" t="s">
        <v>206</v>
      </c>
      <c r="F1161" t="s">
        <v>200</v>
      </c>
      <c r="G1161" t="s">
        <v>202</v>
      </c>
      <c r="H1161">
        <v>0</v>
      </c>
    </row>
    <row r="1162" spans="1:8" x14ac:dyDescent="0.3">
      <c r="A1162">
        <v>2019</v>
      </c>
      <c r="B1162" t="s">
        <v>15</v>
      </c>
      <c r="C1162" t="s">
        <v>267</v>
      </c>
      <c r="D1162" t="s">
        <v>268</v>
      </c>
      <c r="E1162" t="s">
        <v>1</v>
      </c>
      <c r="F1162" t="s">
        <v>200</v>
      </c>
      <c r="G1162" t="s">
        <v>202</v>
      </c>
      <c r="H1162">
        <v>0</v>
      </c>
    </row>
    <row r="1163" spans="1:8" x14ac:dyDescent="0.3">
      <c r="A1163">
        <v>2019</v>
      </c>
      <c r="B1163" t="s">
        <v>15</v>
      </c>
      <c r="C1163" t="s">
        <v>267</v>
      </c>
      <c r="D1163" t="s">
        <v>268</v>
      </c>
      <c r="E1163" t="s">
        <v>203</v>
      </c>
      <c r="F1163" t="s">
        <v>200</v>
      </c>
      <c r="G1163" t="s">
        <v>202</v>
      </c>
      <c r="H1163">
        <v>0</v>
      </c>
    </row>
    <row r="1164" spans="1:8" x14ac:dyDescent="0.3">
      <c r="A1164">
        <v>2019</v>
      </c>
      <c r="B1164" t="s">
        <v>15</v>
      </c>
      <c r="C1164" t="s">
        <v>267</v>
      </c>
      <c r="D1164" t="s">
        <v>268</v>
      </c>
      <c r="E1164" t="s">
        <v>204</v>
      </c>
      <c r="F1164" t="s">
        <v>200</v>
      </c>
      <c r="G1164" t="s">
        <v>202</v>
      </c>
      <c r="H1164">
        <v>0</v>
      </c>
    </row>
    <row r="1165" spans="1:8" x14ac:dyDescent="0.3">
      <c r="A1165">
        <v>2019</v>
      </c>
      <c r="B1165" t="s">
        <v>15</v>
      </c>
      <c r="C1165" t="s">
        <v>267</v>
      </c>
      <c r="D1165" t="s">
        <v>268</v>
      </c>
      <c r="E1165" t="s">
        <v>205</v>
      </c>
      <c r="F1165" t="s">
        <v>200</v>
      </c>
      <c r="G1165" t="s">
        <v>202</v>
      </c>
      <c r="H1165">
        <v>0</v>
      </c>
    </row>
    <row r="1166" spans="1:8" x14ac:dyDescent="0.3">
      <c r="A1166">
        <v>2019</v>
      </c>
      <c r="B1166" t="s">
        <v>15</v>
      </c>
      <c r="C1166" t="s">
        <v>267</v>
      </c>
      <c r="D1166" t="s">
        <v>268</v>
      </c>
      <c r="E1166" t="s">
        <v>206</v>
      </c>
      <c r="F1166" t="s">
        <v>200</v>
      </c>
      <c r="G1166" t="s">
        <v>202</v>
      </c>
    </row>
    <row r="1167" spans="1:8" x14ac:dyDescent="0.3">
      <c r="A1167">
        <v>2019</v>
      </c>
      <c r="B1167" t="s">
        <v>16</v>
      </c>
      <c r="C1167" t="s">
        <v>267</v>
      </c>
      <c r="D1167" t="s">
        <v>268</v>
      </c>
      <c r="E1167" t="s">
        <v>1</v>
      </c>
      <c r="F1167" t="s">
        <v>200</v>
      </c>
      <c r="G1167" t="s">
        <v>202</v>
      </c>
      <c r="H1167">
        <v>0</v>
      </c>
    </row>
    <row r="1168" spans="1:8" x14ac:dyDescent="0.3">
      <c r="A1168">
        <v>2019</v>
      </c>
      <c r="B1168" t="s">
        <v>16</v>
      </c>
      <c r="C1168" t="s">
        <v>267</v>
      </c>
      <c r="D1168" t="s">
        <v>268</v>
      </c>
      <c r="E1168" t="s">
        <v>203</v>
      </c>
      <c r="F1168" t="s">
        <v>200</v>
      </c>
      <c r="G1168" t="s">
        <v>202</v>
      </c>
      <c r="H1168">
        <v>0</v>
      </c>
    </row>
    <row r="1169" spans="1:8" x14ac:dyDescent="0.3">
      <c r="A1169">
        <v>2019</v>
      </c>
      <c r="B1169" t="s">
        <v>16</v>
      </c>
      <c r="C1169" t="s">
        <v>267</v>
      </c>
      <c r="D1169" t="s">
        <v>268</v>
      </c>
      <c r="E1169" t="s">
        <v>204</v>
      </c>
      <c r="F1169" t="s">
        <v>200</v>
      </c>
      <c r="G1169" t="s">
        <v>202</v>
      </c>
      <c r="H1169">
        <v>0</v>
      </c>
    </row>
    <row r="1170" spans="1:8" x14ac:dyDescent="0.3">
      <c r="A1170">
        <v>2019</v>
      </c>
      <c r="B1170" t="s">
        <v>16</v>
      </c>
      <c r="C1170" t="s">
        <v>267</v>
      </c>
      <c r="D1170" t="s">
        <v>268</v>
      </c>
      <c r="E1170" t="s">
        <v>205</v>
      </c>
      <c r="F1170" t="s">
        <v>200</v>
      </c>
      <c r="G1170" t="s">
        <v>202</v>
      </c>
      <c r="H1170">
        <v>0</v>
      </c>
    </row>
    <row r="1171" spans="1:8" x14ac:dyDescent="0.3">
      <c r="A1171">
        <v>2019</v>
      </c>
      <c r="B1171" t="s">
        <v>16</v>
      </c>
      <c r="C1171" t="s">
        <v>267</v>
      </c>
      <c r="D1171" t="s">
        <v>268</v>
      </c>
      <c r="E1171" t="s">
        <v>206</v>
      </c>
      <c r="F1171" t="s">
        <v>200</v>
      </c>
      <c r="G1171" t="s">
        <v>202</v>
      </c>
      <c r="H1171">
        <v>0</v>
      </c>
    </row>
    <row r="1172" spans="1:8" x14ac:dyDescent="0.3">
      <c r="A1172">
        <v>2019</v>
      </c>
      <c r="B1172" t="s">
        <v>17</v>
      </c>
      <c r="C1172" t="s">
        <v>267</v>
      </c>
      <c r="D1172" t="s">
        <v>268</v>
      </c>
      <c r="E1172" t="s">
        <v>1</v>
      </c>
      <c r="F1172" t="s">
        <v>200</v>
      </c>
      <c r="G1172" t="s">
        <v>202</v>
      </c>
      <c r="H1172">
        <v>0</v>
      </c>
    </row>
    <row r="1173" spans="1:8" x14ac:dyDescent="0.3">
      <c r="A1173">
        <v>2019</v>
      </c>
      <c r="B1173" t="s">
        <v>17</v>
      </c>
      <c r="C1173" t="s">
        <v>267</v>
      </c>
      <c r="D1173" t="s">
        <v>268</v>
      </c>
      <c r="E1173" t="s">
        <v>203</v>
      </c>
      <c r="F1173" t="s">
        <v>200</v>
      </c>
      <c r="G1173" t="s">
        <v>202</v>
      </c>
      <c r="H1173">
        <v>0</v>
      </c>
    </row>
    <row r="1174" spans="1:8" x14ac:dyDescent="0.3">
      <c r="A1174">
        <v>2019</v>
      </c>
      <c r="B1174" t="s">
        <v>17</v>
      </c>
      <c r="C1174" t="s">
        <v>267</v>
      </c>
      <c r="D1174" t="s">
        <v>268</v>
      </c>
      <c r="E1174" t="s">
        <v>204</v>
      </c>
      <c r="F1174" t="s">
        <v>200</v>
      </c>
      <c r="G1174" t="s">
        <v>202</v>
      </c>
      <c r="H1174">
        <v>0</v>
      </c>
    </row>
    <row r="1175" spans="1:8" x14ac:dyDescent="0.3">
      <c r="A1175">
        <v>2019</v>
      </c>
      <c r="B1175" t="s">
        <v>17</v>
      </c>
      <c r="C1175" t="s">
        <v>267</v>
      </c>
      <c r="D1175" t="s">
        <v>268</v>
      </c>
      <c r="E1175" t="s">
        <v>205</v>
      </c>
      <c r="F1175" t="s">
        <v>200</v>
      </c>
      <c r="G1175" t="s">
        <v>202</v>
      </c>
      <c r="H1175">
        <v>0</v>
      </c>
    </row>
    <row r="1176" spans="1:8" x14ac:dyDescent="0.3">
      <c r="A1176">
        <v>2019</v>
      </c>
      <c r="B1176" t="s">
        <v>17</v>
      </c>
      <c r="C1176" t="s">
        <v>267</v>
      </c>
      <c r="D1176" t="s">
        <v>268</v>
      </c>
      <c r="E1176" t="s">
        <v>206</v>
      </c>
      <c r="F1176" t="s">
        <v>200</v>
      </c>
      <c r="G1176" t="s">
        <v>202</v>
      </c>
      <c r="H1176">
        <v>0</v>
      </c>
    </row>
    <row r="1177" spans="1:8" x14ac:dyDescent="0.3">
      <c r="A1177">
        <v>2019</v>
      </c>
      <c r="B1177" t="s">
        <v>163</v>
      </c>
      <c r="C1177" t="s">
        <v>267</v>
      </c>
      <c r="D1177" t="s">
        <v>268</v>
      </c>
      <c r="E1177" t="s">
        <v>1</v>
      </c>
      <c r="F1177" t="s">
        <v>200</v>
      </c>
      <c r="G1177" t="s">
        <v>202</v>
      </c>
      <c r="H1177">
        <v>2</v>
      </c>
    </row>
    <row r="1178" spans="1:8" x14ac:dyDescent="0.3">
      <c r="A1178">
        <v>2019</v>
      </c>
      <c r="B1178" t="s">
        <v>163</v>
      </c>
      <c r="C1178" t="s">
        <v>267</v>
      </c>
      <c r="D1178" t="s">
        <v>268</v>
      </c>
      <c r="E1178" t="s">
        <v>203</v>
      </c>
      <c r="F1178" t="s">
        <v>200</v>
      </c>
      <c r="G1178" t="s">
        <v>202</v>
      </c>
      <c r="H1178">
        <v>0</v>
      </c>
    </row>
    <row r="1179" spans="1:8" x14ac:dyDescent="0.3">
      <c r="A1179">
        <v>2019</v>
      </c>
      <c r="B1179" t="s">
        <v>163</v>
      </c>
      <c r="C1179" t="s">
        <v>267</v>
      </c>
      <c r="D1179" t="s">
        <v>268</v>
      </c>
      <c r="E1179" t="s">
        <v>204</v>
      </c>
      <c r="F1179" t="s">
        <v>200</v>
      </c>
      <c r="G1179" t="s">
        <v>202</v>
      </c>
      <c r="H1179">
        <v>0</v>
      </c>
    </row>
    <row r="1180" spans="1:8" x14ac:dyDescent="0.3">
      <c r="A1180">
        <v>2019</v>
      </c>
      <c r="B1180" t="s">
        <v>163</v>
      </c>
      <c r="C1180" t="s">
        <v>267</v>
      </c>
      <c r="D1180" t="s">
        <v>268</v>
      </c>
      <c r="E1180" t="s">
        <v>205</v>
      </c>
      <c r="F1180" t="s">
        <v>200</v>
      </c>
      <c r="G1180" t="s">
        <v>202</v>
      </c>
      <c r="H1180">
        <v>0</v>
      </c>
    </row>
    <row r="1181" spans="1:8" x14ac:dyDescent="0.3">
      <c r="A1181">
        <v>2019</v>
      </c>
      <c r="B1181" t="s">
        <v>163</v>
      </c>
      <c r="C1181" t="s">
        <v>267</v>
      </c>
      <c r="D1181" t="s">
        <v>268</v>
      </c>
      <c r="E1181" t="s">
        <v>206</v>
      </c>
      <c r="F1181" t="s">
        <v>200</v>
      </c>
      <c r="G1181" t="s">
        <v>202</v>
      </c>
      <c r="H1181">
        <v>4</v>
      </c>
    </row>
    <row r="1182" spans="1:8" x14ac:dyDescent="0.3">
      <c r="A1182">
        <v>2019</v>
      </c>
      <c r="B1182" t="s">
        <v>20</v>
      </c>
      <c r="C1182" t="s">
        <v>267</v>
      </c>
      <c r="D1182" t="s">
        <v>268</v>
      </c>
      <c r="E1182" t="s">
        <v>1</v>
      </c>
      <c r="F1182" t="s">
        <v>200</v>
      </c>
      <c r="G1182" t="s">
        <v>202</v>
      </c>
      <c r="H1182">
        <v>0</v>
      </c>
    </row>
    <row r="1183" spans="1:8" x14ac:dyDescent="0.3">
      <c r="A1183">
        <v>2019</v>
      </c>
      <c r="B1183" t="s">
        <v>20</v>
      </c>
      <c r="C1183" t="s">
        <v>267</v>
      </c>
      <c r="D1183" t="s">
        <v>268</v>
      </c>
      <c r="E1183" t="s">
        <v>203</v>
      </c>
      <c r="F1183" t="s">
        <v>200</v>
      </c>
      <c r="G1183" t="s">
        <v>202</v>
      </c>
      <c r="H1183">
        <v>0</v>
      </c>
    </row>
    <row r="1184" spans="1:8" x14ac:dyDescent="0.3">
      <c r="A1184">
        <v>2019</v>
      </c>
      <c r="B1184" t="s">
        <v>20</v>
      </c>
      <c r="C1184" t="s">
        <v>267</v>
      </c>
      <c r="D1184" t="s">
        <v>268</v>
      </c>
      <c r="E1184" t="s">
        <v>204</v>
      </c>
      <c r="F1184" t="s">
        <v>200</v>
      </c>
      <c r="G1184" t="s">
        <v>202</v>
      </c>
      <c r="H1184">
        <v>0</v>
      </c>
    </row>
    <row r="1185" spans="1:8" x14ac:dyDescent="0.3">
      <c r="A1185">
        <v>2019</v>
      </c>
      <c r="B1185" t="s">
        <v>20</v>
      </c>
      <c r="C1185" t="s">
        <v>267</v>
      </c>
      <c r="D1185" t="s">
        <v>268</v>
      </c>
      <c r="E1185" t="s">
        <v>205</v>
      </c>
      <c r="F1185" t="s">
        <v>200</v>
      </c>
      <c r="G1185" t="s">
        <v>202</v>
      </c>
      <c r="H1185">
        <v>0</v>
      </c>
    </row>
    <row r="1186" spans="1:8" x14ac:dyDescent="0.3">
      <c r="A1186">
        <v>2019</v>
      </c>
      <c r="B1186" t="s">
        <v>20</v>
      </c>
      <c r="C1186" t="s">
        <v>267</v>
      </c>
      <c r="D1186" t="s">
        <v>268</v>
      </c>
      <c r="E1186" t="s">
        <v>206</v>
      </c>
      <c r="F1186" t="s">
        <v>200</v>
      </c>
      <c r="G1186" t="s">
        <v>202</v>
      </c>
      <c r="H1186">
        <v>0</v>
      </c>
    </row>
    <row r="1187" spans="1:8" x14ac:dyDescent="0.3">
      <c r="A1187">
        <v>2019</v>
      </c>
      <c r="B1187" t="s">
        <v>21</v>
      </c>
      <c r="C1187" t="s">
        <v>267</v>
      </c>
      <c r="D1187" t="s">
        <v>268</v>
      </c>
      <c r="E1187" t="s">
        <v>1</v>
      </c>
      <c r="F1187" t="s">
        <v>200</v>
      </c>
      <c r="G1187" t="s">
        <v>202</v>
      </c>
      <c r="H1187">
        <v>2</v>
      </c>
    </row>
    <row r="1188" spans="1:8" x14ac:dyDescent="0.3">
      <c r="A1188">
        <v>2019</v>
      </c>
      <c r="B1188" t="s">
        <v>21</v>
      </c>
      <c r="C1188" t="s">
        <v>267</v>
      </c>
      <c r="D1188" t="s">
        <v>268</v>
      </c>
      <c r="E1188" t="s">
        <v>203</v>
      </c>
      <c r="F1188" t="s">
        <v>200</v>
      </c>
      <c r="G1188" t="s">
        <v>202</v>
      </c>
      <c r="H1188">
        <v>0</v>
      </c>
    </row>
    <row r="1189" spans="1:8" x14ac:dyDescent="0.3">
      <c r="A1189">
        <v>2019</v>
      </c>
      <c r="B1189" t="s">
        <v>21</v>
      </c>
      <c r="C1189" t="s">
        <v>267</v>
      </c>
      <c r="D1189" t="s">
        <v>268</v>
      </c>
      <c r="E1189" t="s">
        <v>204</v>
      </c>
      <c r="F1189" t="s">
        <v>200</v>
      </c>
      <c r="G1189" t="s">
        <v>202</v>
      </c>
      <c r="H1189">
        <v>0</v>
      </c>
    </row>
    <row r="1190" spans="1:8" x14ac:dyDescent="0.3">
      <c r="A1190">
        <v>2019</v>
      </c>
      <c r="B1190" t="s">
        <v>21</v>
      </c>
      <c r="C1190" t="s">
        <v>267</v>
      </c>
      <c r="D1190" t="s">
        <v>268</v>
      </c>
      <c r="E1190" t="s">
        <v>205</v>
      </c>
      <c r="F1190" t="s">
        <v>200</v>
      </c>
      <c r="G1190" t="s">
        <v>202</v>
      </c>
      <c r="H1190">
        <v>0</v>
      </c>
    </row>
    <row r="1191" spans="1:8" x14ac:dyDescent="0.3">
      <c r="A1191">
        <v>2019</v>
      </c>
      <c r="B1191" t="s">
        <v>21</v>
      </c>
      <c r="C1191" t="s">
        <v>267</v>
      </c>
      <c r="D1191" t="s">
        <v>268</v>
      </c>
      <c r="E1191" t="s">
        <v>206</v>
      </c>
      <c r="F1191" t="s">
        <v>200</v>
      </c>
      <c r="G1191" t="s">
        <v>202</v>
      </c>
      <c r="H1191">
        <v>3</v>
      </c>
    </row>
    <row r="1192" spans="1:8" x14ac:dyDescent="0.3">
      <c r="A1192">
        <v>2019</v>
      </c>
      <c r="B1192" t="s">
        <v>22</v>
      </c>
      <c r="C1192" t="s">
        <v>267</v>
      </c>
      <c r="D1192" t="s">
        <v>268</v>
      </c>
      <c r="E1192" t="s">
        <v>1</v>
      </c>
      <c r="F1192" t="s">
        <v>200</v>
      </c>
      <c r="G1192" t="s">
        <v>202</v>
      </c>
      <c r="H1192">
        <v>0</v>
      </c>
    </row>
    <row r="1193" spans="1:8" x14ac:dyDescent="0.3">
      <c r="A1193">
        <v>2019</v>
      </c>
      <c r="B1193" t="s">
        <v>22</v>
      </c>
      <c r="C1193" t="s">
        <v>267</v>
      </c>
      <c r="D1193" t="s">
        <v>268</v>
      </c>
      <c r="E1193" t="s">
        <v>203</v>
      </c>
      <c r="F1193" t="s">
        <v>200</v>
      </c>
      <c r="G1193" t="s">
        <v>202</v>
      </c>
      <c r="H1193">
        <v>0</v>
      </c>
    </row>
    <row r="1194" spans="1:8" x14ac:dyDescent="0.3">
      <c r="A1194">
        <v>2019</v>
      </c>
      <c r="B1194" t="s">
        <v>22</v>
      </c>
      <c r="C1194" t="s">
        <v>267</v>
      </c>
      <c r="D1194" t="s">
        <v>268</v>
      </c>
      <c r="E1194" t="s">
        <v>204</v>
      </c>
      <c r="F1194" t="s">
        <v>200</v>
      </c>
      <c r="G1194" t="s">
        <v>202</v>
      </c>
      <c r="H1194">
        <v>0</v>
      </c>
    </row>
    <row r="1195" spans="1:8" x14ac:dyDescent="0.3">
      <c r="A1195">
        <v>2019</v>
      </c>
      <c r="B1195" t="s">
        <v>22</v>
      </c>
      <c r="C1195" t="s">
        <v>267</v>
      </c>
      <c r="D1195" t="s">
        <v>268</v>
      </c>
      <c r="E1195" t="s">
        <v>205</v>
      </c>
      <c r="F1195" t="s">
        <v>200</v>
      </c>
      <c r="G1195" t="s">
        <v>202</v>
      </c>
      <c r="H1195">
        <v>0</v>
      </c>
    </row>
    <row r="1196" spans="1:8" x14ac:dyDescent="0.3">
      <c r="A1196">
        <v>2019</v>
      </c>
      <c r="B1196" t="s">
        <v>22</v>
      </c>
      <c r="C1196" t="s">
        <v>267</v>
      </c>
      <c r="D1196" t="s">
        <v>268</v>
      </c>
      <c r="E1196" t="s">
        <v>206</v>
      </c>
      <c r="F1196" t="s">
        <v>200</v>
      </c>
      <c r="G1196" t="s">
        <v>202</v>
      </c>
      <c r="H1196">
        <v>0</v>
      </c>
    </row>
    <row r="1197" spans="1:8" x14ac:dyDescent="0.3">
      <c r="A1197">
        <v>2019</v>
      </c>
      <c r="B1197" t="s">
        <v>23</v>
      </c>
      <c r="C1197" t="s">
        <v>267</v>
      </c>
      <c r="D1197" t="s">
        <v>268</v>
      </c>
      <c r="E1197" t="s">
        <v>1</v>
      </c>
      <c r="F1197" t="s">
        <v>200</v>
      </c>
      <c r="G1197" t="s">
        <v>202</v>
      </c>
      <c r="H1197">
        <v>0</v>
      </c>
    </row>
    <row r="1198" spans="1:8" x14ac:dyDescent="0.3">
      <c r="A1198">
        <v>2019</v>
      </c>
      <c r="B1198" t="s">
        <v>23</v>
      </c>
      <c r="C1198" t="s">
        <v>267</v>
      </c>
      <c r="D1198" t="s">
        <v>268</v>
      </c>
      <c r="E1198" t="s">
        <v>203</v>
      </c>
      <c r="F1198" t="s">
        <v>200</v>
      </c>
      <c r="G1198" t="s">
        <v>202</v>
      </c>
      <c r="H1198">
        <v>0</v>
      </c>
    </row>
    <row r="1199" spans="1:8" x14ac:dyDescent="0.3">
      <c r="A1199">
        <v>2019</v>
      </c>
      <c r="B1199" t="s">
        <v>23</v>
      </c>
      <c r="C1199" t="s">
        <v>267</v>
      </c>
      <c r="D1199" t="s">
        <v>268</v>
      </c>
      <c r="E1199" t="s">
        <v>204</v>
      </c>
      <c r="F1199" t="s">
        <v>200</v>
      </c>
      <c r="G1199" t="s">
        <v>202</v>
      </c>
      <c r="H1199">
        <v>0</v>
      </c>
    </row>
    <row r="1200" spans="1:8" x14ac:dyDescent="0.3">
      <c r="A1200">
        <v>2019</v>
      </c>
      <c r="B1200" t="s">
        <v>23</v>
      </c>
      <c r="C1200" t="s">
        <v>267</v>
      </c>
      <c r="D1200" t="s">
        <v>268</v>
      </c>
      <c r="E1200" t="s">
        <v>205</v>
      </c>
      <c r="F1200" t="s">
        <v>200</v>
      </c>
      <c r="G1200" t="s">
        <v>202</v>
      </c>
      <c r="H1200">
        <v>0</v>
      </c>
    </row>
    <row r="1201" spans="1:8" x14ac:dyDescent="0.3">
      <c r="A1201">
        <v>2019</v>
      </c>
      <c r="B1201" t="s">
        <v>23</v>
      </c>
      <c r="C1201" t="s">
        <v>267</v>
      </c>
      <c r="D1201" t="s">
        <v>268</v>
      </c>
      <c r="E1201" t="s">
        <v>206</v>
      </c>
      <c r="F1201" t="s">
        <v>200</v>
      </c>
      <c r="G1201" t="s">
        <v>202</v>
      </c>
      <c r="H1201">
        <v>0</v>
      </c>
    </row>
    <row r="1202" spans="1:8" x14ac:dyDescent="0.3">
      <c r="A1202">
        <v>2019</v>
      </c>
      <c r="B1202" t="s">
        <v>54</v>
      </c>
      <c r="C1202" t="s">
        <v>267</v>
      </c>
      <c r="D1202" t="s">
        <v>268</v>
      </c>
      <c r="E1202" t="s">
        <v>1</v>
      </c>
      <c r="F1202" t="s">
        <v>200</v>
      </c>
      <c r="G1202" t="s">
        <v>202</v>
      </c>
      <c r="H1202" t="s">
        <v>274</v>
      </c>
    </row>
    <row r="1203" spans="1:8" x14ac:dyDescent="0.3">
      <c r="A1203">
        <v>2019</v>
      </c>
      <c r="B1203" t="s">
        <v>54</v>
      </c>
      <c r="C1203" t="s">
        <v>267</v>
      </c>
      <c r="D1203" t="s">
        <v>268</v>
      </c>
      <c r="E1203" t="s">
        <v>203</v>
      </c>
      <c r="F1203" t="s">
        <v>200</v>
      </c>
      <c r="G1203" t="s">
        <v>202</v>
      </c>
      <c r="H1203" t="s">
        <v>274</v>
      </c>
    </row>
    <row r="1204" spans="1:8" x14ac:dyDescent="0.3">
      <c r="A1204">
        <v>2019</v>
      </c>
      <c r="B1204" t="s">
        <v>54</v>
      </c>
      <c r="C1204" t="s">
        <v>267</v>
      </c>
      <c r="D1204" t="s">
        <v>268</v>
      </c>
      <c r="E1204" t="s">
        <v>204</v>
      </c>
      <c r="F1204" t="s">
        <v>200</v>
      </c>
      <c r="G1204" t="s">
        <v>202</v>
      </c>
      <c r="H1204" t="s">
        <v>274</v>
      </c>
    </row>
    <row r="1205" spans="1:8" x14ac:dyDescent="0.3">
      <c r="A1205">
        <v>2019</v>
      </c>
      <c r="B1205" t="s">
        <v>54</v>
      </c>
      <c r="C1205" t="s">
        <v>267</v>
      </c>
      <c r="D1205" t="s">
        <v>268</v>
      </c>
      <c r="E1205" t="s">
        <v>205</v>
      </c>
      <c r="F1205" t="s">
        <v>200</v>
      </c>
      <c r="G1205" t="s">
        <v>202</v>
      </c>
      <c r="H1205" t="s">
        <v>274</v>
      </c>
    </row>
    <row r="1206" spans="1:8" x14ac:dyDescent="0.3">
      <c r="A1206">
        <v>2019</v>
      </c>
      <c r="B1206" t="s">
        <v>54</v>
      </c>
      <c r="C1206" t="s">
        <v>267</v>
      </c>
      <c r="D1206" t="s">
        <v>268</v>
      </c>
      <c r="E1206" t="s">
        <v>206</v>
      </c>
      <c r="F1206" t="s">
        <v>200</v>
      </c>
      <c r="G1206" t="s">
        <v>202</v>
      </c>
      <c r="H1206" t="s">
        <v>274</v>
      </c>
    </row>
    <row r="1207" spans="1:8" x14ac:dyDescent="0.3">
      <c r="A1207">
        <v>2019</v>
      </c>
      <c r="B1207" t="s">
        <v>48</v>
      </c>
      <c r="C1207" t="s">
        <v>267</v>
      </c>
      <c r="D1207" t="s">
        <v>268</v>
      </c>
      <c r="E1207" t="s">
        <v>1</v>
      </c>
      <c r="F1207" t="s">
        <v>200</v>
      </c>
      <c r="G1207" t="s">
        <v>202</v>
      </c>
      <c r="H1207">
        <v>0</v>
      </c>
    </row>
    <row r="1208" spans="1:8" x14ac:dyDescent="0.3">
      <c r="A1208">
        <v>2019</v>
      </c>
      <c r="B1208" t="s">
        <v>48</v>
      </c>
      <c r="C1208" t="s">
        <v>267</v>
      </c>
      <c r="D1208" t="s">
        <v>268</v>
      </c>
      <c r="E1208" t="s">
        <v>203</v>
      </c>
      <c r="F1208" t="s">
        <v>200</v>
      </c>
      <c r="G1208" t="s">
        <v>202</v>
      </c>
      <c r="H1208">
        <v>0</v>
      </c>
    </row>
    <row r="1209" spans="1:8" x14ac:dyDescent="0.3">
      <c r="A1209">
        <v>2019</v>
      </c>
      <c r="B1209" t="s">
        <v>48</v>
      </c>
      <c r="C1209" t="s">
        <v>267</v>
      </c>
      <c r="D1209" t="s">
        <v>268</v>
      </c>
      <c r="E1209" t="s">
        <v>204</v>
      </c>
      <c r="F1209" t="s">
        <v>200</v>
      </c>
      <c r="G1209" t="s">
        <v>202</v>
      </c>
      <c r="H1209">
        <v>0</v>
      </c>
    </row>
    <row r="1210" spans="1:8" x14ac:dyDescent="0.3">
      <c r="A1210">
        <v>2019</v>
      </c>
      <c r="B1210" t="s">
        <v>48</v>
      </c>
      <c r="C1210" t="s">
        <v>267</v>
      </c>
      <c r="D1210" t="s">
        <v>268</v>
      </c>
      <c r="E1210" t="s">
        <v>205</v>
      </c>
      <c r="F1210" t="s">
        <v>200</v>
      </c>
      <c r="G1210" t="s">
        <v>202</v>
      </c>
      <c r="H1210">
        <v>0</v>
      </c>
    </row>
    <row r="1211" spans="1:8" x14ac:dyDescent="0.3">
      <c r="A1211">
        <v>2019</v>
      </c>
      <c r="B1211" t="s">
        <v>48</v>
      </c>
      <c r="C1211" t="s">
        <v>267</v>
      </c>
      <c r="D1211" t="s">
        <v>268</v>
      </c>
      <c r="E1211" t="s">
        <v>206</v>
      </c>
      <c r="F1211" t="s">
        <v>200</v>
      </c>
      <c r="G1211" t="s">
        <v>202</v>
      </c>
      <c r="H1211">
        <v>0</v>
      </c>
    </row>
    <row r="1212" spans="1:8" x14ac:dyDescent="0.3">
      <c r="A1212">
        <v>2019</v>
      </c>
      <c r="B1212" t="s">
        <v>24</v>
      </c>
      <c r="C1212" t="s">
        <v>267</v>
      </c>
      <c r="D1212" t="s">
        <v>268</v>
      </c>
      <c r="E1212" t="s">
        <v>1</v>
      </c>
      <c r="F1212" t="s">
        <v>200</v>
      </c>
      <c r="G1212" t="s">
        <v>202</v>
      </c>
      <c r="H1212">
        <v>1</v>
      </c>
    </row>
    <row r="1213" spans="1:8" x14ac:dyDescent="0.3">
      <c r="A1213">
        <v>2019</v>
      </c>
      <c r="B1213" t="s">
        <v>24</v>
      </c>
      <c r="C1213" t="s">
        <v>267</v>
      </c>
      <c r="D1213" t="s">
        <v>268</v>
      </c>
      <c r="E1213" t="s">
        <v>203</v>
      </c>
      <c r="F1213" t="s">
        <v>200</v>
      </c>
      <c r="G1213" t="s">
        <v>202</v>
      </c>
      <c r="H1213">
        <v>0</v>
      </c>
    </row>
    <row r="1214" spans="1:8" x14ac:dyDescent="0.3">
      <c r="A1214">
        <v>2019</v>
      </c>
      <c r="B1214" t="s">
        <v>24</v>
      </c>
      <c r="C1214" t="s">
        <v>267</v>
      </c>
      <c r="D1214" t="s">
        <v>268</v>
      </c>
      <c r="E1214" t="s">
        <v>204</v>
      </c>
      <c r="F1214" t="s">
        <v>200</v>
      </c>
      <c r="G1214" t="s">
        <v>202</v>
      </c>
      <c r="H1214">
        <v>0</v>
      </c>
    </row>
    <row r="1215" spans="1:8" x14ac:dyDescent="0.3">
      <c r="A1215">
        <v>2019</v>
      </c>
      <c r="B1215" t="s">
        <v>24</v>
      </c>
      <c r="C1215" t="s">
        <v>267</v>
      </c>
      <c r="D1215" t="s">
        <v>268</v>
      </c>
      <c r="E1215" t="s">
        <v>205</v>
      </c>
      <c r="F1215" t="s">
        <v>200</v>
      </c>
      <c r="G1215" t="s">
        <v>202</v>
      </c>
      <c r="H1215">
        <v>0</v>
      </c>
    </row>
    <row r="1216" spans="1:8" x14ac:dyDescent="0.3">
      <c r="A1216">
        <v>2019</v>
      </c>
      <c r="B1216" t="s">
        <v>24</v>
      </c>
      <c r="C1216" t="s">
        <v>267</v>
      </c>
      <c r="D1216" t="s">
        <v>268</v>
      </c>
      <c r="E1216" t="s">
        <v>206</v>
      </c>
      <c r="F1216" t="s">
        <v>200</v>
      </c>
      <c r="G1216" t="s">
        <v>202</v>
      </c>
      <c r="H1216">
        <v>0</v>
      </c>
    </row>
    <row r="1217" spans="1:8" x14ac:dyDescent="0.3">
      <c r="A1217">
        <v>2019</v>
      </c>
      <c r="B1217" t="s">
        <v>214</v>
      </c>
      <c r="C1217" t="s">
        <v>267</v>
      </c>
      <c r="D1217" t="s">
        <v>268</v>
      </c>
      <c r="E1217" t="s">
        <v>1</v>
      </c>
      <c r="F1217" t="s">
        <v>200</v>
      </c>
      <c r="G1217" t="s">
        <v>202</v>
      </c>
      <c r="H1217">
        <v>0</v>
      </c>
    </row>
    <row r="1218" spans="1:8" x14ac:dyDescent="0.3">
      <c r="A1218">
        <v>2019</v>
      </c>
      <c r="B1218" t="s">
        <v>214</v>
      </c>
      <c r="C1218" t="s">
        <v>267</v>
      </c>
      <c r="D1218" t="s">
        <v>268</v>
      </c>
      <c r="E1218" t="s">
        <v>203</v>
      </c>
      <c r="F1218" t="s">
        <v>200</v>
      </c>
      <c r="G1218" t="s">
        <v>202</v>
      </c>
      <c r="H1218">
        <v>0</v>
      </c>
    </row>
    <row r="1219" spans="1:8" x14ac:dyDescent="0.3">
      <c r="A1219">
        <v>2019</v>
      </c>
      <c r="B1219" t="s">
        <v>214</v>
      </c>
      <c r="C1219" t="s">
        <v>267</v>
      </c>
      <c r="D1219" t="s">
        <v>268</v>
      </c>
      <c r="E1219" t="s">
        <v>204</v>
      </c>
      <c r="F1219" t="s">
        <v>200</v>
      </c>
      <c r="G1219" t="s">
        <v>202</v>
      </c>
      <c r="H1219">
        <v>0</v>
      </c>
    </row>
    <row r="1220" spans="1:8" x14ac:dyDescent="0.3">
      <c r="A1220">
        <v>2019</v>
      </c>
      <c r="B1220" t="s">
        <v>214</v>
      </c>
      <c r="C1220" t="s">
        <v>267</v>
      </c>
      <c r="D1220" t="s">
        <v>268</v>
      </c>
      <c r="E1220" t="s">
        <v>205</v>
      </c>
      <c r="F1220" t="s">
        <v>200</v>
      </c>
      <c r="G1220" t="s">
        <v>202</v>
      </c>
      <c r="H1220">
        <v>0</v>
      </c>
    </row>
    <row r="1221" spans="1:8" x14ac:dyDescent="0.3">
      <c r="A1221">
        <v>2019</v>
      </c>
      <c r="B1221" t="s">
        <v>214</v>
      </c>
      <c r="C1221" t="s">
        <v>267</v>
      </c>
      <c r="D1221" t="s">
        <v>268</v>
      </c>
      <c r="E1221" t="s">
        <v>206</v>
      </c>
      <c r="F1221" t="s">
        <v>200</v>
      </c>
      <c r="G1221" t="s">
        <v>202</v>
      </c>
      <c r="H1221">
        <v>0</v>
      </c>
    </row>
    <row r="1222" spans="1:8" x14ac:dyDescent="0.3">
      <c r="A1222">
        <v>2019</v>
      </c>
      <c r="B1222" t="s">
        <v>26</v>
      </c>
      <c r="C1222" t="s">
        <v>267</v>
      </c>
      <c r="D1222" t="s">
        <v>268</v>
      </c>
      <c r="E1222" t="s">
        <v>1</v>
      </c>
      <c r="F1222" t="s">
        <v>200</v>
      </c>
      <c r="G1222" t="s">
        <v>202</v>
      </c>
      <c r="H1222">
        <v>0</v>
      </c>
    </row>
    <row r="1223" spans="1:8" x14ac:dyDescent="0.3">
      <c r="A1223">
        <v>2019</v>
      </c>
      <c r="B1223" t="s">
        <v>26</v>
      </c>
      <c r="C1223" t="s">
        <v>267</v>
      </c>
      <c r="D1223" t="s">
        <v>268</v>
      </c>
      <c r="E1223" t="s">
        <v>203</v>
      </c>
      <c r="F1223" t="s">
        <v>200</v>
      </c>
      <c r="G1223" t="s">
        <v>202</v>
      </c>
      <c r="H1223">
        <v>0</v>
      </c>
    </row>
    <row r="1224" spans="1:8" x14ac:dyDescent="0.3">
      <c r="A1224">
        <v>2019</v>
      </c>
      <c r="B1224" t="s">
        <v>26</v>
      </c>
      <c r="C1224" t="s">
        <v>267</v>
      </c>
      <c r="D1224" t="s">
        <v>268</v>
      </c>
      <c r="E1224" t="s">
        <v>204</v>
      </c>
      <c r="F1224" t="s">
        <v>200</v>
      </c>
      <c r="G1224" t="s">
        <v>202</v>
      </c>
      <c r="H1224">
        <v>0</v>
      </c>
    </row>
    <row r="1225" spans="1:8" x14ac:dyDescent="0.3">
      <c r="A1225">
        <v>2019</v>
      </c>
      <c r="B1225" t="s">
        <v>26</v>
      </c>
      <c r="C1225" t="s">
        <v>267</v>
      </c>
      <c r="D1225" t="s">
        <v>268</v>
      </c>
      <c r="E1225" t="s">
        <v>205</v>
      </c>
      <c r="F1225" t="s">
        <v>200</v>
      </c>
      <c r="G1225" t="s">
        <v>202</v>
      </c>
      <c r="H1225">
        <v>0</v>
      </c>
    </row>
    <row r="1226" spans="1:8" x14ac:dyDescent="0.3">
      <c r="A1226">
        <v>2019</v>
      </c>
      <c r="B1226" t="s">
        <v>26</v>
      </c>
      <c r="C1226" t="s">
        <v>267</v>
      </c>
      <c r="D1226" t="s">
        <v>268</v>
      </c>
      <c r="E1226" t="s">
        <v>206</v>
      </c>
      <c r="F1226" t="s">
        <v>200</v>
      </c>
      <c r="G1226" t="s">
        <v>202</v>
      </c>
      <c r="H1226">
        <v>0</v>
      </c>
    </row>
    <row r="1227" spans="1:8" x14ac:dyDescent="0.3">
      <c r="A1227">
        <v>2019</v>
      </c>
      <c r="B1227" t="s">
        <v>27</v>
      </c>
      <c r="C1227" t="s">
        <v>267</v>
      </c>
      <c r="D1227" t="s">
        <v>268</v>
      </c>
      <c r="E1227" t="s">
        <v>1</v>
      </c>
      <c r="F1227" t="s">
        <v>200</v>
      </c>
      <c r="G1227" t="s">
        <v>202</v>
      </c>
      <c r="H1227">
        <v>2</v>
      </c>
    </row>
    <row r="1228" spans="1:8" x14ac:dyDescent="0.3">
      <c r="A1228">
        <v>2019</v>
      </c>
      <c r="B1228" t="s">
        <v>27</v>
      </c>
      <c r="C1228" t="s">
        <v>267</v>
      </c>
      <c r="D1228" t="s">
        <v>268</v>
      </c>
      <c r="E1228" t="s">
        <v>203</v>
      </c>
      <c r="F1228" t="s">
        <v>200</v>
      </c>
      <c r="G1228" t="s">
        <v>202</v>
      </c>
      <c r="H1228">
        <v>0</v>
      </c>
    </row>
    <row r="1229" spans="1:8" x14ac:dyDescent="0.3">
      <c r="A1229">
        <v>2019</v>
      </c>
      <c r="B1229" t="s">
        <v>27</v>
      </c>
      <c r="C1229" t="s">
        <v>267</v>
      </c>
      <c r="D1229" t="s">
        <v>268</v>
      </c>
      <c r="E1229" t="s">
        <v>204</v>
      </c>
      <c r="F1229" t="s">
        <v>200</v>
      </c>
      <c r="G1229" t="s">
        <v>202</v>
      </c>
      <c r="H1229">
        <v>0</v>
      </c>
    </row>
    <row r="1230" spans="1:8" x14ac:dyDescent="0.3">
      <c r="A1230">
        <v>2019</v>
      </c>
      <c r="B1230" t="s">
        <v>27</v>
      </c>
      <c r="C1230" t="s">
        <v>267</v>
      </c>
      <c r="D1230" t="s">
        <v>268</v>
      </c>
      <c r="E1230" t="s">
        <v>205</v>
      </c>
      <c r="F1230" t="s">
        <v>200</v>
      </c>
      <c r="G1230" t="s">
        <v>202</v>
      </c>
      <c r="H1230">
        <v>0</v>
      </c>
    </row>
    <row r="1231" spans="1:8" x14ac:dyDescent="0.3">
      <c r="A1231">
        <v>2019</v>
      </c>
      <c r="B1231" t="s">
        <v>27</v>
      </c>
      <c r="C1231" t="s">
        <v>267</v>
      </c>
      <c r="D1231" t="s">
        <v>268</v>
      </c>
      <c r="E1231" t="s">
        <v>206</v>
      </c>
      <c r="F1231" t="s">
        <v>200</v>
      </c>
      <c r="G1231" t="s">
        <v>202</v>
      </c>
      <c r="H1231">
        <v>0</v>
      </c>
    </row>
    <row r="1232" spans="1:8" x14ac:dyDescent="0.3">
      <c r="A1232">
        <v>2019</v>
      </c>
      <c r="B1232" t="s">
        <v>219</v>
      </c>
      <c r="C1232" t="s">
        <v>267</v>
      </c>
      <c r="D1232" t="s">
        <v>268</v>
      </c>
      <c r="E1232" t="s">
        <v>1</v>
      </c>
      <c r="F1232" t="s">
        <v>200</v>
      </c>
      <c r="G1232" t="s">
        <v>202</v>
      </c>
    </row>
    <row r="1233" spans="1:8" x14ac:dyDescent="0.3">
      <c r="A1233">
        <v>2019</v>
      </c>
      <c r="B1233" t="s">
        <v>219</v>
      </c>
      <c r="C1233" t="s">
        <v>267</v>
      </c>
      <c r="D1233" t="s">
        <v>268</v>
      </c>
      <c r="E1233" t="s">
        <v>203</v>
      </c>
      <c r="F1233" t="s">
        <v>200</v>
      </c>
      <c r="G1233" t="s">
        <v>202</v>
      </c>
    </row>
    <row r="1234" spans="1:8" x14ac:dyDescent="0.3">
      <c r="A1234">
        <v>2019</v>
      </c>
      <c r="B1234" t="s">
        <v>219</v>
      </c>
      <c r="C1234" t="s">
        <v>267</v>
      </c>
      <c r="D1234" t="s">
        <v>268</v>
      </c>
      <c r="E1234" t="s">
        <v>204</v>
      </c>
      <c r="F1234" t="s">
        <v>200</v>
      </c>
      <c r="G1234" t="s">
        <v>202</v>
      </c>
    </row>
    <row r="1235" spans="1:8" x14ac:dyDescent="0.3">
      <c r="A1235">
        <v>2019</v>
      </c>
      <c r="B1235" t="s">
        <v>219</v>
      </c>
      <c r="C1235" t="s">
        <v>267</v>
      </c>
      <c r="D1235" t="s">
        <v>268</v>
      </c>
      <c r="E1235" t="s">
        <v>205</v>
      </c>
      <c r="F1235" t="s">
        <v>200</v>
      </c>
      <c r="G1235" t="s">
        <v>202</v>
      </c>
    </row>
    <row r="1236" spans="1:8" x14ac:dyDescent="0.3">
      <c r="A1236">
        <v>2019</v>
      </c>
      <c r="B1236" t="s">
        <v>219</v>
      </c>
      <c r="C1236" t="s">
        <v>267</v>
      </c>
      <c r="D1236" t="s">
        <v>268</v>
      </c>
      <c r="E1236" t="s">
        <v>206</v>
      </c>
      <c r="F1236" t="s">
        <v>200</v>
      </c>
      <c r="G1236" t="s">
        <v>202</v>
      </c>
    </row>
    <row r="1237" spans="1:8" x14ac:dyDescent="0.3">
      <c r="A1237">
        <v>2019</v>
      </c>
      <c r="B1237" t="s">
        <v>46</v>
      </c>
      <c r="C1237" t="s">
        <v>267</v>
      </c>
      <c r="D1237" t="s">
        <v>268</v>
      </c>
      <c r="E1237" t="s">
        <v>1</v>
      </c>
      <c r="F1237" t="s">
        <v>200</v>
      </c>
      <c r="G1237" t="s">
        <v>202</v>
      </c>
    </row>
    <row r="1238" spans="1:8" x14ac:dyDescent="0.3">
      <c r="A1238">
        <v>2019</v>
      </c>
      <c r="B1238" t="s">
        <v>46</v>
      </c>
      <c r="C1238" t="s">
        <v>267</v>
      </c>
      <c r="D1238" t="s">
        <v>268</v>
      </c>
      <c r="E1238" t="s">
        <v>203</v>
      </c>
      <c r="F1238" t="s">
        <v>200</v>
      </c>
      <c r="G1238" t="s">
        <v>202</v>
      </c>
    </row>
    <row r="1239" spans="1:8" x14ac:dyDescent="0.3">
      <c r="A1239">
        <v>2019</v>
      </c>
      <c r="B1239" t="s">
        <v>46</v>
      </c>
      <c r="C1239" t="s">
        <v>267</v>
      </c>
      <c r="D1239" t="s">
        <v>268</v>
      </c>
      <c r="E1239" t="s">
        <v>204</v>
      </c>
      <c r="F1239" t="s">
        <v>200</v>
      </c>
      <c r="G1239" t="s">
        <v>202</v>
      </c>
    </row>
    <row r="1240" spans="1:8" x14ac:dyDescent="0.3">
      <c r="A1240">
        <v>2019</v>
      </c>
      <c r="B1240" t="s">
        <v>46</v>
      </c>
      <c r="C1240" t="s">
        <v>267</v>
      </c>
      <c r="D1240" t="s">
        <v>268</v>
      </c>
      <c r="E1240" t="s">
        <v>205</v>
      </c>
      <c r="F1240" t="s">
        <v>200</v>
      </c>
      <c r="G1240" t="s">
        <v>202</v>
      </c>
    </row>
    <row r="1241" spans="1:8" x14ac:dyDescent="0.3">
      <c r="A1241">
        <v>2019</v>
      </c>
      <c r="B1241" t="s">
        <v>46</v>
      </c>
      <c r="C1241" t="s">
        <v>267</v>
      </c>
      <c r="D1241" t="s">
        <v>268</v>
      </c>
      <c r="E1241" t="s">
        <v>206</v>
      </c>
      <c r="F1241" t="s">
        <v>200</v>
      </c>
      <c r="G1241" t="s">
        <v>202</v>
      </c>
    </row>
    <row r="1242" spans="1:8" x14ac:dyDescent="0.3">
      <c r="A1242">
        <v>2019</v>
      </c>
      <c r="B1242" t="s">
        <v>29</v>
      </c>
      <c r="C1242" t="s">
        <v>267</v>
      </c>
      <c r="D1242" t="s">
        <v>268</v>
      </c>
      <c r="E1242" t="s">
        <v>1</v>
      </c>
      <c r="F1242" t="s">
        <v>200</v>
      </c>
      <c r="G1242" t="s">
        <v>202</v>
      </c>
      <c r="H1242">
        <v>1</v>
      </c>
    </row>
    <row r="1243" spans="1:8" x14ac:dyDescent="0.3">
      <c r="A1243">
        <v>2019</v>
      </c>
      <c r="B1243" t="s">
        <v>29</v>
      </c>
      <c r="C1243" t="s">
        <v>267</v>
      </c>
      <c r="D1243" t="s">
        <v>268</v>
      </c>
      <c r="E1243" t="s">
        <v>203</v>
      </c>
      <c r="F1243" t="s">
        <v>200</v>
      </c>
      <c r="G1243" t="s">
        <v>202</v>
      </c>
      <c r="H1243">
        <v>0</v>
      </c>
    </row>
    <row r="1244" spans="1:8" x14ac:dyDescent="0.3">
      <c r="A1244">
        <v>2019</v>
      </c>
      <c r="B1244" t="s">
        <v>29</v>
      </c>
      <c r="C1244" t="s">
        <v>267</v>
      </c>
      <c r="D1244" t="s">
        <v>268</v>
      </c>
      <c r="E1244" t="s">
        <v>204</v>
      </c>
      <c r="F1244" t="s">
        <v>200</v>
      </c>
      <c r="G1244" t="s">
        <v>202</v>
      </c>
      <c r="H1244">
        <v>0</v>
      </c>
    </row>
    <row r="1245" spans="1:8" x14ac:dyDescent="0.3">
      <c r="A1245">
        <v>2019</v>
      </c>
      <c r="B1245" t="s">
        <v>29</v>
      </c>
      <c r="C1245" t="s">
        <v>267</v>
      </c>
      <c r="D1245" t="s">
        <v>268</v>
      </c>
      <c r="E1245" t="s">
        <v>205</v>
      </c>
      <c r="F1245" t="s">
        <v>200</v>
      </c>
      <c r="G1245" t="s">
        <v>202</v>
      </c>
      <c r="H1245">
        <v>0</v>
      </c>
    </row>
    <row r="1246" spans="1:8" x14ac:dyDescent="0.3">
      <c r="A1246">
        <v>2019</v>
      </c>
      <c r="B1246" t="s">
        <v>29</v>
      </c>
      <c r="C1246" t="s">
        <v>267</v>
      </c>
      <c r="D1246" t="s">
        <v>268</v>
      </c>
      <c r="E1246" t="s">
        <v>206</v>
      </c>
      <c r="F1246" t="s">
        <v>200</v>
      </c>
      <c r="G1246" t="s">
        <v>202</v>
      </c>
      <c r="H1246">
        <v>0</v>
      </c>
    </row>
    <row r="1247" spans="1:8" x14ac:dyDescent="0.3">
      <c r="A1247">
        <v>2019</v>
      </c>
      <c r="B1247" t="s">
        <v>30</v>
      </c>
      <c r="C1247" t="s">
        <v>267</v>
      </c>
      <c r="D1247" t="s">
        <v>268</v>
      </c>
      <c r="E1247" t="s">
        <v>1</v>
      </c>
      <c r="F1247" t="s">
        <v>200</v>
      </c>
      <c r="G1247" t="s">
        <v>202</v>
      </c>
      <c r="H1247">
        <v>0</v>
      </c>
    </row>
    <row r="1248" spans="1:8" x14ac:dyDescent="0.3">
      <c r="A1248">
        <v>2019</v>
      </c>
      <c r="B1248" t="s">
        <v>30</v>
      </c>
      <c r="C1248" t="s">
        <v>267</v>
      </c>
      <c r="D1248" t="s">
        <v>268</v>
      </c>
      <c r="E1248" t="s">
        <v>203</v>
      </c>
      <c r="F1248" t="s">
        <v>200</v>
      </c>
      <c r="G1248" t="s">
        <v>202</v>
      </c>
      <c r="H1248">
        <v>0</v>
      </c>
    </row>
    <row r="1249" spans="1:8" x14ac:dyDescent="0.3">
      <c r="A1249">
        <v>2019</v>
      </c>
      <c r="B1249" t="s">
        <v>30</v>
      </c>
      <c r="C1249" t="s">
        <v>267</v>
      </c>
      <c r="D1249" t="s">
        <v>268</v>
      </c>
      <c r="E1249" t="s">
        <v>204</v>
      </c>
      <c r="F1249" t="s">
        <v>200</v>
      </c>
      <c r="G1249" t="s">
        <v>202</v>
      </c>
      <c r="H1249">
        <v>0</v>
      </c>
    </row>
    <row r="1250" spans="1:8" x14ac:dyDescent="0.3">
      <c r="A1250">
        <v>2019</v>
      </c>
      <c r="B1250" t="s">
        <v>30</v>
      </c>
      <c r="C1250" t="s">
        <v>267</v>
      </c>
      <c r="D1250" t="s">
        <v>268</v>
      </c>
      <c r="E1250" t="s">
        <v>205</v>
      </c>
      <c r="F1250" t="s">
        <v>200</v>
      </c>
      <c r="G1250" t="s">
        <v>202</v>
      </c>
      <c r="H1250">
        <v>0</v>
      </c>
    </row>
    <row r="1251" spans="1:8" x14ac:dyDescent="0.3">
      <c r="A1251">
        <v>2019</v>
      </c>
      <c r="B1251" t="s">
        <v>30</v>
      </c>
      <c r="C1251" t="s">
        <v>267</v>
      </c>
      <c r="D1251" t="s">
        <v>268</v>
      </c>
      <c r="E1251" t="s">
        <v>206</v>
      </c>
      <c r="F1251" t="s">
        <v>200</v>
      </c>
      <c r="G1251" t="s">
        <v>202</v>
      </c>
      <c r="H1251">
        <v>0</v>
      </c>
    </row>
    <row r="1252" spans="1:8" x14ac:dyDescent="0.3">
      <c r="A1252">
        <v>2019</v>
      </c>
      <c r="B1252" t="s">
        <v>31</v>
      </c>
      <c r="C1252" t="s">
        <v>267</v>
      </c>
      <c r="D1252" t="s">
        <v>268</v>
      </c>
      <c r="E1252" t="s">
        <v>1</v>
      </c>
      <c r="F1252" t="s">
        <v>200</v>
      </c>
      <c r="G1252" t="s">
        <v>202</v>
      </c>
      <c r="H1252">
        <v>0</v>
      </c>
    </row>
    <row r="1253" spans="1:8" x14ac:dyDescent="0.3">
      <c r="A1253">
        <v>2019</v>
      </c>
      <c r="B1253" t="s">
        <v>31</v>
      </c>
      <c r="C1253" t="s">
        <v>267</v>
      </c>
      <c r="D1253" t="s">
        <v>268</v>
      </c>
      <c r="E1253" t="s">
        <v>203</v>
      </c>
      <c r="F1253" t="s">
        <v>200</v>
      </c>
      <c r="G1253" t="s">
        <v>202</v>
      </c>
      <c r="H1253">
        <v>0</v>
      </c>
    </row>
    <row r="1254" spans="1:8" x14ac:dyDescent="0.3">
      <c r="A1254">
        <v>2019</v>
      </c>
      <c r="B1254" t="s">
        <v>31</v>
      </c>
      <c r="C1254" t="s">
        <v>267</v>
      </c>
      <c r="D1254" t="s">
        <v>268</v>
      </c>
      <c r="E1254" t="s">
        <v>204</v>
      </c>
      <c r="F1254" t="s">
        <v>200</v>
      </c>
      <c r="G1254" t="s">
        <v>202</v>
      </c>
      <c r="H1254">
        <v>0</v>
      </c>
    </row>
    <row r="1255" spans="1:8" x14ac:dyDescent="0.3">
      <c r="A1255">
        <v>2019</v>
      </c>
      <c r="B1255" t="s">
        <v>31</v>
      </c>
      <c r="C1255" t="s">
        <v>267</v>
      </c>
      <c r="D1255" t="s">
        <v>268</v>
      </c>
      <c r="E1255" t="s">
        <v>205</v>
      </c>
      <c r="F1255" t="s">
        <v>200</v>
      </c>
      <c r="G1255" t="s">
        <v>202</v>
      </c>
      <c r="H1255">
        <v>0</v>
      </c>
    </row>
    <row r="1256" spans="1:8" x14ac:dyDescent="0.3">
      <c r="A1256">
        <v>2019</v>
      </c>
      <c r="B1256" t="s">
        <v>31</v>
      </c>
      <c r="C1256" t="s">
        <v>267</v>
      </c>
      <c r="D1256" t="s">
        <v>268</v>
      </c>
      <c r="E1256" t="s">
        <v>206</v>
      </c>
      <c r="F1256" t="s">
        <v>200</v>
      </c>
      <c r="G1256" t="s">
        <v>202</v>
      </c>
      <c r="H1256">
        <v>0</v>
      </c>
    </row>
    <row r="1257" spans="1:8" x14ac:dyDescent="0.3">
      <c r="A1257">
        <v>2019</v>
      </c>
      <c r="B1257" t="s">
        <v>32</v>
      </c>
      <c r="C1257" t="s">
        <v>267</v>
      </c>
      <c r="D1257" t="s">
        <v>268</v>
      </c>
      <c r="E1257" t="s">
        <v>1</v>
      </c>
      <c r="F1257" t="s">
        <v>200</v>
      </c>
      <c r="G1257" t="s">
        <v>202</v>
      </c>
      <c r="H1257">
        <v>1</v>
      </c>
    </row>
    <row r="1258" spans="1:8" x14ac:dyDescent="0.3">
      <c r="A1258">
        <v>2019</v>
      </c>
      <c r="B1258" t="s">
        <v>32</v>
      </c>
      <c r="C1258" t="s">
        <v>267</v>
      </c>
      <c r="D1258" t="s">
        <v>268</v>
      </c>
      <c r="E1258" t="s">
        <v>203</v>
      </c>
      <c r="F1258" t="s">
        <v>200</v>
      </c>
      <c r="G1258" t="s">
        <v>202</v>
      </c>
    </row>
    <row r="1259" spans="1:8" x14ac:dyDescent="0.3">
      <c r="A1259">
        <v>2019</v>
      </c>
      <c r="B1259" t="s">
        <v>32</v>
      </c>
      <c r="C1259" t="s">
        <v>267</v>
      </c>
      <c r="D1259" t="s">
        <v>268</v>
      </c>
      <c r="E1259" t="s">
        <v>204</v>
      </c>
      <c r="F1259" t="s">
        <v>200</v>
      </c>
      <c r="G1259" t="s">
        <v>202</v>
      </c>
    </row>
    <row r="1260" spans="1:8" x14ac:dyDescent="0.3">
      <c r="A1260">
        <v>2019</v>
      </c>
      <c r="B1260" t="s">
        <v>32</v>
      </c>
      <c r="C1260" t="s">
        <v>267</v>
      </c>
      <c r="D1260" t="s">
        <v>268</v>
      </c>
      <c r="E1260" t="s">
        <v>205</v>
      </c>
      <c r="F1260" t="s">
        <v>200</v>
      </c>
      <c r="G1260" t="s">
        <v>202</v>
      </c>
    </row>
    <row r="1261" spans="1:8" x14ac:dyDescent="0.3">
      <c r="A1261">
        <v>2019</v>
      </c>
      <c r="B1261" t="s">
        <v>32</v>
      </c>
      <c r="C1261" t="s">
        <v>267</v>
      </c>
      <c r="D1261" t="s">
        <v>268</v>
      </c>
      <c r="E1261" t="s">
        <v>206</v>
      </c>
      <c r="F1261" t="s">
        <v>200</v>
      </c>
      <c r="G1261" t="s">
        <v>202</v>
      </c>
    </row>
    <row r="1262" spans="1:8" x14ac:dyDescent="0.3">
      <c r="A1262">
        <v>2019</v>
      </c>
      <c r="B1262" t="s">
        <v>49</v>
      </c>
      <c r="C1262" t="s">
        <v>267</v>
      </c>
      <c r="D1262" t="s">
        <v>268</v>
      </c>
      <c r="E1262" t="s">
        <v>1</v>
      </c>
      <c r="F1262" t="s">
        <v>200</v>
      </c>
      <c r="G1262" t="s">
        <v>202</v>
      </c>
      <c r="H1262">
        <v>0</v>
      </c>
    </row>
    <row r="1263" spans="1:8" x14ac:dyDescent="0.3">
      <c r="A1263">
        <v>2019</v>
      </c>
      <c r="B1263" t="s">
        <v>49</v>
      </c>
      <c r="C1263" t="s">
        <v>267</v>
      </c>
      <c r="D1263" t="s">
        <v>268</v>
      </c>
      <c r="E1263" t="s">
        <v>203</v>
      </c>
      <c r="F1263" t="s">
        <v>200</v>
      </c>
      <c r="G1263" t="s">
        <v>202</v>
      </c>
      <c r="H1263">
        <v>0</v>
      </c>
    </row>
    <row r="1264" spans="1:8" x14ac:dyDescent="0.3">
      <c r="A1264">
        <v>2019</v>
      </c>
      <c r="B1264" t="s">
        <v>49</v>
      </c>
      <c r="C1264" t="s">
        <v>267</v>
      </c>
      <c r="D1264" t="s">
        <v>268</v>
      </c>
      <c r="E1264" t="s">
        <v>204</v>
      </c>
      <c r="F1264" t="s">
        <v>200</v>
      </c>
      <c r="G1264" t="s">
        <v>202</v>
      </c>
      <c r="H1264">
        <v>0</v>
      </c>
    </row>
    <row r="1265" spans="1:8" x14ac:dyDescent="0.3">
      <c r="A1265">
        <v>2019</v>
      </c>
      <c r="B1265" t="s">
        <v>49</v>
      </c>
      <c r="C1265" t="s">
        <v>267</v>
      </c>
      <c r="D1265" t="s">
        <v>268</v>
      </c>
      <c r="E1265" t="s">
        <v>205</v>
      </c>
      <c r="F1265" t="s">
        <v>200</v>
      </c>
      <c r="G1265" t="s">
        <v>202</v>
      </c>
      <c r="H1265">
        <v>0</v>
      </c>
    </row>
    <row r="1266" spans="1:8" x14ac:dyDescent="0.3">
      <c r="A1266">
        <v>2019</v>
      </c>
      <c r="B1266" t="s">
        <v>49</v>
      </c>
      <c r="C1266" t="s">
        <v>267</v>
      </c>
      <c r="D1266" t="s">
        <v>268</v>
      </c>
      <c r="E1266" t="s">
        <v>206</v>
      </c>
      <c r="F1266" t="s">
        <v>200</v>
      </c>
      <c r="G1266" t="s">
        <v>202</v>
      </c>
      <c r="H1266">
        <v>0</v>
      </c>
    </row>
    <row r="1267" spans="1:8" x14ac:dyDescent="0.3">
      <c r="A1267">
        <v>2019</v>
      </c>
      <c r="B1267" t="s">
        <v>33</v>
      </c>
      <c r="C1267" t="s">
        <v>267</v>
      </c>
      <c r="D1267" t="s">
        <v>268</v>
      </c>
      <c r="E1267" t="s">
        <v>1</v>
      </c>
      <c r="F1267" t="s">
        <v>200</v>
      </c>
      <c r="G1267" t="s">
        <v>202</v>
      </c>
      <c r="H1267">
        <v>6</v>
      </c>
    </row>
    <row r="1268" spans="1:8" x14ac:dyDescent="0.3">
      <c r="A1268">
        <v>2019</v>
      </c>
      <c r="B1268" t="s">
        <v>33</v>
      </c>
      <c r="C1268" t="s">
        <v>267</v>
      </c>
      <c r="D1268" t="s">
        <v>268</v>
      </c>
      <c r="E1268" t="s">
        <v>203</v>
      </c>
      <c r="F1268" t="s">
        <v>200</v>
      </c>
      <c r="G1268" t="s">
        <v>202</v>
      </c>
      <c r="H1268">
        <v>2</v>
      </c>
    </row>
    <row r="1269" spans="1:8" x14ac:dyDescent="0.3">
      <c r="A1269">
        <v>2019</v>
      </c>
      <c r="B1269" t="s">
        <v>33</v>
      </c>
      <c r="C1269" t="s">
        <v>267</v>
      </c>
      <c r="D1269" t="s">
        <v>268</v>
      </c>
      <c r="E1269" t="s">
        <v>204</v>
      </c>
      <c r="F1269" t="s">
        <v>200</v>
      </c>
      <c r="G1269" t="s">
        <v>202</v>
      </c>
      <c r="H1269">
        <v>0</v>
      </c>
    </row>
    <row r="1270" spans="1:8" x14ac:dyDescent="0.3">
      <c r="A1270">
        <v>2019</v>
      </c>
      <c r="B1270" t="s">
        <v>33</v>
      </c>
      <c r="C1270" t="s">
        <v>267</v>
      </c>
      <c r="D1270" t="s">
        <v>268</v>
      </c>
      <c r="E1270" t="s">
        <v>205</v>
      </c>
      <c r="F1270" t="s">
        <v>200</v>
      </c>
      <c r="G1270" t="s">
        <v>202</v>
      </c>
      <c r="H1270">
        <v>0</v>
      </c>
    </row>
    <row r="1271" spans="1:8" x14ac:dyDescent="0.3">
      <c r="A1271">
        <v>2019</v>
      </c>
      <c r="B1271" t="s">
        <v>33</v>
      </c>
      <c r="C1271" t="s">
        <v>267</v>
      </c>
      <c r="D1271" t="s">
        <v>268</v>
      </c>
      <c r="E1271" t="s">
        <v>206</v>
      </c>
      <c r="F1271" t="s">
        <v>200</v>
      </c>
      <c r="G1271" t="s">
        <v>202</v>
      </c>
      <c r="H1271">
        <v>14</v>
      </c>
    </row>
    <row r="1272" spans="1:8" x14ac:dyDescent="0.3">
      <c r="A1272">
        <v>2019</v>
      </c>
      <c r="B1272" t="s">
        <v>34</v>
      </c>
      <c r="C1272" t="s">
        <v>267</v>
      </c>
      <c r="D1272" t="s">
        <v>268</v>
      </c>
      <c r="E1272" t="s">
        <v>1</v>
      </c>
      <c r="F1272" t="s">
        <v>200</v>
      </c>
      <c r="G1272" t="s">
        <v>202</v>
      </c>
      <c r="H1272">
        <v>3</v>
      </c>
    </row>
    <row r="1273" spans="1:8" x14ac:dyDescent="0.3">
      <c r="A1273">
        <v>2019</v>
      </c>
      <c r="B1273" t="s">
        <v>34</v>
      </c>
      <c r="C1273" t="s">
        <v>267</v>
      </c>
      <c r="D1273" t="s">
        <v>268</v>
      </c>
      <c r="E1273" t="s">
        <v>203</v>
      </c>
      <c r="F1273" t="s">
        <v>200</v>
      </c>
      <c r="G1273" t="s">
        <v>202</v>
      </c>
      <c r="H1273">
        <v>0</v>
      </c>
    </row>
    <row r="1274" spans="1:8" x14ac:dyDescent="0.3">
      <c r="A1274">
        <v>2019</v>
      </c>
      <c r="B1274" t="s">
        <v>34</v>
      </c>
      <c r="C1274" t="s">
        <v>267</v>
      </c>
      <c r="D1274" t="s">
        <v>268</v>
      </c>
      <c r="E1274" t="s">
        <v>204</v>
      </c>
      <c r="F1274" t="s">
        <v>200</v>
      </c>
      <c r="G1274" t="s">
        <v>202</v>
      </c>
      <c r="H1274">
        <v>0</v>
      </c>
    </row>
    <row r="1275" spans="1:8" x14ac:dyDescent="0.3">
      <c r="A1275">
        <v>2019</v>
      </c>
      <c r="B1275" t="s">
        <v>34</v>
      </c>
      <c r="C1275" t="s">
        <v>267</v>
      </c>
      <c r="D1275" t="s">
        <v>268</v>
      </c>
      <c r="E1275" t="s">
        <v>205</v>
      </c>
      <c r="F1275" t="s">
        <v>200</v>
      </c>
      <c r="G1275" t="s">
        <v>202</v>
      </c>
      <c r="H1275">
        <v>0</v>
      </c>
    </row>
    <row r="1276" spans="1:8" x14ac:dyDescent="0.3">
      <c r="A1276">
        <v>2019</v>
      </c>
      <c r="B1276" t="s">
        <v>34</v>
      </c>
      <c r="C1276" t="s">
        <v>267</v>
      </c>
      <c r="D1276" t="s">
        <v>268</v>
      </c>
      <c r="E1276" t="s">
        <v>206</v>
      </c>
      <c r="F1276" t="s">
        <v>200</v>
      </c>
      <c r="G1276" t="s">
        <v>202</v>
      </c>
      <c r="H1276">
        <v>0</v>
      </c>
    </row>
    <row r="1277" spans="1:8" x14ac:dyDescent="0.3">
      <c r="A1277">
        <v>2019</v>
      </c>
      <c r="B1277" t="s">
        <v>35</v>
      </c>
      <c r="C1277" t="s">
        <v>267</v>
      </c>
      <c r="D1277" t="s">
        <v>268</v>
      </c>
      <c r="E1277" t="s">
        <v>1</v>
      </c>
      <c r="F1277" t="s">
        <v>200</v>
      </c>
      <c r="G1277" t="s">
        <v>202</v>
      </c>
      <c r="H1277">
        <v>0</v>
      </c>
    </row>
    <row r="1278" spans="1:8" x14ac:dyDescent="0.3">
      <c r="A1278">
        <v>2019</v>
      </c>
      <c r="B1278" t="s">
        <v>35</v>
      </c>
      <c r="C1278" t="s">
        <v>267</v>
      </c>
      <c r="D1278" t="s">
        <v>268</v>
      </c>
      <c r="E1278" t="s">
        <v>203</v>
      </c>
      <c r="F1278" t="s">
        <v>200</v>
      </c>
      <c r="G1278" t="s">
        <v>202</v>
      </c>
      <c r="H1278">
        <v>0</v>
      </c>
    </row>
    <row r="1279" spans="1:8" x14ac:dyDescent="0.3">
      <c r="A1279">
        <v>2019</v>
      </c>
      <c r="B1279" t="s">
        <v>35</v>
      </c>
      <c r="C1279" t="s">
        <v>267</v>
      </c>
      <c r="D1279" t="s">
        <v>268</v>
      </c>
      <c r="E1279" t="s">
        <v>204</v>
      </c>
      <c r="F1279" t="s">
        <v>200</v>
      </c>
      <c r="G1279" t="s">
        <v>202</v>
      </c>
      <c r="H1279">
        <v>0</v>
      </c>
    </row>
    <row r="1280" spans="1:8" x14ac:dyDescent="0.3">
      <c r="A1280">
        <v>2019</v>
      </c>
      <c r="B1280" t="s">
        <v>35</v>
      </c>
      <c r="C1280" t="s">
        <v>267</v>
      </c>
      <c r="D1280" t="s">
        <v>268</v>
      </c>
      <c r="E1280" t="s">
        <v>205</v>
      </c>
      <c r="F1280" t="s">
        <v>200</v>
      </c>
      <c r="G1280" t="s">
        <v>202</v>
      </c>
      <c r="H1280">
        <v>0</v>
      </c>
    </row>
    <row r="1281" spans="1:8" x14ac:dyDescent="0.3">
      <c r="A1281">
        <v>2019</v>
      </c>
      <c r="B1281" t="s">
        <v>35</v>
      </c>
      <c r="C1281" t="s">
        <v>267</v>
      </c>
      <c r="D1281" t="s">
        <v>268</v>
      </c>
      <c r="E1281" t="s">
        <v>206</v>
      </c>
      <c r="F1281" t="s">
        <v>200</v>
      </c>
      <c r="G1281" t="s">
        <v>202</v>
      </c>
    </row>
    <row r="1282" spans="1:8" x14ac:dyDescent="0.3">
      <c r="A1282">
        <v>2019</v>
      </c>
      <c r="B1282" t="s">
        <v>36</v>
      </c>
      <c r="C1282" t="s">
        <v>267</v>
      </c>
      <c r="D1282" t="s">
        <v>268</v>
      </c>
      <c r="E1282" t="s">
        <v>1</v>
      </c>
      <c r="F1282" t="s">
        <v>200</v>
      </c>
      <c r="G1282" t="s">
        <v>202</v>
      </c>
      <c r="H1282">
        <v>0</v>
      </c>
    </row>
    <row r="1283" spans="1:8" x14ac:dyDescent="0.3">
      <c r="A1283">
        <v>2019</v>
      </c>
      <c r="B1283" t="s">
        <v>36</v>
      </c>
      <c r="C1283" t="s">
        <v>267</v>
      </c>
      <c r="D1283" t="s">
        <v>268</v>
      </c>
      <c r="E1283" t="s">
        <v>203</v>
      </c>
      <c r="F1283" t="s">
        <v>200</v>
      </c>
      <c r="G1283" t="s">
        <v>202</v>
      </c>
      <c r="H1283">
        <v>0</v>
      </c>
    </row>
    <row r="1284" spans="1:8" x14ac:dyDescent="0.3">
      <c r="A1284">
        <v>2019</v>
      </c>
      <c r="B1284" t="s">
        <v>36</v>
      </c>
      <c r="C1284" t="s">
        <v>267</v>
      </c>
      <c r="D1284" t="s">
        <v>268</v>
      </c>
      <c r="E1284" t="s">
        <v>204</v>
      </c>
      <c r="F1284" t="s">
        <v>200</v>
      </c>
      <c r="G1284" t="s">
        <v>202</v>
      </c>
      <c r="H1284">
        <v>0</v>
      </c>
    </row>
    <row r="1285" spans="1:8" x14ac:dyDescent="0.3">
      <c r="A1285">
        <v>2019</v>
      </c>
      <c r="B1285" t="s">
        <v>36</v>
      </c>
      <c r="C1285" t="s">
        <v>267</v>
      </c>
      <c r="D1285" t="s">
        <v>268</v>
      </c>
      <c r="E1285" t="s">
        <v>205</v>
      </c>
      <c r="F1285" t="s">
        <v>200</v>
      </c>
      <c r="G1285" t="s">
        <v>202</v>
      </c>
      <c r="H1285">
        <v>0</v>
      </c>
    </row>
    <row r="1286" spans="1:8" x14ac:dyDescent="0.3">
      <c r="A1286">
        <v>2019</v>
      </c>
      <c r="B1286" t="s">
        <v>36</v>
      </c>
      <c r="C1286" t="s">
        <v>267</v>
      </c>
      <c r="D1286" t="s">
        <v>268</v>
      </c>
      <c r="E1286" t="s">
        <v>206</v>
      </c>
      <c r="F1286" t="s">
        <v>200</v>
      </c>
      <c r="G1286" t="s">
        <v>202</v>
      </c>
      <c r="H1286">
        <v>0</v>
      </c>
    </row>
    <row r="1287" spans="1:8" x14ac:dyDescent="0.3">
      <c r="A1287">
        <v>2019</v>
      </c>
      <c r="B1287" t="s">
        <v>37</v>
      </c>
      <c r="C1287" t="s">
        <v>267</v>
      </c>
      <c r="D1287" t="s">
        <v>268</v>
      </c>
      <c r="E1287" t="s">
        <v>1</v>
      </c>
      <c r="F1287" t="s">
        <v>200</v>
      </c>
      <c r="G1287" t="s">
        <v>202</v>
      </c>
      <c r="H1287">
        <v>2</v>
      </c>
    </row>
    <row r="1288" spans="1:8" x14ac:dyDescent="0.3">
      <c r="A1288">
        <v>2019</v>
      </c>
      <c r="B1288" t="s">
        <v>37</v>
      </c>
      <c r="C1288" t="s">
        <v>267</v>
      </c>
      <c r="D1288" t="s">
        <v>268</v>
      </c>
      <c r="E1288" t="s">
        <v>203</v>
      </c>
      <c r="F1288" t="s">
        <v>200</v>
      </c>
      <c r="G1288" t="s">
        <v>202</v>
      </c>
      <c r="H1288">
        <v>0</v>
      </c>
    </row>
    <row r="1289" spans="1:8" x14ac:dyDescent="0.3">
      <c r="A1289">
        <v>2019</v>
      </c>
      <c r="B1289" t="s">
        <v>37</v>
      </c>
      <c r="C1289" t="s">
        <v>267</v>
      </c>
      <c r="D1289" t="s">
        <v>268</v>
      </c>
      <c r="E1289" t="s">
        <v>204</v>
      </c>
      <c r="F1289" t="s">
        <v>200</v>
      </c>
      <c r="G1289" t="s">
        <v>202</v>
      </c>
      <c r="H1289">
        <v>0</v>
      </c>
    </row>
    <row r="1290" spans="1:8" x14ac:dyDescent="0.3">
      <c r="A1290">
        <v>2019</v>
      </c>
      <c r="B1290" t="s">
        <v>37</v>
      </c>
      <c r="C1290" t="s">
        <v>267</v>
      </c>
      <c r="D1290" t="s">
        <v>268</v>
      </c>
      <c r="E1290" t="s">
        <v>205</v>
      </c>
      <c r="F1290" t="s">
        <v>200</v>
      </c>
      <c r="G1290" t="s">
        <v>202</v>
      </c>
      <c r="H1290">
        <v>0</v>
      </c>
    </row>
    <row r="1291" spans="1:8" x14ac:dyDescent="0.3">
      <c r="A1291">
        <v>2019</v>
      </c>
      <c r="B1291" t="s">
        <v>37</v>
      </c>
      <c r="C1291" t="s">
        <v>267</v>
      </c>
      <c r="D1291" t="s">
        <v>268</v>
      </c>
      <c r="E1291" t="s">
        <v>206</v>
      </c>
      <c r="F1291" t="s">
        <v>200</v>
      </c>
      <c r="G1291" t="s">
        <v>202</v>
      </c>
      <c r="H1291">
        <v>0</v>
      </c>
    </row>
    <row r="1292" spans="1:8" x14ac:dyDescent="0.3">
      <c r="A1292">
        <v>2019</v>
      </c>
      <c r="B1292" t="s">
        <v>38</v>
      </c>
      <c r="C1292" t="s">
        <v>267</v>
      </c>
      <c r="D1292" t="s">
        <v>268</v>
      </c>
      <c r="E1292" t="s">
        <v>1</v>
      </c>
      <c r="F1292" t="s">
        <v>200</v>
      </c>
      <c r="G1292" t="s">
        <v>202</v>
      </c>
      <c r="H1292">
        <v>3</v>
      </c>
    </row>
    <row r="1293" spans="1:8" x14ac:dyDescent="0.3">
      <c r="A1293">
        <v>2019</v>
      </c>
      <c r="B1293" t="s">
        <v>38</v>
      </c>
      <c r="C1293" t="s">
        <v>267</v>
      </c>
      <c r="D1293" t="s">
        <v>268</v>
      </c>
      <c r="E1293" t="s">
        <v>203</v>
      </c>
      <c r="F1293" t="s">
        <v>200</v>
      </c>
      <c r="G1293" t="s">
        <v>202</v>
      </c>
      <c r="H1293">
        <v>0</v>
      </c>
    </row>
    <row r="1294" spans="1:8" x14ac:dyDescent="0.3">
      <c r="A1294">
        <v>2019</v>
      </c>
      <c r="B1294" t="s">
        <v>38</v>
      </c>
      <c r="C1294" t="s">
        <v>267</v>
      </c>
      <c r="D1294" t="s">
        <v>268</v>
      </c>
      <c r="E1294" t="s">
        <v>204</v>
      </c>
      <c r="F1294" t="s">
        <v>200</v>
      </c>
      <c r="G1294" t="s">
        <v>202</v>
      </c>
      <c r="H1294">
        <v>0</v>
      </c>
    </row>
    <row r="1295" spans="1:8" x14ac:dyDescent="0.3">
      <c r="A1295">
        <v>2019</v>
      </c>
      <c r="B1295" t="s">
        <v>38</v>
      </c>
      <c r="C1295" t="s">
        <v>267</v>
      </c>
      <c r="D1295" t="s">
        <v>268</v>
      </c>
      <c r="E1295" t="s">
        <v>205</v>
      </c>
      <c r="F1295" t="s">
        <v>200</v>
      </c>
      <c r="G1295" t="s">
        <v>202</v>
      </c>
      <c r="H1295">
        <v>0</v>
      </c>
    </row>
    <row r="1296" spans="1:8" x14ac:dyDescent="0.3">
      <c r="A1296">
        <v>2019</v>
      </c>
      <c r="B1296" t="s">
        <v>38</v>
      </c>
      <c r="C1296" t="s">
        <v>267</v>
      </c>
      <c r="D1296" t="s">
        <v>268</v>
      </c>
      <c r="E1296" t="s">
        <v>206</v>
      </c>
      <c r="F1296" t="s">
        <v>200</v>
      </c>
      <c r="G1296" t="s">
        <v>202</v>
      </c>
      <c r="H1296">
        <v>0</v>
      </c>
    </row>
    <row r="1297" spans="1:8" x14ac:dyDescent="0.3">
      <c r="A1297">
        <v>2019</v>
      </c>
      <c r="B1297" t="s">
        <v>39</v>
      </c>
      <c r="C1297" t="s">
        <v>267</v>
      </c>
      <c r="D1297" t="s">
        <v>268</v>
      </c>
      <c r="E1297" t="s">
        <v>1</v>
      </c>
      <c r="F1297" t="s">
        <v>200</v>
      </c>
      <c r="G1297" t="s">
        <v>202</v>
      </c>
      <c r="H1297">
        <v>0</v>
      </c>
    </row>
    <row r="1298" spans="1:8" x14ac:dyDescent="0.3">
      <c r="A1298">
        <v>2019</v>
      </c>
      <c r="B1298" t="s">
        <v>39</v>
      </c>
      <c r="C1298" t="s">
        <v>267</v>
      </c>
      <c r="D1298" t="s">
        <v>268</v>
      </c>
      <c r="E1298" t="s">
        <v>203</v>
      </c>
      <c r="F1298" t="s">
        <v>200</v>
      </c>
      <c r="G1298" t="s">
        <v>202</v>
      </c>
      <c r="H1298">
        <v>0</v>
      </c>
    </row>
    <row r="1299" spans="1:8" x14ac:dyDescent="0.3">
      <c r="A1299">
        <v>2019</v>
      </c>
      <c r="B1299" t="s">
        <v>39</v>
      </c>
      <c r="C1299" t="s">
        <v>267</v>
      </c>
      <c r="D1299" t="s">
        <v>268</v>
      </c>
      <c r="E1299" t="s">
        <v>204</v>
      </c>
      <c r="F1299" t="s">
        <v>200</v>
      </c>
      <c r="G1299" t="s">
        <v>202</v>
      </c>
      <c r="H1299">
        <v>0</v>
      </c>
    </row>
    <row r="1300" spans="1:8" x14ac:dyDescent="0.3">
      <c r="A1300">
        <v>2019</v>
      </c>
      <c r="B1300" t="s">
        <v>39</v>
      </c>
      <c r="C1300" t="s">
        <v>267</v>
      </c>
      <c r="D1300" t="s">
        <v>268</v>
      </c>
      <c r="E1300" t="s">
        <v>205</v>
      </c>
      <c r="F1300" t="s">
        <v>200</v>
      </c>
      <c r="G1300" t="s">
        <v>202</v>
      </c>
      <c r="H1300">
        <v>0</v>
      </c>
    </row>
    <row r="1301" spans="1:8" x14ac:dyDescent="0.3">
      <c r="A1301">
        <v>2019</v>
      </c>
      <c r="B1301" t="s">
        <v>39</v>
      </c>
      <c r="C1301" t="s">
        <v>267</v>
      </c>
      <c r="D1301" t="s">
        <v>268</v>
      </c>
      <c r="E1301" t="s">
        <v>206</v>
      </c>
      <c r="F1301" t="s">
        <v>200</v>
      </c>
      <c r="G1301" t="s">
        <v>202</v>
      </c>
      <c r="H1301">
        <v>0</v>
      </c>
    </row>
    <row r="1302" spans="1:8" x14ac:dyDescent="0.3">
      <c r="A1302">
        <v>2019</v>
      </c>
      <c r="B1302" t="s">
        <v>50</v>
      </c>
      <c r="C1302" t="s">
        <v>267</v>
      </c>
      <c r="D1302" t="s">
        <v>268</v>
      </c>
      <c r="E1302" t="s">
        <v>1</v>
      </c>
      <c r="F1302" t="s">
        <v>200</v>
      </c>
      <c r="G1302" t="s">
        <v>202</v>
      </c>
      <c r="H1302">
        <v>0</v>
      </c>
    </row>
    <row r="1303" spans="1:8" x14ac:dyDescent="0.3">
      <c r="A1303">
        <v>2019</v>
      </c>
      <c r="B1303" t="s">
        <v>50</v>
      </c>
      <c r="C1303" t="s">
        <v>267</v>
      </c>
      <c r="D1303" t="s">
        <v>268</v>
      </c>
      <c r="E1303" t="s">
        <v>203</v>
      </c>
      <c r="F1303" t="s">
        <v>200</v>
      </c>
      <c r="G1303" t="s">
        <v>202</v>
      </c>
      <c r="H1303">
        <v>0</v>
      </c>
    </row>
    <row r="1304" spans="1:8" x14ac:dyDescent="0.3">
      <c r="A1304">
        <v>2019</v>
      </c>
      <c r="B1304" t="s">
        <v>50</v>
      </c>
      <c r="C1304" t="s">
        <v>267</v>
      </c>
      <c r="D1304" t="s">
        <v>268</v>
      </c>
      <c r="E1304" t="s">
        <v>204</v>
      </c>
      <c r="F1304" t="s">
        <v>200</v>
      </c>
      <c r="G1304" t="s">
        <v>202</v>
      </c>
      <c r="H1304">
        <v>0</v>
      </c>
    </row>
    <row r="1305" spans="1:8" x14ac:dyDescent="0.3">
      <c r="A1305">
        <v>2019</v>
      </c>
      <c r="B1305" t="s">
        <v>50</v>
      </c>
      <c r="C1305" t="s">
        <v>267</v>
      </c>
      <c r="D1305" t="s">
        <v>268</v>
      </c>
      <c r="E1305" t="s">
        <v>205</v>
      </c>
      <c r="F1305" t="s">
        <v>200</v>
      </c>
      <c r="G1305" t="s">
        <v>202</v>
      </c>
      <c r="H1305">
        <v>0</v>
      </c>
    </row>
    <row r="1306" spans="1:8" x14ac:dyDescent="0.3">
      <c r="A1306">
        <v>2019</v>
      </c>
      <c r="B1306" t="s">
        <v>50</v>
      </c>
      <c r="C1306" t="s">
        <v>267</v>
      </c>
      <c r="D1306" t="s">
        <v>268</v>
      </c>
      <c r="E1306" t="s">
        <v>206</v>
      </c>
      <c r="F1306" t="s">
        <v>200</v>
      </c>
      <c r="G1306" t="s">
        <v>202</v>
      </c>
      <c r="H1306">
        <v>0</v>
      </c>
    </row>
    <row r="1307" spans="1:8" x14ac:dyDescent="0.3">
      <c r="A1307">
        <v>2019</v>
      </c>
      <c r="B1307" t="s">
        <v>40</v>
      </c>
      <c r="C1307" t="s">
        <v>267</v>
      </c>
      <c r="D1307" t="s">
        <v>268</v>
      </c>
      <c r="E1307" t="s">
        <v>1</v>
      </c>
      <c r="F1307" t="s">
        <v>200</v>
      </c>
      <c r="G1307" t="s">
        <v>202</v>
      </c>
      <c r="H1307">
        <v>0</v>
      </c>
    </row>
    <row r="1308" spans="1:8" x14ac:dyDescent="0.3">
      <c r="A1308">
        <v>2019</v>
      </c>
      <c r="B1308" t="s">
        <v>40</v>
      </c>
      <c r="C1308" t="s">
        <v>267</v>
      </c>
      <c r="D1308" t="s">
        <v>268</v>
      </c>
      <c r="E1308" t="s">
        <v>203</v>
      </c>
      <c r="F1308" t="s">
        <v>200</v>
      </c>
      <c r="G1308" t="s">
        <v>202</v>
      </c>
      <c r="H1308">
        <v>0</v>
      </c>
    </row>
    <row r="1309" spans="1:8" x14ac:dyDescent="0.3">
      <c r="A1309">
        <v>2019</v>
      </c>
      <c r="B1309" t="s">
        <v>40</v>
      </c>
      <c r="C1309" t="s">
        <v>267</v>
      </c>
      <c r="D1309" t="s">
        <v>268</v>
      </c>
      <c r="E1309" t="s">
        <v>204</v>
      </c>
      <c r="F1309" t="s">
        <v>200</v>
      </c>
      <c r="G1309" t="s">
        <v>202</v>
      </c>
      <c r="H1309">
        <v>0</v>
      </c>
    </row>
    <row r="1310" spans="1:8" x14ac:dyDescent="0.3">
      <c r="A1310">
        <v>2019</v>
      </c>
      <c r="B1310" t="s">
        <v>40</v>
      </c>
      <c r="C1310" t="s">
        <v>267</v>
      </c>
      <c r="D1310" t="s">
        <v>268</v>
      </c>
      <c r="E1310" t="s">
        <v>205</v>
      </c>
      <c r="F1310" t="s">
        <v>200</v>
      </c>
      <c r="G1310" t="s">
        <v>202</v>
      </c>
      <c r="H1310">
        <v>0</v>
      </c>
    </row>
    <row r="1311" spans="1:8" x14ac:dyDescent="0.3">
      <c r="A1311">
        <v>2019</v>
      </c>
      <c r="B1311" t="s">
        <v>40</v>
      </c>
      <c r="C1311" t="s">
        <v>267</v>
      </c>
      <c r="D1311" t="s">
        <v>268</v>
      </c>
      <c r="E1311" t="s">
        <v>206</v>
      </c>
      <c r="F1311" t="s">
        <v>200</v>
      </c>
      <c r="G1311" t="s">
        <v>202</v>
      </c>
      <c r="H1311">
        <v>0</v>
      </c>
    </row>
    <row r="1312" spans="1:8" x14ac:dyDescent="0.3">
      <c r="A1312">
        <v>2019</v>
      </c>
      <c r="B1312" t="s">
        <v>41</v>
      </c>
      <c r="C1312" t="s">
        <v>267</v>
      </c>
      <c r="D1312" t="s">
        <v>268</v>
      </c>
      <c r="E1312" t="s">
        <v>1</v>
      </c>
      <c r="F1312" t="s">
        <v>200</v>
      </c>
      <c r="G1312" t="s">
        <v>202</v>
      </c>
      <c r="H1312">
        <v>1</v>
      </c>
    </row>
    <row r="1313" spans="1:8" x14ac:dyDescent="0.3">
      <c r="A1313">
        <v>2019</v>
      </c>
      <c r="B1313" t="s">
        <v>41</v>
      </c>
      <c r="C1313" t="s">
        <v>267</v>
      </c>
      <c r="D1313" t="s">
        <v>268</v>
      </c>
      <c r="E1313" t="s">
        <v>203</v>
      </c>
      <c r="F1313" t="s">
        <v>200</v>
      </c>
      <c r="G1313" t="s">
        <v>202</v>
      </c>
      <c r="H1313">
        <v>0</v>
      </c>
    </row>
    <row r="1314" spans="1:8" x14ac:dyDescent="0.3">
      <c r="A1314">
        <v>2019</v>
      </c>
      <c r="B1314" t="s">
        <v>41</v>
      </c>
      <c r="C1314" t="s">
        <v>267</v>
      </c>
      <c r="D1314" t="s">
        <v>268</v>
      </c>
      <c r="E1314" t="s">
        <v>204</v>
      </c>
      <c r="F1314" t="s">
        <v>200</v>
      </c>
      <c r="G1314" t="s">
        <v>202</v>
      </c>
      <c r="H1314">
        <v>0</v>
      </c>
    </row>
    <row r="1315" spans="1:8" x14ac:dyDescent="0.3">
      <c r="A1315">
        <v>2019</v>
      </c>
      <c r="B1315" t="s">
        <v>41</v>
      </c>
      <c r="C1315" t="s">
        <v>267</v>
      </c>
      <c r="D1315" t="s">
        <v>268</v>
      </c>
      <c r="E1315" t="s">
        <v>205</v>
      </c>
      <c r="F1315" t="s">
        <v>200</v>
      </c>
      <c r="G1315" t="s">
        <v>202</v>
      </c>
      <c r="H1315">
        <v>0</v>
      </c>
    </row>
    <row r="1316" spans="1:8" x14ac:dyDescent="0.3">
      <c r="A1316">
        <v>2019</v>
      </c>
      <c r="B1316" t="s">
        <v>41</v>
      </c>
      <c r="C1316" t="s">
        <v>267</v>
      </c>
      <c r="D1316" t="s">
        <v>268</v>
      </c>
      <c r="E1316" t="s">
        <v>206</v>
      </c>
      <c r="F1316" t="s">
        <v>200</v>
      </c>
      <c r="G1316" t="s">
        <v>202</v>
      </c>
      <c r="H1316">
        <v>0</v>
      </c>
    </row>
    <row r="1317" spans="1:8" x14ac:dyDescent="0.3">
      <c r="A1317">
        <v>2019</v>
      </c>
      <c r="B1317" t="s">
        <v>42</v>
      </c>
      <c r="C1317" t="s">
        <v>267</v>
      </c>
      <c r="D1317" t="s">
        <v>268</v>
      </c>
      <c r="E1317" t="s">
        <v>1</v>
      </c>
      <c r="F1317" t="s">
        <v>200</v>
      </c>
      <c r="G1317" t="s">
        <v>202</v>
      </c>
      <c r="H1317">
        <v>2</v>
      </c>
    </row>
    <row r="1318" spans="1:8" x14ac:dyDescent="0.3">
      <c r="A1318">
        <v>2019</v>
      </c>
      <c r="B1318" t="s">
        <v>42</v>
      </c>
      <c r="C1318" t="s">
        <v>267</v>
      </c>
      <c r="D1318" t="s">
        <v>268</v>
      </c>
      <c r="E1318" t="s">
        <v>203</v>
      </c>
      <c r="F1318" t="s">
        <v>200</v>
      </c>
      <c r="G1318" t="s">
        <v>202</v>
      </c>
      <c r="H1318">
        <v>1</v>
      </c>
    </row>
    <row r="1319" spans="1:8" x14ac:dyDescent="0.3">
      <c r="A1319">
        <v>2019</v>
      </c>
      <c r="B1319" t="s">
        <v>42</v>
      </c>
      <c r="C1319" t="s">
        <v>267</v>
      </c>
      <c r="D1319" t="s">
        <v>268</v>
      </c>
      <c r="E1319" t="s">
        <v>204</v>
      </c>
      <c r="F1319" t="s">
        <v>200</v>
      </c>
      <c r="G1319" t="s">
        <v>202</v>
      </c>
      <c r="H1319">
        <v>0</v>
      </c>
    </row>
    <row r="1320" spans="1:8" x14ac:dyDescent="0.3">
      <c r="A1320">
        <v>2019</v>
      </c>
      <c r="B1320" t="s">
        <v>42</v>
      </c>
      <c r="C1320" t="s">
        <v>267</v>
      </c>
      <c r="D1320" t="s">
        <v>268</v>
      </c>
      <c r="E1320" t="s">
        <v>205</v>
      </c>
      <c r="F1320" t="s">
        <v>200</v>
      </c>
      <c r="G1320" t="s">
        <v>202</v>
      </c>
      <c r="H1320">
        <v>0</v>
      </c>
    </row>
    <row r="1321" spans="1:8" x14ac:dyDescent="0.3">
      <c r="A1321">
        <v>2019</v>
      </c>
      <c r="B1321" t="s">
        <v>42</v>
      </c>
      <c r="C1321" t="s">
        <v>267</v>
      </c>
      <c r="D1321" t="s">
        <v>268</v>
      </c>
      <c r="E1321" t="s">
        <v>206</v>
      </c>
      <c r="F1321" t="s">
        <v>200</v>
      </c>
      <c r="G1321" t="s">
        <v>202</v>
      </c>
      <c r="H1321">
        <v>0</v>
      </c>
    </row>
    <row r="1322" spans="1:8" x14ac:dyDescent="0.3">
      <c r="A1322">
        <v>2019</v>
      </c>
      <c r="B1322" t="s">
        <v>215</v>
      </c>
      <c r="C1322" t="s">
        <v>267</v>
      </c>
      <c r="D1322" t="s">
        <v>268</v>
      </c>
      <c r="E1322" t="s">
        <v>1</v>
      </c>
      <c r="F1322" t="s">
        <v>200</v>
      </c>
      <c r="G1322" t="s">
        <v>202</v>
      </c>
      <c r="H1322">
        <v>0</v>
      </c>
    </row>
    <row r="1323" spans="1:8" x14ac:dyDescent="0.3">
      <c r="A1323">
        <v>2019</v>
      </c>
      <c r="B1323" t="s">
        <v>215</v>
      </c>
      <c r="C1323" t="s">
        <v>267</v>
      </c>
      <c r="D1323" t="s">
        <v>268</v>
      </c>
      <c r="E1323" t="s">
        <v>203</v>
      </c>
      <c r="F1323" t="s">
        <v>200</v>
      </c>
      <c r="G1323" t="s">
        <v>202</v>
      </c>
      <c r="H1323">
        <v>0</v>
      </c>
    </row>
    <row r="1324" spans="1:8" x14ac:dyDescent="0.3">
      <c r="A1324">
        <v>2019</v>
      </c>
      <c r="B1324" t="s">
        <v>215</v>
      </c>
      <c r="C1324" t="s">
        <v>267</v>
      </c>
      <c r="D1324" t="s">
        <v>268</v>
      </c>
      <c r="E1324" t="s">
        <v>204</v>
      </c>
      <c r="F1324" t="s">
        <v>200</v>
      </c>
      <c r="G1324" t="s">
        <v>202</v>
      </c>
      <c r="H1324">
        <v>0</v>
      </c>
    </row>
    <row r="1325" spans="1:8" x14ac:dyDescent="0.3">
      <c r="A1325">
        <v>2019</v>
      </c>
      <c r="B1325" t="s">
        <v>215</v>
      </c>
      <c r="C1325" t="s">
        <v>267</v>
      </c>
      <c r="D1325" t="s">
        <v>268</v>
      </c>
      <c r="E1325" t="s">
        <v>205</v>
      </c>
      <c r="F1325" t="s">
        <v>200</v>
      </c>
      <c r="G1325" t="s">
        <v>202</v>
      </c>
      <c r="H1325">
        <v>0</v>
      </c>
    </row>
    <row r="1326" spans="1:8" x14ac:dyDescent="0.3">
      <c r="A1326">
        <v>2019</v>
      </c>
      <c r="B1326" t="s">
        <v>215</v>
      </c>
      <c r="C1326" t="s">
        <v>267</v>
      </c>
      <c r="D1326" t="s">
        <v>268</v>
      </c>
      <c r="E1326" t="s">
        <v>206</v>
      </c>
      <c r="F1326" t="s">
        <v>200</v>
      </c>
      <c r="G1326" t="s">
        <v>202</v>
      </c>
      <c r="H1326">
        <v>0</v>
      </c>
    </row>
    <row r="1327" spans="1:8" x14ac:dyDescent="0.3">
      <c r="A1327">
        <v>2019</v>
      </c>
      <c r="B1327" t="s">
        <v>43</v>
      </c>
      <c r="C1327" t="s">
        <v>267</v>
      </c>
      <c r="D1327" t="s">
        <v>268</v>
      </c>
      <c r="E1327" t="s">
        <v>1</v>
      </c>
      <c r="F1327" t="s">
        <v>200</v>
      </c>
      <c r="G1327" t="s">
        <v>202</v>
      </c>
      <c r="H1327">
        <v>0</v>
      </c>
    </row>
    <row r="1328" spans="1:8" x14ac:dyDescent="0.3">
      <c r="A1328">
        <v>2019</v>
      </c>
      <c r="B1328" t="s">
        <v>43</v>
      </c>
      <c r="C1328" t="s">
        <v>267</v>
      </c>
      <c r="D1328" t="s">
        <v>268</v>
      </c>
      <c r="E1328" t="s">
        <v>203</v>
      </c>
      <c r="F1328" t="s">
        <v>200</v>
      </c>
      <c r="G1328" t="s">
        <v>202</v>
      </c>
      <c r="H1328">
        <v>0</v>
      </c>
    </row>
    <row r="1329" spans="1:8" x14ac:dyDescent="0.3">
      <c r="A1329">
        <v>2019</v>
      </c>
      <c r="B1329" t="s">
        <v>43</v>
      </c>
      <c r="C1329" t="s">
        <v>267</v>
      </c>
      <c r="D1329" t="s">
        <v>268</v>
      </c>
      <c r="E1329" t="s">
        <v>204</v>
      </c>
      <c r="F1329" t="s">
        <v>200</v>
      </c>
      <c r="G1329" t="s">
        <v>202</v>
      </c>
      <c r="H1329">
        <v>0</v>
      </c>
    </row>
    <row r="1330" spans="1:8" x14ac:dyDescent="0.3">
      <c r="A1330">
        <v>2019</v>
      </c>
      <c r="B1330" t="s">
        <v>43</v>
      </c>
      <c r="C1330" t="s">
        <v>267</v>
      </c>
      <c r="D1330" t="s">
        <v>268</v>
      </c>
      <c r="E1330" t="s">
        <v>205</v>
      </c>
      <c r="F1330" t="s">
        <v>200</v>
      </c>
      <c r="G1330" t="s">
        <v>202</v>
      </c>
      <c r="H1330">
        <v>0</v>
      </c>
    </row>
    <row r="1331" spans="1:8" x14ac:dyDescent="0.3">
      <c r="A1331">
        <v>2019</v>
      </c>
      <c r="B1331" t="s">
        <v>43</v>
      </c>
      <c r="C1331" t="s">
        <v>267</v>
      </c>
      <c r="D1331" t="s">
        <v>268</v>
      </c>
      <c r="E1331" t="s">
        <v>206</v>
      </c>
      <c r="F1331" t="s">
        <v>200</v>
      </c>
      <c r="G1331" t="s">
        <v>202</v>
      </c>
      <c r="H1331">
        <v>0</v>
      </c>
    </row>
    <row r="1332" spans="1:8" x14ac:dyDescent="0.3">
      <c r="A1332">
        <v>2019</v>
      </c>
      <c r="B1332" t="s">
        <v>52</v>
      </c>
      <c r="C1332" t="s">
        <v>267</v>
      </c>
      <c r="D1332" t="s">
        <v>268</v>
      </c>
      <c r="E1332" t="s">
        <v>1</v>
      </c>
      <c r="F1332" t="s">
        <v>200</v>
      </c>
      <c r="G1332" t="s">
        <v>202</v>
      </c>
      <c r="H1332">
        <v>0</v>
      </c>
    </row>
    <row r="1333" spans="1:8" x14ac:dyDescent="0.3">
      <c r="A1333">
        <v>2019</v>
      </c>
      <c r="B1333" t="s">
        <v>52</v>
      </c>
      <c r="C1333" t="s">
        <v>267</v>
      </c>
      <c r="D1333" t="s">
        <v>268</v>
      </c>
      <c r="E1333" t="s">
        <v>203</v>
      </c>
      <c r="F1333" t="s">
        <v>200</v>
      </c>
      <c r="G1333" t="s">
        <v>202</v>
      </c>
      <c r="H1333">
        <v>0</v>
      </c>
    </row>
    <row r="1334" spans="1:8" x14ac:dyDescent="0.3">
      <c r="A1334">
        <v>2019</v>
      </c>
      <c r="B1334" t="s">
        <v>52</v>
      </c>
      <c r="C1334" t="s">
        <v>267</v>
      </c>
      <c r="D1334" t="s">
        <v>268</v>
      </c>
      <c r="E1334" t="s">
        <v>204</v>
      </c>
      <c r="F1334" t="s">
        <v>200</v>
      </c>
      <c r="G1334" t="s">
        <v>202</v>
      </c>
      <c r="H1334">
        <v>0</v>
      </c>
    </row>
    <row r="1335" spans="1:8" x14ac:dyDescent="0.3">
      <c r="A1335">
        <v>2019</v>
      </c>
      <c r="B1335" t="s">
        <v>52</v>
      </c>
      <c r="C1335" t="s">
        <v>267</v>
      </c>
      <c r="D1335" t="s">
        <v>268</v>
      </c>
      <c r="E1335" t="s">
        <v>205</v>
      </c>
      <c r="F1335" t="s">
        <v>200</v>
      </c>
      <c r="G1335" t="s">
        <v>202</v>
      </c>
      <c r="H1335">
        <v>0</v>
      </c>
    </row>
    <row r="1336" spans="1:8" x14ac:dyDescent="0.3">
      <c r="A1336">
        <v>2019</v>
      </c>
      <c r="B1336" t="s">
        <v>52</v>
      </c>
      <c r="C1336" t="s">
        <v>267</v>
      </c>
      <c r="D1336" t="s">
        <v>268</v>
      </c>
      <c r="E1336" t="s">
        <v>206</v>
      </c>
      <c r="F1336" t="s">
        <v>200</v>
      </c>
      <c r="G1336" t="s">
        <v>202</v>
      </c>
      <c r="H1336">
        <v>0</v>
      </c>
    </row>
    <row r="1337" spans="1:8" x14ac:dyDescent="0.3">
      <c r="A1337">
        <v>2019</v>
      </c>
      <c r="B1337" t="s">
        <v>44</v>
      </c>
      <c r="C1337" t="s">
        <v>267</v>
      </c>
      <c r="D1337" t="s">
        <v>268</v>
      </c>
      <c r="E1337" t="s">
        <v>1</v>
      </c>
      <c r="F1337" t="s">
        <v>200</v>
      </c>
      <c r="G1337" t="s">
        <v>202</v>
      </c>
      <c r="H1337">
        <v>0</v>
      </c>
    </row>
    <row r="1338" spans="1:8" x14ac:dyDescent="0.3">
      <c r="A1338">
        <v>2019</v>
      </c>
      <c r="B1338" t="s">
        <v>44</v>
      </c>
      <c r="C1338" t="s">
        <v>267</v>
      </c>
      <c r="D1338" t="s">
        <v>268</v>
      </c>
      <c r="E1338" t="s">
        <v>203</v>
      </c>
      <c r="F1338" t="s">
        <v>200</v>
      </c>
      <c r="G1338" t="s">
        <v>202</v>
      </c>
      <c r="H1338">
        <v>0</v>
      </c>
    </row>
    <row r="1339" spans="1:8" x14ac:dyDescent="0.3">
      <c r="A1339">
        <v>2019</v>
      </c>
      <c r="B1339" t="s">
        <v>44</v>
      </c>
      <c r="C1339" t="s">
        <v>267</v>
      </c>
      <c r="D1339" t="s">
        <v>268</v>
      </c>
      <c r="E1339" t="s">
        <v>204</v>
      </c>
      <c r="F1339" t="s">
        <v>200</v>
      </c>
      <c r="G1339" t="s">
        <v>202</v>
      </c>
      <c r="H1339">
        <v>0</v>
      </c>
    </row>
    <row r="1340" spans="1:8" x14ac:dyDescent="0.3">
      <c r="A1340">
        <v>2019</v>
      </c>
      <c r="B1340" t="s">
        <v>44</v>
      </c>
      <c r="C1340" t="s">
        <v>267</v>
      </c>
      <c r="D1340" t="s">
        <v>268</v>
      </c>
      <c r="E1340" t="s">
        <v>205</v>
      </c>
      <c r="F1340" t="s">
        <v>200</v>
      </c>
      <c r="G1340" t="s">
        <v>202</v>
      </c>
      <c r="H1340">
        <v>0</v>
      </c>
    </row>
    <row r="1341" spans="1:8" x14ac:dyDescent="0.3">
      <c r="A1341">
        <v>2019</v>
      </c>
      <c r="B1341" t="s">
        <v>44</v>
      </c>
      <c r="C1341" t="s">
        <v>267</v>
      </c>
      <c r="D1341" t="s">
        <v>268</v>
      </c>
      <c r="E1341" t="s">
        <v>206</v>
      </c>
      <c r="F1341" t="s">
        <v>200</v>
      </c>
      <c r="G1341" t="s">
        <v>202</v>
      </c>
      <c r="H1341">
        <v>0</v>
      </c>
    </row>
    <row r="1342" spans="1:8" x14ac:dyDescent="0.3">
      <c r="A1342">
        <v>2019</v>
      </c>
      <c r="B1342" t="s">
        <v>53</v>
      </c>
      <c r="C1342" t="s">
        <v>267</v>
      </c>
      <c r="D1342" t="s">
        <v>268</v>
      </c>
      <c r="E1342" t="s">
        <v>1</v>
      </c>
      <c r="F1342" t="s">
        <v>200</v>
      </c>
      <c r="G1342" t="s">
        <v>202</v>
      </c>
      <c r="H1342">
        <v>0</v>
      </c>
    </row>
    <row r="1343" spans="1:8" x14ac:dyDescent="0.3">
      <c r="A1343">
        <v>2019</v>
      </c>
      <c r="B1343" t="s">
        <v>53</v>
      </c>
      <c r="C1343" t="s">
        <v>267</v>
      </c>
      <c r="D1343" t="s">
        <v>268</v>
      </c>
      <c r="E1343" t="s">
        <v>203</v>
      </c>
      <c r="F1343" t="s">
        <v>200</v>
      </c>
      <c r="G1343" t="s">
        <v>202</v>
      </c>
      <c r="H1343">
        <v>0</v>
      </c>
    </row>
    <row r="1344" spans="1:8" x14ac:dyDescent="0.3">
      <c r="A1344">
        <v>2019</v>
      </c>
      <c r="B1344" t="s">
        <v>53</v>
      </c>
      <c r="C1344" t="s">
        <v>267</v>
      </c>
      <c r="D1344" t="s">
        <v>268</v>
      </c>
      <c r="E1344" t="s">
        <v>204</v>
      </c>
      <c r="F1344" t="s">
        <v>200</v>
      </c>
      <c r="G1344" t="s">
        <v>202</v>
      </c>
      <c r="H1344">
        <v>0</v>
      </c>
    </row>
    <row r="1345" spans="1:8" x14ac:dyDescent="0.3">
      <c r="A1345">
        <v>2019</v>
      </c>
      <c r="B1345" t="s">
        <v>53</v>
      </c>
      <c r="C1345" t="s">
        <v>267</v>
      </c>
      <c r="D1345" t="s">
        <v>268</v>
      </c>
      <c r="E1345" t="s">
        <v>205</v>
      </c>
      <c r="F1345" t="s">
        <v>200</v>
      </c>
      <c r="G1345" t="s">
        <v>202</v>
      </c>
      <c r="H1345">
        <v>0</v>
      </c>
    </row>
    <row r="1346" spans="1:8" x14ac:dyDescent="0.3">
      <c r="A1346">
        <v>2019</v>
      </c>
      <c r="B1346" t="s">
        <v>53</v>
      </c>
      <c r="C1346" t="s">
        <v>267</v>
      </c>
      <c r="D1346" t="s">
        <v>268</v>
      </c>
      <c r="E1346" t="s">
        <v>206</v>
      </c>
      <c r="F1346" t="s">
        <v>200</v>
      </c>
      <c r="G1346" t="s">
        <v>202</v>
      </c>
      <c r="H1346">
        <v>0</v>
      </c>
    </row>
    <row r="1347" spans="1:8" x14ac:dyDescent="0.3">
      <c r="A1347">
        <v>2019</v>
      </c>
      <c r="B1347" t="s">
        <v>197</v>
      </c>
      <c r="C1347" t="s">
        <v>267</v>
      </c>
      <c r="D1347" t="s">
        <v>268</v>
      </c>
      <c r="E1347" t="s">
        <v>1</v>
      </c>
      <c r="F1347" t="s">
        <v>200</v>
      </c>
      <c r="G1347" t="s">
        <v>202</v>
      </c>
      <c r="H1347">
        <v>2</v>
      </c>
    </row>
    <row r="1348" spans="1:8" x14ac:dyDescent="0.3">
      <c r="A1348">
        <v>2019</v>
      </c>
      <c r="B1348" t="s">
        <v>197</v>
      </c>
      <c r="C1348" t="s">
        <v>267</v>
      </c>
      <c r="D1348" t="s">
        <v>268</v>
      </c>
      <c r="E1348" t="s">
        <v>203</v>
      </c>
      <c r="F1348" t="s">
        <v>200</v>
      </c>
      <c r="G1348" t="s">
        <v>202</v>
      </c>
      <c r="H1348">
        <v>0</v>
      </c>
    </row>
    <row r="1349" spans="1:8" x14ac:dyDescent="0.3">
      <c r="A1349">
        <v>2019</v>
      </c>
      <c r="B1349" t="s">
        <v>197</v>
      </c>
      <c r="C1349" t="s">
        <v>267</v>
      </c>
      <c r="D1349" t="s">
        <v>268</v>
      </c>
      <c r="E1349" t="s">
        <v>204</v>
      </c>
      <c r="F1349" t="s">
        <v>200</v>
      </c>
      <c r="G1349" t="s">
        <v>202</v>
      </c>
      <c r="H1349">
        <v>0</v>
      </c>
    </row>
    <row r="1350" spans="1:8" x14ac:dyDescent="0.3">
      <c r="A1350">
        <v>2019</v>
      </c>
      <c r="B1350" t="s">
        <v>197</v>
      </c>
      <c r="C1350" t="s">
        <v>267</v>
      </c>
      <c r="D1350" t="s">
        <v>268</v>
      </c>
      <c r="E1350" t="s">
        <v>205</v>
      </c>
      <c r="F1350" t="s">
        <v>200</v>
      </c>
      <c r="G1350" t="s">
        <v>202</v>
      </c>
      <c r="H1350">
        <v>0</v>
      </c>
    </row>
    <row r="1351" spans="1:8" x14ac:dyDescent="0.3">
      <c r="A1351">
        <v>2019</v>
      </c>
      <c r="B1351" t="s">
        <v>197</v>
      </c>
      <c r="C1351" t="s">
        <v>267</v>
      </c>
      <c r="D1351" t="s">
        <v>268</v>
      </c>
      <c r="E1351" t="s">
        <v>206</v>
      </c>
      <c r="F1351" t="s">
        <v>200</v>
      </c>
      <c r="G1351" t="s">
        <v>202</v>
      </c>
      <c r="H1351">
        <v>1</v>
      </c>
    </row>
    <row r="1352" spans="1:8" x14ac:dyDescent="0.3">
      <c r="A1352">
        <v>2019</v>
      </c>
      <c r="B1352" t="s">
        <v>8</v>
      </c>
      <c r="C1352" t="s">
        <v>267</v>
      </c>
      <c r="D1352" t="s">
        <v>268</v>
      </c>
      <c r="E1352" t="s">
        <v>1</v>
      </c>
      <c r="F1352" t="s">
        <v>207</v>
      </c>
      <c r="G1352" t="s">
        <v>201</v>
      </c>
      <c r="H1352">
        <v>12</v>
      </c>
    </row>
    <row r="1353" spans="1:8" x14ac:dyDescent="0.3">
      <c r="A1353">
        <v>2019</v>
      </c>
      <c r="B1353" t="s">
        <v>8</v>
      </c>
      <c r="C1353" t="s">
        <v>267</v>
      </c>
      <c r="D1353" t="s">
        <v>268</v>
      </c>
      <c r="E1353" t="s">
        <v>203</v>
      </c>
      <c r="F1353" t="s">
        <v>207</v>
      </c>
      <c r="G1353" t="s">
        <v>201</v>
      </c>
      <c r="H1353">
        <v>4</v>
      </c>
    </row>
    <row r="1354" spans="1:8" x14ac:dyDescent="0.3">
      <c r="A1354">
        <v>2019</v>
      </c>
      <c r="B1354" t="s">
        <v>8</v>
      </c>
      <c r="C1354" t="s">
        <v>267</v>
      </c>
      <c r="D1354" t="s">
        <v>268</v>
      </c>
      <c r="E1354" t="s">
        <v>204</v>
      </c>
      <c r="F1354" t="s">
        <v>207</v>
      </c>
      <c r="G1354" t="s">
        <v>201</v>
      </c>
      <c r="H1354">
        <v>0</v>
      </c>
    </row>
    <row r="1355" spans="1:8" x14ac:dyDescent="0.3">
      <c r="A1355">
        <v>2019</v>
      </c>
      <c r="B1355" t="s">
        <v>8</v>
      </c>
      <c r="C1355" t="s">
        <v>267</v>
      </c>
      <c r="D1355" t="s">
        <v>268</v>
      </c>
      <c r="E1355" t="s">
        <v>205</v>
      </c>
      <c r="F1355" t="s">
        <v>207</v>
      </c>
      <c r="G1355" t="s">
        <v>201</v>
      </c>
      <c r="H1355">
        <v>0</v>
      </c>
    </row>
    <row r="1356" spans="1:8" x14ac:dyDescent="0.3">
      <c r="A1356">
        <v>2019</v>
      </c>
      <c r="B1356" t="s">
        <v>8</v>
      </c>
      <c r="C1356" t="s">
        <v>267</v>
      </c>
      <c r="D1356" t="s">
        <v>268</v>
      </c>
      <c r="E1356" t="s">
        <v>206</v>
      </c>
      <c r="F1356" t="s">
        <v>207</v>
      </c>
      <c r="G1356" t="s">
        <v>201</v>
      </c>
      <c r="H1356">
        <v>551</v>
      </c>
    </row>
    <row r="1357" spans="1:8" x14ac:dyDescent="0.3">
      <c r="A1357">
        <v>2019</v>
      </c>
      <c r="B1357" t="s">
        <v>9</v>
      </c>
      <c r="C1357" t="s">
        <v>267</v>
      </c>
      <c r="D1357" t="s">
        <v>268</v>
      </c>
      <c r="E1357" t="s">
        <v>1</v>
      </c>
      <c r="F1357" t="s">
        <v>207</v>
      </c>
      <c r="G1357" t="s">
        <v>201</v>
      </c>
      <c r="H1357">
        <v>11</v>
      </c>
    </row>
    <row r="1358" spans="1:8" x14ac:dyDescent="0.3">
      <c r="A1358">
        <v>2019</v>
      </c>
      <c r="B1358" t="s">
        <v>9</v>
      </c>
      <c r="C1358" t="s">
        <v>267</v>
      </c>
      <c r="D1358" t="s">
        <v>268</v>
      </c>
      <c r="E1358" t="s">
        <v>203</v>
      </c>
      <c r="F1358" t="s">
        <v>207</v>
      </c>
      <c r="G1358" t="s">
        <v>201</v>
      </c>
      <c r="H1358">
        <v>1</v>
      </c>
    </row>
    <row r="1359" spans="1:8" x14ac:dyDescent="0.3">
      <c r="A1359">
        <v>2019</v>
      </c>
      <c r="B1359" t="s">
        <v>9</v>
      </c>
      <c r="C1359" t="s">
        <v>267</v>
      </c>
      <c r="D1359" t="s">
        <v>268</v>
      </c>
      <c r="E1359" t="s">
        <v>204</v>
      </c>
      <c r="F1359" t="s">
        <v>207</v>
      </c>
      <c r="G1359" t="s">
        <v>201</v>
      </c>
      <c r="H1359">
        <v>1</v>
      </c>
    </row>
    <row r="1360" spans="1:8" x14ac:dyDescent="0.3">
      <c r="A1360">
        <v>2019</v>
      </c>
      <c r="B1360" t="s">
        <v>9</v>
      </c>
      <c r="C1360" t="s">
        <v>267</v>
      </c>
      <c r="D1360" t="s">
        <v>268</v>
      </c>
      <c r="E1360" t="s">
        <v>205</v>
      </c>
      <c r="F1360" t="s">
        <v>207</v>
      </c>
      <c r="G1360" t="s">
        <v>201</v>
      </c>
    </row>
    <row r="1361" spans="1:8" x14ac:dyDescent="0.3">
      <c r="A1361">
        <v>2019</v>
      </c>
      <c r="B1361" t="s">
        <v>9</v>
      </c>
      <c r="C1361" t="s">
        <v>267</v>
      </c>
      <c r="D1361" t="s">
        <v>268</v>
      </c>
      <c r="E1361" t="s">
        <v>206</v>
      </c>
      <c r="F1361" t="s">
        <v>207</v>
      </c>
      <c r="G1361" t="s">
        <v>201</v>
      </c>
      <c r="H1361">
        <v>47</v>
      </c>
    </row>
    <row r="1362" spans="1:8" x14ac:dyDescent="0.3">
      <c r="A1362">
        <v>2019</v>
      </c>
      <c r="B1362" t="s">
        <v>10</v>
      </c>
      <c r="C1362" t="s">
        <v>267</v>
      </c>
      <c r="D1362" t="s">
        <v>268</v>
      </c>
      <c r="E1362" t="s">
        <v>1</v>
      </c>
      <c r="F1362" t="s">
        <v>207</v>
      </c>
      <c r="G1362" t="s">
        <v>201</v>
      </c>
      <c r="H1362">
        <v>7</v>
      </c>
    </row>
    <row r="1363" spans="1:8" x14ac:dyDescent="0.3">
      <c r="A1363">
        <v>2019</v>
      </c>
      <c r="B1363" t="s">
        <v>10</v>
      </c>
      <c r="C1363" t="s">
        <v>267</v>
      </c>
      <c r="D1363" t="s">
        <v>268</v>
      </c>
      <c r="E1363" t="s">
        <v>203</v>
      </c>
      <c r="F1363" t="s">
        <v>207</v>
      </c>
      <c r="G1363" t="s">
        <v>201</v>
      </c>
      <c r="H1363">
        <v>0</v>
      </c>
    </row>
    <row r="1364" spans="1:8" x14ac:dyDescent="0.3">
      <c r="A1364">
        <v>2019</v>
      </c>
      <c r="B1364" t="s">
        <v>10</v>
      </c>
      <c r="C1364" t="s">
        <v>267</v>
      </c>
      <c r="D1364" t="s">
        <v>268</v>
      </c>
      <c r="E1364" t="s">
        <v>204</v>
      </c>
      <c r="F1364" t="s">
        <v>207</v>
      </c>
      <c r="G1364" t="s">
        <v>201</v>
      </c>
      <c r="H1364">
        <v>0</v>
      </c>
    </row>
    <row r="1365" spans="1:8" x14ac:dyDescent="0.3">
      <c r="A1365">
        <v>2019</v>
      </c>
      <c r="B1365" t="s">
        <v>10</v>
      </c>
      <c r="C1365" t="s">
        <v>267</v>
      </c>
      <c r="D1365" t="s">
        <v>268</v>
      </c>
      <c r="E1365" t="s">
        <v>205</v>
      </c>
      <c r="F1365" t="s">
        <v>207</v>
      </c>
      <c r="G1365" t="s">
        <v>201</v>
      </c>
      <c r="H1365">
        <v>0</v>
      </c>
    </row>
    <row r="1366" spans="1:8" x14ac:dyDescent="0.3">
      <c r="A1366">
        <v>2019</v>
      </c>
      <c r="B1366" t="s">
        <v>10</v>
      </c>
      <c r="C1366" t="s">
        <v>267</v>
      </c>
      <c r="D1366" t="s">
        <v>268</v>
      </c>
      <c r="E1366" t="s">
        <v>206</v>
      </c>
      <c r="F1366" t="s">
        <v>207</v>
      </c>
      <c r="G1366" t="s">
        <v>201</v>
      </c>
      <c r="H1366">
        <v>2</v>
      </c>
    </row>
    <row r="1367" spans="1:8" x14ac:dyDescent="0.3">
      <c r="A1367">
        <v>2019</v>
      </c>
      <c r="B1367" t="s">
        <v>11</v>
      </c>
      <c r="C1367" t="s">
        <v>267</v>
      </c>
      <c r="D1367" t="s">
        <v>268</v>
      </c>
      <c r="E1367" t="s">
        <v>1</v>
      </c>
      <c r="F1367" t="s">
        <v>207</v>
      </c>
      <c r="G1367" t="s">
        <v>201</v>
      </c>
      <c r="H1367">
        <v>12</v>
      </c>
    </row>
    <row r="1368" spans="1:8" x14ac:dyDescent="0.3">
      <c r="A1368">
        <v>2019</v>
      </c>
      <c r="B1368" t="s">
        <v>11</v>
      </c>
      <c r="C1368" t="s">
        <v>267</v>
      </c>
      <c r="D1368" t="s">
        <v>268</v>
      </c>
      <c r="E1368" t="s">
        <v>203</v>
      </c>
      <c r="F1368" t="s">
        <v>207</v>
      </c>
      <c r="G1368" t="s">
        <v>201</v>
      </c>
      <c r="H1368">
        <v>4</v>
      </c>
    </row>
    <row r="1369" spans="1:8" x14ac:dyDescent="0.3">
      <c r="A1369">
        <v>2019</v>
      </c>
      <c r="B1369" t="s">
        <v>11</v>
      </c>
      <c r="C1369" t="s">
        <v>267</v>
      </c>
      <c r="D1369" t="s">
        <v>268</v>
      </c>
      <c r="E1369" t="s">
        <v>204</v>
      </c>
      <c r="F1369" t="s">
        <v>207</v>
      </c>
      <c r="G1369" t="s">
        <v>201</v>
      </c>
      <c r="H1369">
        <v>0</v>
      </c>
    </row>
    <row r="1370" spans="1:8" x14ac:dyDescent="0.3">
      <c r="A1370">
        <v>2019</v>
      </c>
      <c r="B1370" t="s">
        <v>11</v>
      </c>
      <c r="C1370" t="s">
        <v>267</v>
      </c>
      <c r="D1370" t="s">
        <v>268</v>
      </c>
      <c r="E1370" t="s">
        <v>205</v>
      </c>
      <c r="F1370" t="s">
        <v>207</v>
      </c>
      <c r="G1370" t="s">
        <v>201</v>
      </c>
      <c r="H1370">
        <v>0</v>
      </c>
    </row>
    <row r="1371" spans="1:8" x14ac:dyDescent="0.3">
      <c r="A1371">
        <v>2019</v>
      </c>
      <c r="B1371" t="s">
        <v>11</v>
      </c>
      <c r="C1371" t="s">
        <v>267</v>
      </c>
      <c r="D1371" t="s">
        <v>268</v>
      </c>
      <c r="E1371" t="s">
        <v>206</v>
      </c>
      <c r="F1371" t="s">
        <v>207</v>
      </c>
      <c r="G1371" t="s">
        <v>201</v>
      </c>
      <c r="H1371">
        <v>108</v>
      </c>
    </row>
    <row r="1372" spans="1:8" x14ac:dyDescent="0.3">
      <c r="A1372">
        <v>2019</v>
      </c>
      <c r="B1372" t="s">
        <v>12</v>
      </c>
      <c r="C1372" t="s">
        <v>267</v>
      </c>
      <c r="D1372" t="s">
        <v>268</v>
      </c>
      <c r="E1372" t="s">
        <v>1</v>
      </c>
      <c r="F1372" t="s">
        <v>207</v>
      </c>
      <c r="G1372" t="s">
        <v>201</v>
      </c>
      <c r="H1372">
        <v>12</v>
      </c>
    </row>
    <row r="1373" spans="1:8" x14ac:dyDescent="0.3">
      <c r="A1373">
        <v>2019</v>
      </c>
      <c r="B1373" t="s">
        <v>12</v>
      </c>
      <c r="C1373" t="s">
        <v>267</v>
      </c>
      <c r="D1373" t="s">
        <v>268</v>
      </c>
      <c r="E1373" t="s">
        <v>203</v>
      </c>
      <c r="F1373" t="s">
        <v>207</v>
      </c>
      <c r="G1373" t="s">
        <v>201</v>
      </c>
      <c r="H1373">
        <v>2</v>
      </c>
    </row>
    <row r="1374" spans="1:8" x14ac:dyDescent="0.3">
      <c r="A1374">
        <v>2019</v>
      </c>
      <c r="B1374" t="s">
        <v>12</v>
      </c>
      <c r="C1374" t="s">
        <v>267</v>
      </c>
      <c r="D1374" t="s">
        <v>268</v>
      </c>
      <c r="E1374" t="s">
        <v>204</v>
      </c>
      <c r="F1374" t="s">
        <v>207</v>
      </c>
      <c r="G1374" t="s">
        <v>201</v>
      </c>
    </row>
    <row r="1375" spans="1:8" x14ac:dyDescent="0.3">
      <c r="A1375">
        <v>2019</v>
      </c>
      <c r="B1375" t="s">
        <v>12</v>
      </c>
      <c r="C1375" t="s">
        <v>267</v>
      </c>
      <c r="D1375" t="s">
        <v>268</v>
      </c>
      <c r="E1375" t="s">
        <v>205</v>
      </c>
      <c r="F1375" t="s">
        <v>207</v>
      </c>
      <c r="G1375" t="s">
        <v>201</v>
      </c>
    </row>
    <row r="1376" spans="1:8" x14ac:dyDescent="0.3">
      <c r="A1376">
        <v>2019</v>
      </c>
      <c r="B1376" t="s">
        <v>12</v>
      </c>
      <c r="C1376" t="s">
        <v>267</v>
      </c>
      <c r="D1376" t="s">
        <v>268</v>
      </c>
      <c r="E1376" t="s">
        <v>206</v>
      </c>
      <c r="F1376" t="s">
        <v>207</v>
      </c>
      <c r="G1376" t="s">
        <v>201</v>
      </c>
      <c r="H1376">
        <v>31</v>
      </c>
    </row>
    <row r="1377" spans="1:8" x14ac:dyDescent="0.3">
      <c r="A1377">
        <v>2019</v>
      </c>
      <c r="B1377" t="s">
        <v>13</v>
      </c>
      <c r="C1377" t="s">
        <v>267</v>
      </c>
      <c r="D1377" t="s">
        <v>268</v>
      </c>
      <c r="E1377" t="s">
        <v>1</v>
      </c>
      <c r="F1377" t="s">
        <v>207</v>
      </c>
      <c r="G1377" t="s">
        <v>201</v>
      </c>
      <c r="H1377">
        <v>5</v>
      </c>
    </row>
    <row r="1378" spans="1:8" x14ac:dyDescent="0.3">
      <c r="A1378">
        <v>2019</v>
      </c>
      <c r="B1378" t="s">
        <v>13</v>
      </c>
      <c r="C1378" t="s">
        <v>267</v>
      </c>
      <c r="D1378" t="s">
        <v>268</v>
      </c>
      <c r="E1378" t="s">
        <v>203</v>
      </c>
      <c r="F1378" t="s">
        <v>207</v>
      </c>
      <c r="G1378" t="s">
        <v>201</v>
      </c>
      <c r="H1378">
        <v>0</v>
      </c>
    </row>
    <row r="1379" spans="1:8" x14ac:dyDescent="0.3">
      <c r="A1379">
        <v>2019</v>
      </c>
      <c r="B1379" t="s">
        <v>13</v>
      </c>
      <c r="C1379" t="s">
        <v>267</v>
      </c>
      <c r="D1379" t="s">
        <v>268</v>
      </c>
      <c r="E1379" t="s">
        <v>204</v>
      </c>
      <c r="F1379" t="s">
        <v>207</v>
      </c>
      <c r="G1379" t="s">
        <v>201</v>
      </c>
      <c r="H1379">
        <v>1</v>
      </c>
    </row>
    <row r="1380" spans="1:8" x14ac:dyDescent="0.3">
      <c r="A1380">
        <v>2019</v>
      </c>
      <c r="B1380" t="s">
        <v>13</v>
      </c>
      <c r="C1380" t="s">
        <v>267</v>
      </c>
      <c r="D1380" t="s">
        <v>268</v>
      </c>
      <c r="E1380" t="s">
        <v>205</v>
      </c>
      <c r="F1380" t="s">
        <v>207</v>
      </c>
      <c r="G1380" t="s">
        <v>201</v>
      </c>
      <c r="H1380">
        <v>0</v>
      </c>
    </row>
    <row r="1381" spans="1:8" x14ac:dyDescent="0.3">
      <c r="A1381">
        <v>2019</v>
      </c>
      <c r="B1381" t="s">
        <v>13</v>
      </c>
      <c r="C1381" t="s">
        <v>267</v>
      </c>
      <c r="D1381" t="s">
        <v>268</v>
      </c>
      <c r="E1381" t="s">
        <v>206</v>
      </c>
      <c r="F1381" t="s">
        <v>207</v>
      </c>
      <c r="G1381" t="s">
        <v>201</v>
      </c>
    </row>
    <row r="1382" spans="1:8" x14ac:dyDescent="0.3">
      <c r="A1382">
        <v>2019</v>
      </c>
      <c r="B1382" t="s">
        <v>14</v>
      </c>
      <c r="C1382" t="s">
        <v>267</v>
      </c>
      <c r="D1382" t="s">
        <v>268</v>
      </c>
      <c r="E1382" t="s">
        <v>1</v>
      </c>
      <c r="F1382" t="s">
        <v>207</v>
      </c>
      <c r="G1382" t="s">
        <v>201</v>
      </c>
      <c r="H1382">
        <v>3</v>
      </c>
    </row>
    <row r="1383" spans="1:8" x14ac:dyDescent="0.3">
      <c r="A1383">
        <v>2019</v>
      </c>
      <c r="B1383" t="s">
        <v>14</v>
      </c>
      <c r="C1383" t="s">
        <v>267</v>
      </c>
      <c r="D1383" t="s">
        <v>268</v>
      </c>
      <c r="E1383" t="s">
        <v>203</v>
      </c>
      <c r="F1383" t="s">
        <v>207</v>
      </c>
      <c r="G1383" t="s">
        <v>201</v>
      </c>
      <c r="H1383">
        <v>1</v>
      </c>
    </row>
    <row r="1384" spans="1:8" x14ac:dyDescent="0.3">
      <c r="A1384">
        <v>2019</v>
      </c>
      <c r="B1384" t="s">
        <v>14</v>
      </c>
      <c r="C1384" t="s">
        <v>267</v>
      </c>
      <c r="D1384" t="s">
        <v>268</v>
      </c>
      <c r="E1384" t="s">
        <v>204</v>
      </c>
      <c r="F1384" t="s">
        <v>207</v>
      </c>
      <c r="G1384" t="s">
        <v>201</v>
      </c>
      <c r="H1384">
        <v>1</v>
      </c>
    </row>
    <row r="1385" spans="1:8" x14ac:dyDescent="0.3">
      <c r="A1385">
        <v>2019</v>
      </c>
      <c r="B1385" t="s">
        <v>14</v>
      </c>
      <c r="C1385" t="s">
        <v>267</v>
      </c>
      <c r="D1385" t="s">
        <v>268</v>
      </c>
      <c r="E1385" t="s">
        <v>205</v>
      </c>
      <c r="F1385" t="s">
        <v>207</v>
      </c>
      <c r="G1385" t="s">
        <v>201</v>
      </c>
      <c r="H1385">
        <v>0</v>
      </c>
    </row>
    <row r="1386" spans="1:8" x14ac:dyDescent="0.3">
      <c r="A1386">
        <v>2019</v>
      </c>
      <c r="B1386" t="s">
        <v>14</v>
      </c>
      <c r="C1386" t="s">
        <v>267</v>
      </c>
      <c r="D1386" t="s">
        <v>268</v>
      </c>
      <c r="E1386" t="s">
        <v>206</v>
      </c>
      <c r="F1386" t="s">
        <v>207</v>
      </c>
      <c r="G1386" t="s">
        <v>201</v>
      </c>
      <c r="H1386">
        <v>15</v>
      </c>
    </row>
    <row r="1387" spans="1:8" x14ac:dyDescent="0.3">
      <c r="A1387">
        <v>2019</v>
      </c>
      <c r="B1387" t="s">
        <v>15</v>
      </c>
      <c r="C1387" t="s">
        <v>267</v>
      </c>
      <c r="D1387" t="s">
        <v>268</v>
      </c>
      <c r="E1387" t="s">
        <v>1</v>
      </c>
      <c r="F1387" t="s">
        <v>207</v>
      </c>
      <c r="G1387" t="s">
        <v>201</v>
      </c>
      <c r="H1387">
        <v>7</v>
      </c>
    </row>
    <row r="1388" spans="1:8" x14ac:dyDescent="0.3">
      <c r="A1388">
        <v>2019</v>
      </c>
      <c r="B1388" t="s">
        <v>15</v>
      </c>
      <c r="C1388" t="s">
        <v>267</v>
      </c>
      <c r="D1388" t="s">
        <v>268</v>
      </c>
      <c r="E1388" t="s">
        <v>203</v>
      </c>
      <c r="F1388" t="s">
        <v>207</v>
      </c>
      <c r="G1388" t="s">
        <v>201</v>
      </c>
      <c r="H1388">
        <v>1</v>
      </c>
    </row>
    <row r="1389" spans="1:8" x14ac:dyDescent="0.3">
      <c r="A1389">
        <v>2019</v>
      </c>
      <c r="B1389" t="s">
        <v>15</v>
      </c>
      <c r="C1389" t="s">
        <v>267</v>
      </c>
      <c r="D1389" t="s">
        <v>268</v>
      </c>
      <c r="E1389" t="s">
        <v>204</v>
      </c>
      <c r="F1389" t="s">
        <v>207</v>
      </c>
      <c r="G1389" t="s">
        <v>201</v>
      </c>
      <c r="H1389">
        <v>1</v>
      </c>
    </row>
    <row r="1390" spans="1:8" x14ac:dyDescent="0.3">
      <c r="A1390">
        <v>2019</v>
      </c>
      <c r="B1390" t="s">
        <v>15</v>
      </c>
      <c r="C1390" t="s">
        <v>267</v>
      </c>
      <c r="D1390" t="s">
        <v>268</v>
      </c>
      <c r="E1390" t="s">
        <v>205</v>
      </c>
      <c r="F1390" t="s">
        <v>207</v>
      </c>
      <c r="G1390" t="s">
        <v>201</v>
      </c>
      <c r="H1390">
        <v>0</v>
      </c>
    </row>
    <row r="1391" spans="1:8" x14ac:dyDescent="0.3">
      <c r="A1391">
        <v>2019</v>
      </c>
      <c r="B1391" t="s">
        <v>15</v>
      </c>
      <c r="C1391" t="s">
        <v>267</v>
      </c>
      <c r="D1391" t="s">
        <v>268</v>
      </c>
      <c r="E1391" t="s">
        <v>206</v>
      </c>
      <c r="F1391" t="s">
        <v>207</v>
      </c>
      <c r="G1391" t="s">
        <v>201</v>
      </c>
    </row>
    <row r="1392" spans="1:8" x14ac:dyDescent="0.3">
      <c r="A1392">
        <v>2019</v>
      </c>
      <c r="B1392" t="s">
        <v>16</v>
      </c>
      <c r="C1392" t="s">
        <v>267</v>
      </c>
      <c r="D1392" t="s">
        <v>268</v>
      </c>
      <c r="E1392" t="s">
        <v>1</v>
      </c>
      <c r="F1392" t="s">
        <v>207</v>
      </c>
      <c r="G1392" t="s">
        <v>201</v>
      </c>
      <c r="H1392">
        <v>5</v>
      </c>
    </row>
    <row r="1393" spans="1:8" x14ac:dyDescent="0.3">
      <c r="A1393">
        <v>2019</v>
      </c>
      <c r="B1393" t="s">
        <v>16</v>
      </c>
      <c r="C1393" t="s">
        <v>267</v>
      </c>
      <c r="D1393" t="s">
        <v>268</v>
      </c>
      <c r="E1393" t="s">
        <v>203</v>
      </c>
      <c r="F1393" t="s">
        <v>207</v>
      </c>
      <c r="G1393" t="s">
        <v>201</v>
      </c>
      <c r="H1393">
        <v>0</v>
      </c>
    </row>
    <row r="1394" spans="1:8" x14ac:dyDescent="0.3">
      <c r="A1394">
        <v>2019</v>
      </c>
      <c r="B1394" t="s">
        <v>16</v>
      </c>
      <c r="C1394" t="s">
        <v>267</v>
      </c>
      <c r="D1394" t="s">
        <v>268</v>
      </c>
      <c r="E1394" t="s">
        <v>204</v>
      </c>
      <c r="F1394" t="s">
        <v>207</v>
      </c>
      <c r="G1394" t="s">
        <v>201</v>
      </c>
      <c r="H1394">
        <v>0</v>
      </c>
    </row>
    <row r="1395" spans="1:8" x14ac:dyDescent="0.3">
      <c r="A1395">
        <v>2019</v>
      </c>
      <c r="B1395" t="s">
        <v>16</v>
      </c>
      <c r="C1395" t="s">
        <v>267</v>
      </c>
      <c r="D1395" t="s">
        <v>268</v>
      </c>
      <c r="E1395" t="s">
        <v>205</v>
      </c>
      <c r="F1395" t="s">
        <v>207</v>
      </c>
      <c r="G1395" t="s">
        <v>201</v>
      </c>
      <c r="H1395">
        <v>0</v>
      </c>
    </row>
    <row r="1396" spans="1:8" x14ac:dyDescent="0.3">
      <c r="A1396">
        <v>2019</v>
      </c>
      <c r="B1396" t="s">
        <v>16</v>
      </c>
      <c r="C1396" t="s">
        <v>267</v>
      </c>
      <c r="D1396" t="s">
        <v>268</v>
      </c>
      <c r="E1396" t="s">
        <v>206</v>
      </c>
      <c r="F1396" t="s">
        <v>207</v>
      </c>
      <c r="G1396" t="s">
        <v>201</v>
      </c>
      <c r="H1396">
        <v>2</v>
      </c>
    </row>
    <row r="1397" spans="1:8" x14ac:dyDescent="0.3">
      <c r="A1397">
        <v>2019</v>
      </c>
      <c r="B1397" t="s">
        <v>17</v>
      </c>
      <c r="C1397" t="s">
        <v>267</v>
      </c>
      <c r="D1397" t="s">
        <v>268</v>
      </c>
      <c r="E1397" t="s">
        <v>1</v>
      </c>
      <c r="F1397" t="s">
        <v>207</v>
      </c>
      <c r="G1397" t="s">
        <v>201</v>
      </c>
      <c r="H1397">
        <v>7</v>
      </c>
    </row>
    <row r="1398" spans="1:8" x14ac:dyDescent="0.3">
      <c r="A1398">
        <v>2019</v>
      </c>
      <c r="B1398" t="s">
        <v>17</v>
      </c>
      <c r="C1398" t="s">
        <v>267</v>
      </c>
      <c r="D1398" t="s">
        <v>268</v>
      </c>
      <c r="E1398" t="s">
        <v>203</v>
      </c>
      <c r="F1398" t="s">
        <v>207</v>
      </c>
      <c r="G1398" t="s">
        <v>201</v>
      </c>
      <c r="H1398">
        <v>0</v>
      </c>
    </row>
    <row r="1399" spans="1:8" x14ac:dyDescent="0.3">
      <c r="A1399">
        <v>2019</v>
      </c>
      <c r="B1399" t="s">
        <v>17</v>
      </c>
      <c r="C1399" t="s">
        <v>267</v>
      </c>
      <c r="D1399" t="s">
        <v>268</v>
      </c>
      <c r="E1399" t="s">
        <v>204</v>
      </c>
      <c r="F1399" t="s">
        <v>207</v>
      </c>
      <c r="G1399" t="s">
        <v>201</v>
      </c>
      <c r="H1399">
        <v>0</v>
      </c>
    </row>
    <row r="1400" spans="1:8" x14ac:dyDescent="0.3">
      <c r="A1400">
        <v>2019</v>
      </c>
      <c r="B1400" t="s">
        <v>17</v>
      </c>
      <c r="C1400" t="s">
        <v>267</v>
      </c>
      <c r="D1400" t="s">
        <v>268</v>
      </c>
      <c r="E1400" t="s">
        <v>205</v>
      </c>
      <c r="F1400" t="s">
        <v>207</v>
      </c>
      <c r="G1400" t="s">
        <v>201</v>
      </c>
      <c r="H1400">
        <v>0</v>
      </c>
    </row>
    <row r="1401" spans="1:8" x14ac:dyDescent="0.3">
      <c r="A1401">
        <v>2019</v>
      </c>
      <c r="B1401" t="s">
        <v>17</v>
      </c>
      <c r="C1401" t="s">
        <v>267</v>
      </c>
      <c r="D1401" t="s">
        <v>268</v>
      </c>
      <c r="E1401" t="s">
        <v>206</v>
      </c>
      <c r="F1401" t="s">
        <v>207</v>
      </c>
      <c r="G1401" t="s">
        <v>201</v>
      </c>
      <c r="H1401">
        <v>10</v>
      </c>
    </row>
    <row r="1402" spans="1:8" x14ac:dyDescent="0.3">
      <c r="A1402">
        <v>2019</v>
      </c>
      <c r="B1402" t="s">
        <v>163</v>
      </c>
      <c r="C1402" t="s">
        <v>267</v>
      </c>
      <c r="D1402" t="s">
        <v>268</v>
      </c>
      <c r="E1402" t="s">
        <v>1</v>
      </c>
      <c r="F1402" t="s">
        <v>207</v>
      </c>
      <c r="G1402" t="s">
        <v>201</v>
      </c>
      <c r="H1402">
        <v>12</v>
      </c>
    </row>
    <row r="1403" spans="1:8" x14ac:dyDescent="0.3">
      <c r="A1403">
        <v>2019</v>
      </c>
      <c r="B1403" t="s">
        <v>163</v>
      </c>
      <c r="C1403" t="s">
        <v>267</v>
      </c>
      <c r="D1403" t="s">
        <v>268</v>
      </c>
      <c r="E1403" t="s">
        <v>203</v>
      </c>
      <c r="F1403" t="s">
        <v>207</v>
      </c>
      <c r="G1403" t="s">
        <v>201</v>
      </c>
      <c r="H1403">
        <v>3</v>
      </c>
    </row>
    <row r="1404" spans="1:8" x14ac:dyDescent="0.3">
      <c r="A1404">
        <v>2019</v>
      </c>
      <c r="B1404" t="s">
        <v>163</v>
      </c>
      <c r="C1404" t="s">
        <v>267</v>
      </c>
      <c r="D1404" t="s">
        <v>268</v>
      </c>
      <c r="E1404" t="s">
        <v>204</v>
      </c>
      <c r="F1404" t="s">
        <v>207</v>
      </c>
      <c r="G1404" t="s">
        <v>201</v>
      </c>
      <c r="H1404">
        <v>0</v>
      </c>
    </row>
    <row r="1405" spans="1:8" x14ac:dyDescent="0.3">
      <c r="A1405">
        <v>2019</v>
      </c>
      <c r="B1405" t="s">
        <v>163</v>
      </c>
      <c r="C1405" t="s">
        <v>267</v>
      </c>
      <c r="D1405" t="s">
        <v>268</v>
      </c>
      <c r="E1405" t="s">
        <v>205</v>
      </c>
      <c r="F1405" t="s">
        <v>207</v>
      </c>
      <c r="G1405" t="s">
        <v>201</v>
      </c>
      <c r="H1405">
        <v>0</v>
      </c>
    </row>
    <row r="1406" spans="1:8" x14ac:dyDescent="0.3">
      <c r="A1406">
        <v>2019</v>
      </c>
      <c r="B1406" t="s">
        <v>163</v>
      </c>
      <c r="C1406" t="s">
        <v>267</v>
      </c>
      <c r="D1406" t="s">
        <v>268</v>
      </c>
      <c r="E1406" t="s">
        <v>206</v>
      </c>
      <c r="F1406" t="s">
        <v>207</v>
      </c>
      <c r="G1406" t="s">
        <v>201</v>
      </c>
      <c r="H1406">
        <v>64</v>
      </c>
    </row>
    <row r="1407" spans="1:8" x14ac:dyDescent="0.3">
      <c r="A1407">
        <v>2019</v>
      </c>
      <c r="B1407" t="s">
        <v>20</v>
      </c>
      <c r="C1407" t="s">
        <v>267</v>
      </c>
      <c r="D1407" t="s">
        <v>268</v>
      </c>
      <c r="E1407" t="s">
        <v>1</v>
      </c>
      <c r="F1407" t="s">
        <v>207</v>
      </c>
      <c r="G1407" t="s">
        <v>201</v>
      </c>
      <c r="H1407">
        <v>0</v>
      </c>
    </row>
    <row r="1408" spans="1:8" x14ac:dyDescent="0.3">
      <c r="A1408">
        <v>2019</v>
      </c>
      <c r="B1408" t="s">
        <v>20</v>
      </c>
      <c r="C1408" t="s">
        <v>267</v>
      </c>
      <c r="D1408" t="s">
        <v>268</v>
      </c>
      <c r="E1408" t="s">
        <v>203</v>
      </c>
      <c r="F1408" t="s">
        <v>207</v>
      </c>
      <c r="G1408" t="s">
        <v>201</v>
      </c>
      <c r="H1408">
        <v>0</v>
      </c>
    </row>
    <row r="1409" spans="1:8" x14ac:dyDescent="0.3">
      <c r="A1409">
        <v>2019</v>
      </c>
      <c r="B1409" t="s">
        <v>20</v>
      </c>
      <c r="C1409" t="s">
        <v>267</v>
      </c>
      <c r="D1409" t="s">
        <v>268</v>
      </c>
      <c r="E1409" t="s">
        <v>204</v>
      </c>
      <c r="F1409" t="s">
        <v>207</v>
      </c>
      <c r="G1409" t="s">
        <v>201</v>
      </c>
      <c r="H1409">
        <v>0</v>
      </c>
    </row>
    <row r="1410" spans="1:8" x14ac:dyDescent="0.3">
      <c r="A1410">
        <v>2019</v>
      </c>
      <c r="B1410" t="s">
        <v>20</v>
      </c>
      <c r="C1410" t="s">
        <v>267</v>
      </c>
      <c r="D1410" t="s">
        <v>268</v>
      </c>
      <c r="E1410" t="s">
        <v>205</v>
      </c>
      <c r="F1410" t="s">
        <v>207</v>
      </c>
      <c r="G1410" t="s">
        <v>201</v>
      </c>
      <c r="H1410">
        <v>0</v>
      </c>
    </row>
    <row r="1411" spans="1:8" x14ac:dyDescent="0.3">
      <c r="A1411">
        <v>2019</v>
      </c>
      <c r="B1411" t="s">
        <v>20</v>
      </c>
      <c r="C1411" t="s">
        <v>267</v>
      </c>
      <c r="D1411" t="s">
        <v>268</v>
      </c>
      <c r="E1411" t="s">
        <v>206</v>
      </c>
      <c r="F1411" t="s">
        <v>207</v>
      </c>
      <c r="G1411" t="s">
        <v>201</v>
      </c>
      <c r="H1411">
        <v>0</v>
      </c>
    </row>
    <row r="1412" spans="1:8" x14ac:dyDescent="0.3">
      <c r="A1412">
        <v>2019</v>
      </c>
      <c r="B1412" t="s">
        <v>21</v>
      </c>
      <c r="C1412" t="s">
        <v>267</v>
      </c>
      <c r="D1412" t="s">
        <v>268</v>
      </c>
      <c r="E1412" t="s">
        <v>1</v>
      </c>
      <c r="F1412" t="s">
        <v>207</v>
      </c>
      <c r="G1412" t="s">
        <v>201</v>
      </c>
      <c r="H1412">
        <v>10</v>
      </c>
    </row>
    <row r="1413" spans="1:8" x14ac:dyDescent="0.3">
      <c r="A1413">
        <v>2019</v>
      </c>
      <c r="B1413" t="s">
        <v>21</v>
      </c>
      <c r="C1413" t="s">
        <v>267</v>
      </c>
      <c r="D1413" t="s">
        <v>268</v>
      </c>
      <c r="E1413" t="s">
        <v>203</v>
      </c>
      <c r="F1413" t="s">
        <v>207</v>
      </c>
      <c r="G1413" t="s">
        <v>201</v>
      </c>
      <c r="H1413">
        <v>0</v>
      </c>
    </row>
    <row r="1414" spans="1:8" x14ac:dyDescent="0.3">
      <c r="A1414">
        <v>2019</v>
      </c>
      <c r="B1414" t="s">
        <v>21</v>
      </c>
      <c r="C1414" t="s">
        <v>267</v>
      </c>
      <c r="D1414" t="s">
        <v>268</v>
      </c>
      <c r="E1414" t="s">
        <v>204</v>
      </c>
      <c r="F1414" t="s">
        <v>207</v>
      </c>
      <c r="G1414" t="s">
        <v>201</v>
      </c>
      <c r="H1414">
        <v>0</v>
      </c>
    </row>
    <row r="1415" spans="1:8" x14ac:dyDescent="0.3">
      <c r="A1415">
        <v>2019</v>
      </c>
      <c r="B1415" t="s">
        <v>21</v>
      </c>
      <c r="C1415" t="s">
        <v>267</v>
      </c>
      <c r="D1415" t="s">
        <v>268</v>
      </c>
      <c r="E1415" t="s">
        <v>205</v>
      </c>
      <c r="F1415" t="s">
        <v>207</v>
      </c>
      <c r="G1415" t="s">
        <v>201</v>
      </c>
      <c r="H1415">
        <v>0</v>
      </c>
    </row>
    <row r="1416" spans="1:8" x14ac:dyDescent="0.3">
      <c r="A1416">
        <v>2019</v>
      </c>
      <c r="B1416" t="s">
        <v>21</v>
      </c>
      <c r="C1416" t="s">
        <v>267</v>
      </c>
      <c r="D1416" t="s">
        <v>268</v>
      </c>
      <c r="E1416" t="s">
        <v>206</v>
      </c>
      <c r="F1416" t="s">
        <v>207</v>
      </c>
      <c r="G1416" t="s">
        <v>201</v>
      </c>
      <c r="H1416">
        <v>1</v>
      </c>
    </row>
    <row r="1417" spans="1:8" x14ac:dyDescent="0.3">
      <c r="A1417">
        <v>2019</v>
      </c>
      <c r="B1417" t="s">
        <v>22</v>
      </c>
      <c r="C1417" t="s">
        <v>267</v>
      </c>
      <c r="D1417" t="s">
        <v>268</v>
      </c>
      <c r="E1417" t="s">
        <v>1</v>
      </c>
      <c r="F1417" t="s">
        <v>207</v>
      </c>
      <c r="G1417" t="s">
        <v>201</v>
      </c>
      <c r="H1417">
        <v>17</v>
      </c>
    </row>
    <row r="1418" spans="1:8" x14ac:dyDescent="0.3">
      <c r="A1418">
        <v>2019</v>
      </c>
      <c r="B1418" t="s">
        <v>22</v>
      </c>
      <c r="C1418" t="s">
        <v>267</v>
      </c>
      <c r="D1418" t="s">
        <v>268</v>
      </c>
      <c r="E1418" t="s">
        <v>203</v>
      </c>
      <c r="F1418" t="s">
        <v>207</v>
      </c>
      <c r="G1418" t="s">
        <v>201</v>
      </c>
      <c r="H1418">
        <v>2</v>
      </c>
    </row>
    <row r="1419" spans="1:8" x14ac:dyDescent="0.3">
      <c r="A1419">
        <v>2019</v>
      </c>
      <c r="B1419" t="s">
        <v>22</v>
      </c>
      <c r="C1419" t="s">
        <v>267</v>
      </c>
      <c r="D1419" t="s">
        <v>268</v>
      </c>
      <c r="E1419" t="s">
        <v>204</v>
      </c>
      <c r="F1419" t="s">
        <v>207</v>
      </c>
      <c r="G1419" t="s">
        <v>201</v>
      </c>
      <c r="H1419">
        <v>0</v>
      </c>
    </row>
    <row r="1420" spans="1:8" x14ac:dyDescent="0.3">
      <c r="A1420">
        <v>2019</v>
      </c>
      <c r="B1420" t="s">
        <v>22</v>
      </c>
      <c r="C1420" t="s">
        <v>267</v>
      </c>
      <c r="D1420" t="s">
        <v>268</v>
      </c>
      <c r="E1420" t="s">
        <v>205</v>
      </c>
      <c r="F1420" t="s">
        <v>207</v>
      </c>
      <c r="G1420" t="s">
        <v>201</v>
      </c>
      <c r="H1420">
        <v>0</v>
      </c>
    </row>
    <row r="1421" spans="1:8" x14ac:dyDescent="0.3">
      <c r="A1421">
        <v>2019</v>
      </c>
      <c r="B1421" t="s">
        <v>22</v>
      </c>
      <c r="C1421" t="s">
        <v>267</v>
      </c>
      <c r="D1421" t="s">
        <v>268</v>
      </c>
      <c r="E1421" t="s">
        <v>206</v>
      </c>
      <c r="F1421" t="s">
        <v>207</v>
      </c>
      <c r="G1421" t="s">
        <v>201</v>
      </c>
      <c r="H1421">
        <v>29</v>
      </c>
    </row>
    <row r="1422" spans="1:8" x14ac:dyDescent="0.3">
      <c r="A1422">
        <v>2019</v>
      </c>
      <c r="B1422" t="s">
        <v>23</v>
      </c>
      <c r="C1422" t="s">
        <v>267</v>
      </c>
      <c r="D1422" t="s">
        <v>268</v>
      </c>
      <c r="E1422" t="s">
        <v>1</v>
      </c>
      <c r="F1422" t="s">
        <v>207</v>
      </c>
      <c r="G1422" t="s">
        <v>201</v>
      </c>
      <c r="H1422">
        <v>6</v>
      </c>
    </row>
    <row r="1423" spans="1:8" x14ac:dyDescent="0.3">
      <c r="A1423">
        <v>2019</v>
      </c>
      <c r="B1423" t="s">
        <v>23</v>
      </c>
      <c r="C1423" t="s">
        <v>267</v>
      </c>
      <c r="D1423" t="s">
        <v>268</v>
      </c>
      <c r="E1423" t="s">
        <v>203</v>
      </c>
      <c r="F1423" t="s">
        <v>207</v>
      </c>
      <c r="G1423" t="s">
        <v>201</v>
      </c>
      <c r="H1423">
        <v>0</v>
      </c>
    </row>
    <row r="1424" spans="1:8" x14ac:dyDescent="0.3">
      <c r="A1424">
        <v>2019</v>
      </c>
      <c r="B1424" t="s">
        <v>23</v>
      </c>
      <c r="C1424" t="s">
        <v>267</v>
      </c>
      <c r="D1424" t="s">
        <v>268</v>
      </c>
      <c r="E1424" t="s">
        <v>204</v>
      </c>
      <c r="F1424" t="s">
        <v>207</v>
      </c>
      <c r="G1424" t="s">
        <v>201</v>
      </c>
      <c r="H1424">
        <v>2</v>
      </c>
    </row>
    <row r="1425" spans="1:8" x14ac:dyDescent="0.3">
      <c r="A1425">
        <v>2019</v>
      </c>
      <c r="B1425" t="s">
        <v>23</v>
      </c>
      <c r="C1425" t="s">
        <v>267</v>
      </c>
      <c r="D1425" t="s">
        <v>268</v>
      </c>
      <c r="E1425" t="s">
        <v>205</v>
      </c>
      <c r="F1425" t="s">
        <v>207</v>
      </c>
      <c r="G1425" t="s">
        <v>201</v>
      </c>
      <c r="H1425">
        <v>0</v>
      </c>
    </row>
    <row r="1426" spans="1:8" x14ac:dyDescent="0.3">
      <c r="A1426">
        <v>2019</v>
      </c>
      <c r="B1426" t="s">
        <v>23</v>
      </c>
      <c r="C1426" t="s">
        <v>267</v>
      </c>
      <c r="D1426" t="s">
        <v>268</v>
      </c>
      <c r="E1426" t="s">
        <v>206</v>
      </c>
      <c r="F1426" t="s">
        <v>207</v>
      </c>
      <c r="G1426" t="s">
        <v>201</v>
      </c>
      <c r="H1426">
        <v>0</v>
      </c>
    </row>
    <row r="1427" spans="1:8" x14ac:dyDescent="0.3">
      <c r="A1427">
        <v>2019</v>
      </c>
      <c r="B1427" t="s">
        <v>54</v>
      </c>
      <c r="C1427" t="s">
        <v>267</v>
      </c>
      <c r="D1427" t="s">
        <v>268</v>
      </c>
      <c r="E1427" t="s">
        <v>1</v>
      </c>
      <c r="F1427" t="s">
        <v>207</v>
      </c>
      <c r="G1427" t="s">
        <v>201</v>
      </c>
      <c r="H1427">
        <v>75</v>
      </c>
    </row>
    <row r="1428" spans="1:8" x14ac:dyDescent="0.3">
      <c r="A1428">
        <v>2019</v>
      </c>
      <c r="B1428" t="s">
        <v>54</v>
      </c>
      <c r="C1428" t="s">
        <v>267</v>
      </c>
      <c r="D1428" t="s">
        <v>268</v>
      </c>
      <c r="E1428" t="s">
        <v>203</v>
      </c>
      <c r="F1428" t="s">
        <v>207</v>
      </c>
      <c r="G1428" t="s">
        <v>201</v>
      </c>
      <c r="H1428">
        <v>16</v>
      </c>
    </row>
    <row r="1429" spans="1:8" x14ac:dyDescent="0.3">
      <c r="A1429">
        <v>2019</v>
      </c>
      <c r="B1429" t="s">
        <v>54</v>
      </c>
      <c r="C1429" t="s">
        <v>267</v>
      </c>
      <c r="D1429" t="s">
        <v>268</v>
      </c>
      <c r="E1429" t="s">
        <v>204</v>
      </c>
      <c r="F1429" t="s">
        <v>207</v>
      </c>
      <c r="G1429" t="s">
        <v>201</v>
      </c>
      <c r="H1429">
        <v>0</v>
      </c>
    </row>
    <row r="1430" spans="1:8" x14ac:dyDescent="0.3">
      <c r="A1430">
        <v>2019</v>
      </c>
      <c r="B1430" t="s">
        <v>54</v>
      </c>
      <c r="C1430" t="s">
        <v>267</v>
      </c>
      <c r="D1430" t="s">
        <v>268</v>
      </c>
      <c r="E1430" t="s">
        <v>205</v>
      </c>
      <c r="F1430" t="s">
        <v>207</v>
      </c>
      <c r="G1430" t="s">
        <v>201</v>
      </c>
      <c r="H1430">
        <v>0</v>
      </c>
    </row>
    <row r="1431" spans="1:8" x14ac:dyDescent="0.3">
      <c r="A1431">
        <v>2019</v>
      </c>
      <c r="B1431" t="s">
        <v>54</v>
      </c>
      <c r="C1431" t="s">
        <v>267</v>
      </c>
      <c r="D1431" t="s">
        <v>268</v>
      </c>
      <c r="E1431" t="s">
        <v>206</v>
      </c>
      <c r="F1431" t="s">
        <v>207</v>
      </c>
      <c r="G1431" t="s">
        <v>201</v>
      </c>
    </row>
    <row r="1432" spans="1:8" x14ac:dyDescent="0.3">
      <c r="A1432">
        <v>2019</v>
      </c>
      <c r="B1432" t="s">
        <v>48</v>
      </c>
      <c r="C1432" t="s">
        <v>267</v>
      </c>
      <c r="D1432" t="s">
        <v>268</v>
      </c>
      <c r="E1432" t="s">
        <v>1</v>
      </c>
      <c r="F1432" t="s">
        <v>207</v>
      </c>
      <c r="G1432" t="s">
        <v>201</v>
      </c>
      <c r="H1432">
        <v>22</v>
      </c>
    </row>
    <row r="1433" spans="1:8" x14ac:dyDescent="0.3">
      <c r="A1433">
        <v>2019</v>
      </c>
      <c r="B1433" t="s">
        <v>48</v>
      </c>
      <c r="C1433" t="s">
        <v>267</v>
      </c>
      <c r="D1433" t="s">
        <v>268</v>
      </c>
      <c r="E1433" t="s">
        <v>203</v>
      </c>
      <c r="F1433" t="s">
        <v>207</v>
      </c>
      <c r="G1433" t="s">
        <v>201</v>
      </c>
      <c r="H1433">
        <v>2</v>
      </c>
    </row>
    <row r="1434" spans="1:8" x14ac:dyDescent="0.3">
      <c r="A1434">
        <v>2019</v>
      </c>
      <c r="B1434" t="s">
        <v>48</v>
      </c>
      <c r="C1434" t="s">
        <v>267</v>
      </c>
      <c r="D1434" t="s">
        <v>268</v>
      </c>
      <c r="E1434" t="s">
        <v>204</v>
      </c>
      <c r="F1434" t="s">
        <v>207</v>
      </c>
      <c r="G1434" t="s">
        <v>201</v>
      </c>
      <c r="H1434">
        <v>0</v>
      </c>
    </row>
    <row r="1435" spans="1:8" x14ac:dyDescent="0.3">
      <c r="A1435">
        <v>2019</v>
      </c>
      <c r="B1435" t="s">
        <v>48</v>
      </c>
      <c r="C1435" t="s">
        <v>267</v>
      </c>
      <c r="D1435" t="s">
        <v>268</v>
      </c>
      <c r="E1435" t="s">
        <v>205</v>
      </c>
      <c r="F1435" t="s">
        <v>207</v>
      </c>
      <c r="G1435" t="s">
        <v>201</v>
      </c>
      <c r="H1435">
        <v>0</v>
      </c>
    </row>
    <row r="1436" spans="1:8" x14ac:dyDescent="0.3">
      <c r="A1436">
        <v>2019</v>
      </c>
      <c r="B1436" t="s">
        <v>48</v>
      </c>
      <c r="C1436" t="s">
        <v>267</v>
      </c>
      <c r="D1436" t="s">
        <v>268</v>
      </c>
      <c r="E1436" t="s">
        <v>206</v>
      </c>
      <c r="F1436" t="s">
        <v>207</v>
      </c>
      <c r="G1436" t="s">
        <v>201</v>
      </c>
      <c r="H1436">
        <v>60</v>
      </c>
    </row>
    <row r="1437" spans="1:8" x14ac:dyDescent="0.3">
      <c r="A1437">
        <v>2019</v>
      </c>
      <c r="B1437" t="s">
        <v>24</v>
      </c>
      <c r="C1437" t="s">
        <v>267</v>
      </c>
      <c r="D1437" t="s">
        <v>268</v>
      </c>
      <c r="E1437" t="s">
        <v>1</v>
      </c>
      <c r="F1437" t="s">
        <v>207</v>
      </c>
      <c r="G1437" t="s">
        <v>201</v>
      </c>
      <c r="H1437">
        <v>11</v>
      </c>
    </row>
    <row r="1438" spans="1:8" x14ac:dyDescent="0.3">
      <c r="A1438">
        <v>2019</v>
      </c>
      <c r="B1438" t="s">
        <v>24</v>
      </c>
      <c r="C1438" t="s">
        <v>267</v>
      </c>
      <c r="D1438" t="s">
        <v>268</v>
      </c>
      <c r="E1438" t="s">
        <v>203</v>
      </c>
      <c r="F1438" t="s">
        <v>207</v>
      </c>
      <c r="G1438" t="s">
        <v>201</v>
      </c>
      <c r="H1438">
        <v>1</v>
      </c>
    </row>
    <row r="1439" spans="1:8" x14ac:dyDescent="0.3">
      <c r="A1439">
        <v>2019</v>
      </c>
      <c r="B1439" t="s">
        <v>24</v>
      </c>
      <c r="C1439" t="s">
        <v>267</v>
      </c>
      <c r="D1439" t="s">
        <v>268</v>
      </c>
      <c r="E1439" t="s">
        <v>204</v>
      </c>
      <c r="F1439" t="s">
        <v>207</v>
      </c>
      <c r="G1439" t="s">
        <v>201</v>
      </c>
      <c r="H1439">
        <v>1</v>
      </c>
    </row>
    <row r="1440" spans="1:8" x14ac:dyDescent="0.3">
      <c r="A1440">
        <v>2019</v>
      </c>
      <c r="B1440" t="s">
        <v>24</v>
      </c>
      <c r="C1440" t="s">
        <v>267</v>
      </c>
      <c r="D1440" t="s">
        <v>268</v>
      </c>
      <c r="E1440" t="s">
        <v>205</v>
      </c>
      <c r="F1440" t="s">
        <v>207</v>
      </c>
      <c r="G1440" t="s">
        <v>201</v>
      </c>
      <c r="H1440">
        <v>0</v>
      </c>
    </row>
    <row r="1441" spans="1:8" x14ac:dyDescent="0.3">
      <c r="A1441">
        <v>2019</v>
      </c>
      <c r="B1441" t="s">
        <v>24</v>
      </c>
      <c r="C1441" t="s">
        <v>267</v>
      </c>
      <c r="D1441" t="s">
        <v>268</v>
      </c>
      <c r="E1441" t="s">
        <v>206</v>
      </c>
      <c r="F1441" t="s">
        <v>207</v>
      </c>
      <c r="G1441" t="s">
        <v>201</v>
      </c>
      <c r="H1441">
        <v>11.5</v>
      </c>
    </row>
    <row r="1442" spans="1:8" x14ac:dyDescent="0.3">
      <c r="A1442">
        <v>2019</v>
      </c>
      <c r="B1442" t="s">
        <v>214</v>
      </c>
      <c r="C1442" t="s">
        <v>267</v>
      </c>
      <c r="D1442" t="s">
        <v>268</v>
      </c>
      <c r="E1442" t="s">
        <v>1</v>
      </c>
      <c r="F1442" t="s">
        <v>207</v>
      </c>
      <c r="G1442" t="s">
        <v>201</v>
      </c>
      <c r="H1442">
        <v>28</v>
      </c>
    </row>
    <row r="1443" spans="1:8" x14ac:dyDescent="0.3">
      <c r="A1443">
        <v>2019</v>
      </c>
      <c r="B1443" t="s">
        <v>214</v>
      </c>
      <c r="C1443" t="s">
        <v>267</v>
      </c>
      <c r="D1443" t="s">
        <v>268</v>
      </c>
      <c r="E1443" t="s">
        <v>203</v>
      </c>
      <c r="F1443" t="s">
        <v>207</v>
      </c>
      <c r="G1443" t="s">
        <v>201</v>
      </c>
      <c r="H1443">
        <v>5</v>
      </c>
    </row>
    <row r="1444" spans="1:8" x14ac:dyDescent="0.3">
      <c r="A1444">
        <v>2019</v>
      </c>
      <c r="B1444" t="s">
        <v>214</v>
      </c>
      <c r="C1444" t="s">
        <v>267</v>
      </c>
      <c r="D1444" t="s">
        <v>268</v>
      </c>
      <c r="E1444" t="s">
        <v>204</v>
      </c>
      <c r="F1444" t="s">
        <v>207</v>
      </c>
      <c r="G1444" t="s">
        <v>201</v>
      </c>
      <c r="H1444">
        <v>1</v>
      </c>
    </row>
    <row r="1445" spans="1:8" x14ac:dyDescent="0.3">
      <c r="A1445">
        <v>2019</v>
      </c>
      <c r="B1445" t="s">
        <v>214</v>
      </c>
      <c r="C1445" t="s">
        <v>267</v>
      </c>
      <c r="D1445" t="s">
        <v>268</v>
      </c>
      <c r="E1445" t="s">
        <v>205</v>
      </c>
      <c r="F1445" t="s">
        <v>207</v>
      </c>
      <c r="G1445" t="s">
        <v>201</v>
      </c>
      <c r="H1445">
        <v>0</v>
      </c>
    </row>
    <row r="1446" spans="1:8" x14ac:dyDescent="0.3">
      <c r="A1446">
        <v>2019</v>
      </c>
      <c r="B1446" t="s">
        <v>214</v>
      </c>
      <c r="C1446" t="s">
        <v>267</v>
      </c>
      <c r="D1446" t="s">
        <v>268</v>
      </c>
      <c r="E1446" t="s">
        <v>206</v>
      </c>
      <c r="F1446" t="s">
        <v>207</v>
      </c>
      <c r="G1446" t="s">
        <v>201</v>
      </c>
      <c r="H1446">
        <v>162</v>
      </c>
    </row>
    <row r="1447" spans="1:8" x14ac:dyDescent="0.3">
      <c r="A1447">
        <v>2019</v>
      </c>
      <c r="B1447" t="s">
        <v>26</v>
      </c>
      <c r="C1447" t="s">
        <v>267</v>
      </c>
      <c r="D1447" t="s">
        <v>268</v>
      </c>
      <c r="E1447" t="s">
        <v>1</v>
      </c>
      <c r="F1447" t="s">
        <v>207</v>
      </c>
      <c r="G1447" t="s">
        <v>201</v>
      </c>
      <c r="H1447">
        <v>7</v>
      </c>
    </row>
    <row r="1448" spans="1:8" x14ac:dyDescent="0.3">
      <c r="A1448">
        <v>2019</v>
      </c>
      <c r="B1448" t="s">
        <v>26</v>
      </c>
      <c r="C1448" t="s">
        <v>267</v>
      </c>
      <c r="D1448" t="s">
        <v>268</v>
      </c>
      <c r="E1448" t="s">
        <v>203</v>
      </c>
      <c r="F1448" t="s">
        <v>207</v>
      </c>
      <c r="G1448" t="s">
        <v>201</v>
      </c>
      <c r="H1448">
        <v>2</v>
      </c>
    </row>
    <row r="1449" spans="1:8" x14ac:dyDescent="0.3">
      <c r="A1449">
        <v>2019</v>
      </c>
      <c r="B1449" t="s">
        <v>26</v>
      </c>
      <c r="C1449" t="s">
        <v>267</v>
      </c>
      <c r="D1449" t="s">
        <v>268</v>
      </c>
      <c r="E1449" t="s">
        <v>204</v>
      </c>
      <c r="F1449" t="s">
        <v>207</v>
      </c>
      <c r="G1449" t="s">
        <v>201</v>
      </c>
      <c r="H1449">
        <v>1</v>
      </c>
    </row>
    <row r="1450" spans="1:8" x14ac:dyDescent="0.3">
      <c r="A1450">
        <v>2019</v>
      </c>
      <c r="B1450" t="s">
        <v>26</v>
      </c>
      <c r="C1450" t="s">
        <v>267</v>
      </c>
      <c r="D1450" t="s">
        <v>268</v>
      </c>
      <c r="E1450" t="s">
        <v>205</v>
      </c>
      <c r="F1450" t="s">
        <v>207</v>
      </c>
      <c r="G1450" t="s">
        <v>201</v>
      </c>
      <c r="H1450">
        <v>0</v>
      </c>
    </row>
    <row r="1451" spans="1:8" x14ac:dyDescent="0.3">
      <c r="A1451">
        <v>2019</v>
      </c>
      <c r="B1451" t="s">
        <v>26</v>
      </c>
      <c r="C1451" t="s">
        <v>267</v>
      </c>
      <c r="D1451" t="s">
        <v>268</v>
      </c>
      <c r="E1451" t="s">
        <v>206</v>
      </c>
      <c r="F1451" t="s">
        <v>207</v>
      </c>
      <c r="G1451" t="s">
        <v>201</v>
      </c>
      <c r="H1451">
        <v>20</v>
      </c>
    </row>
    <row r="1452" spans="1:8" x14ac:dyDescent="0.3">
      <c r="A1452">
        <v>2019</v>
      </c>
      <c r="B1452" t="s">
        <v>27</v>
      </c>
      <c r="C1452" t="s">
        <v>267</v>
      </c>
      <c r="D1452" t="s">
        <v>268</v>
      </c>
      <c r="E1452" t="s">
        <v>1</v>
      </c>
      <c r="F1452" t="s">
        <v>207</v>
      </c>
      <c r="G1452" t="s">
        <v>201</v>
      </c>
      <c r="H1452">
        <v>25</v>
      </c>
    </row>
    <row r="1453" spans="1:8" x14ac:dyDescent="0.3">
      <c r="A1453">
        <v>2019</v>
      </c>
      <c r="B1453" t="s">
        <v>27</v>
      </c>
      <c r="C1453" t="s">
        <v>267</v>
      </c>
      <c r="D1453" t="s">
        <v>268</v>
      </c>
      <c r="E1453" t="s">
        <v>203</v>
      </c>
      <c r="F1453" t="s">
        <v>207</v>
      </c>
      <c r="G1453" t="s">
        <v>201</v>
      </c>
      <c r="H1453">
        <v>1</v>
      </c>
    </row>
    <row r="1454" spans="1:8" x14ac:dyDescent="0.3">
      <c r="A1454">
        <v>2019</v>
      </c>
      <c r="B1454" t="s">
        <v>27</v>
      </c>
      <c r="C1454" t="s">
        <v>267</v>
      </c>
      <c r="D1454" t="s">
        <v>268</v>
      </c>
      <c r="E1454" t="s">
        <v>204</v>
      </c>
      <c r="F1454" t="s">
        <v>207</v>
      </c>
      <c r="G1454" t="s">
        <v>201</v>
      </c>
      <c r="H1454">
        <v>0</v>
      </c>
    </row>
    <row r="1455" spans="1:8" x14ac:dyDescent="0.3">
      <c r="A1455">
        <v>2019</v>
      </c>
      <c r="B1455" t="s">
        <v>27</v>
      </c>
      <c r="C1455" t="s">
        <v>267</v>
      </c>
      <c r="D1455" t="s">
        <v>268</v>
      </c>
      <c r="E1455" t="s">
        <v>205</v>
      </c>
      <c r="F1455" t="s">
        <v>207</v>
      </c>
      <c r="G1455" t="s">
        <v>201</v>
      </c>
      <c r="H1455">
        <v>0</v>
      </c>
    </row>
    <row r="1456" spans="1:8" x14ac:dyDescent="0.3">
      <c r="A1456">
        <v>2019</v>
      </c>
      <c r="B1456" t="s">
        <v>27</v>
      </c>
      <c r="C1456" t="s">
        <v>267</v>
      </c>
      <c r="D1456" t="s">
        <v>268</v>
      </c>
      <c r="E1456" t="s">
        <v>206</v>
      </c>
      <c r="F1456" t="s">
        <v>207</v>
      </c>
      <c r="G1456" t="s">
        <v>201</v>
      </c>
      <c r="H1456">
        <v>45</v>
      </c>
    </row>
    <row r="1457" spans="1:8" x14ac:dyDescent="0.3">
      <c r="A1457">
        <v>2019</v>
      </c>
      <c r="B1457" t="s">
        <v>219</v>
      </c>
      <c r="C1457" t="s">
        <v>267</v>
      </c>
      <c r="D1457" t="s">
        <v>268</v>
      </c>
      <c r="E1457" t="s">
        <v>1</v>
      </c>
      <c r="F1457" t="s">
        <v>207</v>
      </c>
      <c r="G1457" t="s">
        <v>201</v>
      </c>
      <c r="H1457">
        <v>1</v>
      </c>
    </row>
    <row r="1458" spans="1:8" x14ac:dyDescent="0.3">
      <c r="A1458">
        <v>2019</v>
      </c>
      <c r="B1458" t="s">
        <v>219</v>
      </c>
      <c r="C1458" t="s">
        <v>267</v>
      </c>
      <c r="D1458" t="s">
        <v>268</v>
      </c>
      <c r="E1458" t="s">
        <v>203</v>
      </c>
      <c r="F1458" t="s">
        <v>207</v>
      </c>
      <c r="G1458" t="s">
        <v>201</v>
      </c>
    </row>
    <row r="1459" spans="1:8" x14ac:dyDescent="0.3">
      <c r="A1459">
        <v>2019</v>
      </c>
      <c r="B1459" t="s">
        <v>219</v>
      </c>
      <c r="C1459" t="s">
        <v>267</v>
      </c>
      <c r="D1459" t="s">
        <v>268</v>
      </c>
      <c r="E1459" t="s">
        <v>204</v>
      </c>
      <c r="F1459" t="s">
        <v>207</v>
      </c>
      <c r="G1459" t="s">
        <v>201</v>
      </c>
    </row>
    <row r="1460" spans="1:8" x14ac:dyDescent="0.3">
      <c r="A1460">
        <v>2019</v>
      </c>
      <c r="B1460" t="s">
        <v>219</v>
      </c>
      <c r="C1460" t="s">
        <v>267</v>
      </c>
      <c r="D1460" t="s">
        <v>268</v>
      </c>
      <c r="E1460" t="s">
        <v>205</v>
      </c>
      <c r="F1460" t="s">
        <v>207</v>
      </c>
      <c r="G1460" t="s">
        <v>201</v>
      </c>
    </row>
    <row r="1461" spans="1:8" x14ac:dyDescent="0.3">
      <c r="A1461">
        <v>2019</v>
      </c>
      <c r="B1461" t="s">
        <v>219</v>
      </c>
      <c r="C1461" t="s">
        <v>267</v>
      </c>
      <c r="D1461" t="s">
        <v>268</v>
      </c>
      <c r="E1461" t="s">
        <v>206</v>
      </c>
      <c r="F1461" t="s">
        <v>207</v>
      </c>
      <c r="G1461" t="s">
        <v>201</v>
      </c>
    </row>
    <row r="1462" spans="1:8" x14ac:dyDescent="0.3">
      <c r="A1462">
        <v>2019</v>
      </c>
      <c r="B1462" t="s">
        <v>46</v>
      </c>
      <c r="C1462" t="s">
        <v>267</v>
      </c>
      <c r="D1462" t="s">
        <v>268</v>
      </c>
      <c r="E1462" t="s">
        <v>1</v>
      </c>
      <c r="F1462" t="s">
        <v>207</v>
      </c>
      <c r="G1462" t="s">
        <v>201</v>
      </c>
    </row>
    <row r="1463" spans="1:8" x14ac:dyDescent="0.3">
      <c r="A1463">
        <v>2019</v>
      </c>
      <c r="B1463" t="s">
        <v>46</v>
      </c>
      <c r="C1463" t="s">
        <v>267</v>
      </c>
      <c r="D1463" t="s">
        <v>268</v>
      </c>
      <c r="E1463" t="s">
        <v>203</v>
      </c>
      <c r="F1463" t="s">
        <v>207</v>
      </c>
      <c r="G1463" t="s">
        <v>201</v>
      </c>
    </row>
    <row r="1464" spans="1:8" x14ac:dyDescent="0.3">
      <c r="A1464">
        <v>2019</v>
      </c>
      <c r="B1464" t="s">
        <v>46</v>
      </c>
      <c r="C1464" t="s">
        <v>267</v>
      </c>
      <c r="D1464" t="s">
        <v>268</v>
      </c>
      <c r="E1464" t="s">
        <v>204</v>
      </c>
      <c r="F1464" t="s">
        <v>207</v>
      </c>
      <c r="G1464" t="s">
        <v>201</v>
      </c>
    </row>
    <row r="1465" spans="1:8" x14ac:dyDescent="0.3">
      <c r="A1465">
        <v>2019</v>
      </c>
      <c r="B1465" t="s">
        <v>46</v>
      </c>
      <c r="C1465" t="s">
        <v>267</v>
      </c>
      <c r="D1465" t="s">
        <v>268</v>
      </c>
      <c r="E1465" t="s">
        <v>205</v>
      </c>
      <c r="F1465" t="s">
        <v>207</v>
      </c>
      <c r="G1465" t="s">
        <v>201</v>
      </c>
    </row>
    <row r="1466" spans="1:8" x14ac:dyDescent="0.3">
      <c r="A1466">
        <v>2019</v>
      </c>
      <c r="B1466" t="s">
        <v>46</v>
      </c>
      <c r="C1466" t="s">
        <v>267</v>
      </c>
      <c r="D1466" t="s">
        <v>268</v>
      </c>
      <c r="E1466" t="s">
        <v>206</v>
      </c>
      <c r="F1466" t="s">
        <v>207</v>
      </c>
      <c r="G1466" t="s">
        <v>201</v>
      </c>
    </row>
    <row r="1467" spans="1:8" x14ac:dyDescent="0.3">
      <c r="A1467">
        <v>2019</v>
      </c>
      <c r="B1467" t="s">
        <v>29</v>
      </c>
      <c r="C1467" t="s">
        <v>267</v>
      </c>
      <c r="D1467" t="s">
        <v>268</v>
      </c>
      <c r="E1467" t="s">
        <v>1</v>
      </c>
      <c r="F1467" t="s">
        <v>207</v>
      </c>
      <c r="G1467" t="s">
        <v>201</v>
      </c>
      <c r="H1467">
        <v>1</v>
      </c>
    </row>
    <row r="1468" spans="1:8" x14ac:dyDescent="0.3">
      <c r="A1468">
        <v>2019</v>
      </c>
      <c r="B1468" t="s">
        <v>29</v>
      </c>
      <c r="C1468" t="s">
        <v>267</v>
      </c>
      <c r="D1468" t="s">
        <v>268</v>
      </c>
      <c r="E1468" t="s">
        <v>203</v>
      </c>
      <c r="F1468" t="s">
        <v>207</v>
      </c>
      <c r="G1468" t="s">
        <v>201</v>
      </c>
      <c r="H1468">
        <v>0</v>
      </c>
    </row>
    <row r="1469" spans="1:8" x14ac:dyDescent="0.3">
      <c r="A1469">
        <v>2019</v>
      </c>
      <c r="B1469" t="s">
        <v>29</v>
      </c>
      <c r="C1469" t="s">
        <v>267</v>
      </c>
      <c r="D1469" t="s">
        <v>268</v>
      </c>
      <c r="E1469" t="s">
        <v>204</v>
      </c>
      <c r="F1469" t="s">
        <v>207</v>
      </c>
      <c r="G1469" t="s">
        <v>201</v>
      </c>
      <c r="H1469">
        <v>0</v>
      </c>
    </row>
    <row r="1470" spans="1:8" x14ac:dyDescent="0.3">
      <c r="A1470">
        <v>2019</v>
      </c>
      <c r="B1470" t="s">
        <v>29</v>
      </c>
      <c r="C1470" t="s">
        <v>267</v>
      </c>
      <c r="D1470" t="s">
        <v>268</v>
      </c>
      <c r="E1470" t="s">
        <v>205</v>
      </c>
      <c r="F1470" t="s">
        <v>207</v>
      </c>
      <c r="G1470" t="s">
        <v>201</v>
      </c>
      <c r="H1470">
        <v>0</v>
      </c>
    </row>
    <row r="1471" spans="1:8" x14ac:dyDescent="0.3">
      <c r="A1471">
        <v>2019</v>
      </c>
      <c r="B1471" t="s">
        <v>29</v>
      </c>
      <c r="C1471" t="s">
        <v>267</v>
      </c>
      <c r="D1471" t="s">
        <v>268</v>
      </c>
      <c r="E1471" t="s">
        <v>206</v>
      </c>
      <c r="F1471" t="s">
        <v>207</v>
      </c>
      <c r="G1471" t="s">
        <v>201</v>
      </c>
      <c r="H1471">
        <v>13</v>
      </c>
    </row>
    <row r="1472" spans="1:8" x14ac:dyDescent="0.3">
      <c r="A1472">
        <v>2019</v>
      </c>
      <c r="B1472" t="s">
        <v>30</v>
      </c>
      <c r="C1472" t="s">
        <v>267</v>
      </c>
      <c r="D1472" t="s">
        <v>268</v>
      </c>
      <c r="E1472" t="s">
        <v>1</v>
      </c>
      <c r="F1472" t="s">
        <v>207</v>
      </c>
      <c r="G1472" t="s">
        <v>201</v>
      </c>
      <c r="H1472">
        <v>8</v>
      </c>
    </row>
    <row r="1473" spans="1:8" x14ac:dyDescent="0.3">
      <c r="A1473">
        <v>2019</v>
      </c>
      <c r="B1473" t="s">
        <v>30</v>
      </c>
      <c r="C1473" t="s">
        <v>267</v>
      </c>
      <c r="D1473" t="s">
        <v>268</v>
      </c>
      <c r="E1473" t="s">
        <v>203</v>
      </c>
      <c r="F1473" t="s">
        <v>207</v>
      </c>
      <c r="G1473" t="s">
        <v>201</v>
      </c>
      <c r="H1473">
        <v>1</v>
      </c>
    </row>
    <row r="1474" spans="1:8" x14ac:dyDescent="0.3">
      <c r="A1474">
        <v>2019</v>
      </c>
      <c r="B1474" t="s">
        <v>30</v>
      </c>
      <c r="C1474" t="s">
        <v>267</v>
      </c>
      <c r="D1474" t="s">
        <v>268</v>
      </c>
      <c r="E1474" t="s">
        <v>204</v>
      </c>
      <c r="F1474" t="s">
        <v>207</v>
      </c>
      <c r="G1474" t="s">
        <v>201</v>
      </c>
      <c r="H1474">
        <v>0</v>
      </c>
    </row>
    <row r="1475" spans="1:8" x14ac:dyDescent="0.3">
      <c r="A1475">
        <v>2019</v>
      </c>
      <c r="B1475" t="s">
        <v>30</v>
      </c>
      <c r="C1475" t="s">
        <v>267</v>
      </c>
      <c r="D1475" t="s">
        <v>268</v>
      </c>
      <c r="E1475" t="s">
        <v>205</v>
      </c>
      <c r="F1475" t="s">
        <v>207</v>
      </c>
      <c r="G1475" t="s">
        <v>201</v>
      </c>
      <c r="H1475">
        <v>0</v>
      </c>
    </row>
    <row r="1476" spans="1:8" x14ac:dyDescent="0.3">
      <c r="A1476">
        <v>2019</v>
      </c>
      <c r="B1476" t="s">
        <v>30</v>
      </c>
      <c r="C1476" t="s">
        <v>267</v>
      </c>
      <c r="D1476" t="s">
        <v>268</v>
      </c>
      <c r="E1476" t="s">
        <v>206</v>
      </c>
      <c r="F1476" t="s">
        <v>207</v>
      </c>
      <c r="G1476" t="s">
        <v>201</v>
      </c>
      <c r="H1476">
        <v>29</v>
      </c>
    </row>
    <row r="1477" spans="1:8" x14ac:dyDescent="0.3">
      <c r="A1477">
        <v>2019</v>
      </c>
      <c r="B1477" t="s">
        <v>31</v>
      </c>
      <c r="C1477" t="s">
        <v>267</v>
      </c>
      <c r="D1477" t="s">
        <v>268</v>
      </c>
      <c r="E1477" t="s">
        <v>1</v>
      </c>
      <c r="F1477" t="s">
        <v>207</v>
      </c>
      <c r="G1477" t="s">
        <v>201</v>
      </c>
      <c r="H1477">
        <v>7</v>
      </c>
    </row>
    <row r="1478" spans="1:8" x14ac:dyDescent="0.3">
      <c r="A1478">
        <v>2019</v>
      </c>
      <c r="B1478" t="s">
        <v>31</v>
      </c>
      <c r="C1478" t="s">
        <v>267</v>
      </c>
      <c r="D1478" t="s">
        <v>268</v>
      </c>
      <c r="E1478" t="s">
        <v>203</v>
      </c>
      <c r="F1478" t="s">
        <v>207</v>
      </c>
      <c r="G1478" t="s">
        <v>201</v>
      </c>
      <c r="H1478">
        <v>3</v>
      </c>
    </row>
    <row r="1479" spans="1:8" x14ac:dyDescent="0.3">
      <c r="A1479">
        <v>2019</v>
      </c>
      <c r="B1479" t="s">
        <v>31</v>
      </c>
      <c r="C1479" t="s">
        <v>267</v>
      </c>
      <c r="D1479" t="s">
        <v>268</v>
      </c>
      <c r="E1479" t="s">
        <v>204</v>
      </c>
      <c r="F1479" t="s">
        <v>207</v>
      </c>
      <c r="G1479" t="s">
        <v>201</v>
      </c>
      <c r="H1479">
        <v>0</v>
      </c>
    </row>
    <row r="1480" spans="1:8" x14ac:dyDescent="0.3">
      <c r="A1480">
        <v>2019</v>
      </c>
      <c r="B1480" t="s">
        <v>31</v>
      </c>
      <c r="C1480" t="s">
        <v>267</v>
      </c>
      <c r="D1480" t="s">
        <v>268</v>
      </c>
      <c r="E1480" t="s">
        <v>205</v>
      </c>
      <c r="F1480" t="s">
        <v>207</v>
      </c>
      <c r="G1480" t="s">
        <v>201</v>
      </c>
      <c r="H1480">
        <v>0</v>
      </c>
    </row>
    <row r="1481" spans="1:8" x14ac:dyDescent="0.3">
      <c r="A1481">
        <v>2019</v>
      </c>
      <c r="B1481" t="s">
        <v>31</v>
      </c>
      <c r="C1481" t="s">
        <v>267</v>
      </c>
      <c r="D1481" t="s">
        <v>268</v>
      </c>
      <c r="E1481" t="s">
        <v>206</v>
      </c>
      <c r="F1481" t="s">
        <v>207</v>
      </c>
      <c r="G1481" t="s">
        <v>201</v>
      </c>
      <c r="H1481">
        <v>7</v>
      </c>
    </row>
    <row r="1482" spans="1:8" x14ac:dyDescent="0.3">
      <c r="A1482">
        <v>2019</v>
      </c>
      <c r="B1482" t="s">
        <v>32</v>
      </c>
      <c r="C1482" t="s">
        <v>267</v>
      </c>
      <c r="D1482" t="s">
        <v>268</v>
      </c>
      <c r="E1482" t="s">
        <v>1</v>
      </c>
      <c r="F1482" t="s">
        <v>207</v>
      </c>
      <c r="G1482" t="s">
        <v>201</v>
      </c>
      <c r="H1482">
        <v>5</v>
      </c>
    </row>
    <row r="1483" spans="1:8" x14ac:dyDescent="0.3">
      <c r="A1483">
        <v>2019</v>
      </c>
      <c r="B1483" t="s">
        <v>32</v>
      </c>
      <c r="C1483" t="s">
        <v>267</v>
      </c>
      <c r="D1483" t="s">
        <v>268</v>
      </c>
      <c r="E1483" t="s">
        <v>203</v>
      </c>
      <c r="F1483" t="s">
        <v>207</v>
      </c>
      <c r="G1483" t="s">
        <v>201</v>
      </c>
    </row>
    <row r="1484" spans="1:8" x14ac:dyDescent="0.3">
      <c r="A1484">
        <v>2019</v>
      </c>
      <c r="B1484" t="s">
        <v>32</v>
      </c>
      <c r="C1484" t="s">
        <v>267</v>
      </c>
      <c r="D1484" t="s">
        <v>268</v>
      </c>
      <c r="E1484" t="s">
        <v>204</v>
      </c>
      <c r="F1484" t="s">
        <v>207</v>
      </c>
      <c r="G1484" t="s">
        <v>201</v>
      </c>
    </row>
    <row r="1485" spans="1:8" x14ac:dyDescent="0.3">
      <c r="A1485">
        <v>2019</v>
      </c>
      <c r="B1485" t="s">
        <v>32</v>
      </c>
      <c r="C1485" t="s">
        <v>267</v>
      </c>
      <c r="D1485" t="s">
        <v>268</v>
      </c>
      <c r="E1485" t="s">
        <v>205</v>
      </c>
      <c r="F1485" t="s">
        <v>207</v>
      </c>
      <c r="G1485" t="s">
        <v>201</v>
      </c>
    </row>
    <row r="1486" spans="1:8" x14ac:dyDescent="0.3">
      <c r="A1486">
        <v>2019</v>
      </c>
      <c r="B1486" t="s">
        <v>32</v>
      </c>
      <c r="C1486" t="s">
        <v>267</v>
      </c>
      <c r="D1486" t="s">
        <v>268</v>
      </c>
      <c r="E1486" t="s">
        <v>206</v>
      </c>
      <c r="F1486" t="s">
        <v>207</v>
      </c>
      <c r="G1486" t="s">
        <v>201</v>
      </c>
    </row>
    <row r="1487" spans="1:8" x14ac:dyDescent="0.3">
      <c r="A1487">
        <v>2019</v>
      </c>
      <c r="B1487" t="s">
        <v>49</v>
      </c>
      <c r="C1487" t="s">
        <v>267</v>
      </c>
      <c r="D1487" t="s">
        <v>268</v>
      </c>
      <c r="E1487" t="s">
        <v>1</v>
      </c>
      <c r="F1487" t="s">
        <v>207</v>
      </c>
      <c r="G1487" t="s">
        <v>201</v>
      </c>
      <c r="H1487">
        <v>7</v>
      </c>
    </row>
    <row r="1488" spans="1:8" x14ac:dyDescent="0.3">
      <c r="A1488">
        <v>2019</v>
      </c>
      <c r="B1488" t="s">
        <v>49</v>
      </c>
      <c r="C1488" t="s">
        <v>267</v>
      </c>
      <c r="D1488" t="s">
        <v>268</v>
      </c>
      <c r="E1488" t="s">
        <v>203</v>
      </c>
      <c r="F1488" t="s">
        <v>207</v>
      </c>
      <c r="G1488" t="s">
        <v>201</v>
      </c>
      <c r="H1488">
        <v>0</v>
      </c>
    </row>
    <row r="1489" spans="1:8" x14ac:dyDescent="0.3">
      <c r="A1489">
        <v>2019</v>
      </c>
      <c r="B1489" t="s">
        <v>49</v>
      </c>
      <c r="C1489" t="s">
        <v>267</v>
      </c>
      <c r="D1489" t="s">
        <v>268</v>
      </c>
      <c r="E1489" t="s">
        <v>204</v>
      </c>
      <c r="F1489" t="s">
        <v>207</v>
      </c>
      <c r="G1489" t="s">
        <v>201</v>
      </c>
      <c r="H1489">
        <v>0</v>
      </c>
    </row>
    <row r="1490" spans="1:8" x14ac:dyDescent="0.3">
      <c r="A1490">
        <v>2019</v>
      </c>
      <c r="B1490" t="s">
        <v>49</v>
      </c>
      <c r="C1490" t="s">
        <v>267</v>
      </c>
      <c r="D1490" t="s">
        <v>268</v>
      </c>
      <c r="E1490" t="s">
        <v>205</v>
      </c>
      <c r="F1490" t="s">
        <v>207</v>
      </c>
      <c r="G1490" t="s">
        <v>201</v>
      </c>
      <c r="H1490">
        <v>0</v>
      </c>
    </row>
    <row r="1491" spans="1:8" x14ac:dyDescent="0.3">
      <c r="A1491">
        <v>2019</v>
      </c>
      <c r="B1491" t="s">
        <v>49</v>
      </c>
      <c r="C1491" t="s">
        <v>267</v>
      </c>
      <c r="D1491" t="s">
        <v>268</v>
      </c>
      <c r="E1491" t="s">
        <v>206</v>
      </c>
      <c r="F1491" t="s">
        <v>207</v>
      </c>
      <c r="G1491" t="s">
        <v>201</v>
      </c>
      <c r="H1491">
        <v>2</v>
      </c>
    </row>
    <row r="1492" spans="1:8" x14ac:dyDescent="0.3">
      <c r="A1492">
        <v>2019</v>
      </c>
      <c r="B1492" t="s">
        <v>33</v>
      </c>
      <c r="C1492" t="s">
        <v>267</v>
      </c>
      <c r="D1492" t="s">
        <v>268</v>
      </c>
      <c r="E1492" t="s">
        <v>1</v>
      </c>
      <c r="F1492" t="s">
        <v>207</v>
      </c>
      <c r="G1492" t="s">
        <v>201</v>
      </c>
      <c r="H1492">
        <v>12</v>
      </c>
    </row>
    <row r="1493" spans="1:8" x14ac:dyDescent="0.3">
      <c r="A1493">
        <v>2019</v>
      </c>
      <c r="B1493" t="s">
        <v>33</v>
      </c>
      <c r="C1493" t="s">
        <v>267</v>
      </c>
      <c r="D1493" t="s">
        <v>268</v>
      </c>
      <c r="E1493" t="s">
        <v>203</v>
      </c>
      <c r="F1493" t="s">
        <v>207</v>
      </c>
      <c r="G1493" t="s">
        <v>201</v>
      </c>
      <c r="H1493">
        <v>0</v>
      </c>
    </row>
    <row r="1494" spans="1:8" x14ac:dyDescent="0.3">
      <c r="A1494">
        <v>2019</v>
      </c>
      <c r="B1494" t="s">
        <v>33</v>
      </c>
      <c r="C1494" t="s">
        <v>267</v>
      </c>
      <c r="D1494" t="s">
        <v>268</v>
      </c>
      <c r="E1494" t="s">
        <v>204</v>
      </c>
      <c r="F1494" t="s">
        <v>207</v>
      </c>
      <c r="G1494" t="s">
        <v>201</v>
      </c>
      <c r="H1494">
        <v>0</v>
      </c>
    </row>
    <row r="1495" spans="1:8" x14ac:dyDescent="0.3">
      <c r="A1495">
        <v>2019</v>
      </c>
      <c r="B1495" t="s">
        <v>33</v>
      </c>
      <c r="C1495" t="s">
        <v>267</v>
      </c>
      <c r="D1495" t="s">
        <v>268</v>
      </c>
      <c r="E1495" t="s">
        <v>205</v>
      </c>
      <c r="F1495" t="s">
        <v>207</v>
      </c>
      <c r="G1495" t="s">
        <v>201</v>
      </c>
      <c r="H1495">
        <v>0</v>
      </c>
    </row>
    <row r="1496" spans="1:8" x14ac:dyDescent="0.3">
      <c r="A1496">
        <v>2019</v>
      </c>
      <c r="B1496" t="s">
        <v>33</v>
      </c>
      <c r="C1496" t="s">
        <v>267</v>
      </c>
      <c r="D1496" t="s">
        <v>268</v>
      </c>
      <c r="E1496" t="s">
        <v>206</v>
      </c>
      <c r="F1496" t="s">
        <v>207</v>
      </c>
      <c r="G1496" t="s">
        <v>201</v>
      </c>
      <c r="H1496">
        <v>0</v>
      </c>
    </row>
    <row r="1497" spans="1:8" x14ac:dyDescent="0.3">
      <c r="A1497">
        <v>2019</v>
      </c>
      <c r="B1497" t="s">
        <v>34</v>
      </c>
      <c r="C1497" t="s">
        <v>267</v>
      </c>
      <c r="D1497" t="s">
        <v>268</v>
      </c>
      <c r="E1497" t="s">
        <v>1</v>
      </c>
      <c r="F1497" t="s">
        <v>207</v>
      </c>
      <c r="G1497" t="s">
        <v>201</v>
      </c>
      <c r="H1497">
        <v>16</v>
      </c>
    </row>
    <row r="1498" spans="1:8" x14ac:dyDescent="0.3">
      <c r="A1498">
        <v>2019</v>
      </c>
      <c r="B1498" t="s">
        <v>34</v>
      </c>
      <c r="C1498" t="s">
        <v>267</v>
      </c>
      <c r="D1498" t="s">
        <v>268</v>
      </c>
      <c r="E1498" t="s">
        <v>203</v>
      </c>
      <c r="F1498" t="s">
        <v>207</v>
      </c>
      <c r="G1498" t="s">
        <v>201</v>
      </c>
      <c r="H1498">
        <v>2</v>
      </c>
    </row>
    <row r="1499" spans="1:8" x14ac:dyDescent="0.3">
      <c r="A1499">
        <v>2019</v>
      </c>
      <c r="B1499" t="s">
        <v>34</v>
      </c>
      <c r="C1499" t="s">
        <v>267</v>
      </c>
      <c r="D1499" t="s">
        <v>268</v>
      </c>
      <c r="E1499" t="s">
        <v>204</v>
      </c>
      <c r="F1499" t="s">
        <v>207</v>
      </c>
      <c r="G1499" t="s">
        <v>201</v>
      </c>
      <c r="H1499">
        <v>0</v>
      </c>
    </row>
    <row r="1500" spans="1:8" x14ac:dyDescent="0.3">
      <c r="A1500">
        <v>2019</v>
      </c>
      <c r="B1500" t="s">
        <v>34</v>
      </c>
      <c r="C1500" t="s">
        <v>267</v>
      </c>
      <c r="D1500" t="s">
        <v>268</v>
      </c>
      <c r="E1500" t="s">
        <v>205</v>
      </c>
      <c r="F1500" t="s">
        <v>207</v>
      </c>
      <c r="G1500" t="s">
        <v>201</v>
      </c>
      <c r="H1500">
        <v>0</v>
      </c>
    </row>
    <row r="1501" spans="1:8" x14ac:dyDescent="0.3">
      <c r="A1501">
        <v>2019</v>
      </c>
      <c r="B1501" t="s">
        <v>34</v>
      </c>
      <c r="C1501" t="s">
        <v>267</v>
      </c>
      <c r="D1501" t="s">
        <v>268</v>
      </c>
      <c r="E1501" t="s">
        <v>206</v>
      </c>
      <c r="F1501" t="s">
        <v>207</v>
      </c>
      <c r="G1501" t="s">
        <v>201</v>
      </c>
      <c r="H1501">
        <v>27</v>
      </c>
    </row>
    <row r="1502" spans="1:8" x14ac:dyDescent="0.3">
      <c r="A1502">
        <v>2019</v>
      </c>
      <c r="B1502" t="s">
        <v>35</v>
      </c>
      <c r="C1502" t="s">
        <v>267</v>
      </c>
      <c r="D1502" t="s">
        <v>268</v>
      </c>
      <c r="E1502" t="s">
        <v>1</v>
      </c>
      <c r="F1502" t="s">
        <v>207</v>
      </c>
      <c r="G1502" t="s">
        <v>201</v>
      </c>
      <c r="H1502">
        <v>10</v>
      </c>
    </row>
    <row r="1503" spans="1:8" x14ac:dyDescent="0.3">
      <c r="A1503">
        <v>2019</v>
      </c>
      <c r="B1503" t="s">
        <v>35</v>
      </c>
      <c r="C1503" t="s">
        <v>267</v>
      </c>
      <c r="D1503" t="s">
        <v>268</v>
      </c>
      <c r="E1503" t="s">
        <v>203</v>
      </c>
      <c r="F1503" t="s">
        <v>207</v>
      </c>
      <c r="G1503" t="s">
        <v>201</v>
      </c>
      <c r="H1503">
        <v>1</v>
      </c>
    </row>
    <row r="1504" spans="1:8" x14ac:dyDescent="0.3">
      <c r="A1504">
        <v>2019</v>
      </c>
      <c r="B1504" t="s">
        <v>35</v>
      </c>
      <c r="C1504" t="s">
        <v>267</v>
      </c>
      <c r="D1504" t="s">
        <v>268</v>
      </c>
      <c r="E1504" t="s">
        <v>204</v>
      </c>
      <c r="F1504" t="s">
        <v>207</v>
      </c>
      <c r="G1504" t="s">
        <v>201</v>
      </c>
      <c r="H1504">
        <v>0</v>
      </c>
    </row>
    <row r="1505" spans="1:8" x14ac:dyDescent="0.3">
      <c r="A1505">
        <v>2019</v>
      </c>
      <c r="B1505" t="s">
        <v>35</v>
      </c>
      <c r="C1505" t="s">
        <v>267</v>
      </c>
      <c r="D1505" t="s">
        <v>268</v>
      </c>
      <c r="E1505" t="s">
        <v>205</v>
      </c>
      <c r="F1505" t="s">
        <v>207</v>
      </c>
      <c r="G1505" t="s">
        <v>201</v>
      </c>
      <c r="H1505">
        <v>0</v>
      </c>
    </row>
    <row r="1506" spans="1:8" x14ac:dyDescent="0.3">
      <c r="A1506">
        <v>2019</v>
      </c>
      <c r="B1506" t="s">
        <v>35</v>
      </c>
      <c r="C1506" t="s">
        <v>267</v>
      </c>
      <c r="D1506" t="s">
        <v>268</v>
      </c>
      <c r="E1506" t="s">
        <v>206</v>
      </c>
      <c r="F1506" t="s">
        <v>207</v>
      </c>
      <c r="G1506" t="s">
        <v>201</v>
      </c>
    </row>
    <row r="1507" spans="1:8" x14ac:dyDescent="0.3">
      <c r="A1507">
        <v>2019</v>
      </c>
      <c r="B1507" t="s">
        <v>36</v>
      </c>
      <c r="C1507" t="s">
        <v>267</v>
      </c>
      <c r="D1507" t="s">
        <v>268</v>
      </c>
      <c r="E1507" t="s">
        <v>1</v>
      </c>
      <c r="F1507" t="s">
        <v>207</v>
      </c>
      <c r="G1507" t="s">
        <v>201</v>
      </c>
      <c r="H1507">
        <v>3</v>
      </c>
    </row>
    <row r="1508" spans="1:8" x14ac:dyDescent="0.3">
      <c r="A1508">
        <v>2019</v>
      </c>
      <c r="B1508" t="s">
        <v>36</v>
      </c>
      <c r="C1508" t="s">
        <v>267</v>
      </c>
      <c r="D1508" t="s">
        <v>268</v>
      </c>
      <c r="E1508" t="s">
        <v>203</v>
      </c>
      <c r="F1508" t="s">
        <v>207</v>
      </c>
      <c r="G1508" t="s">
        <v>201</v>
      </c>
      <c r="H1508">
        <v>0</v>
      </c>
    </row>
    <row r="1509" spans="1:8" x14ac:dyDescent="0.3">
      <c r="A1509">
        <v>2019</v>
      </c>
      <c r="B1509" t="s">
        <v>36</v>
      </c>
      <c r="C1509" t="s">
        <v>267</v>
      </c>
      <c r="D1509" t="s">
        <v>268</v>
      </c>
      <c r="E1509" t="s">
        <v>204</v>
      </c>
      <c r="F1509" t="s">
        <v>207</v>
      </c>
      <c r="G1509" t="s">
        <v>201</v>
      </c>
      <c r="H1509">
        <v>0</v>
      </c>
    </row>
    <row r="1510" spans="1:8" x14ac:dyDescent="0.3">
      <c r="A1510">
        <v>2019</v>
      </c>
      <c r="B1510" t="s">
        <v>36</v>
      </c>
      <c r="C1510" t="s">
        <v>267</v>
      </c>
      <c r="D1510" t="s">
        <v>268</v>
      </c>
      <c r="E1510" t="s">
        <v>205</v>
      </c>
      <c r="F1510" t="s">
        <v>207</v>
      </c>
      <c r="G1510" t="s">
        <v>201</v>
      </c>
      <c r="H1510">
        <v>0</v>
      </c>
    </row>
    <row r="1511" spans="1:8" x14ac:dyDescent="0.3">
      <c r="A1511">
        <v>2019</v>
      </c>
      <c r="B1511" t="s">
        <v>36</v>
      </c>
      <c r="C1511" t="s">
        <v>267</v>
      </c>
      <c r="D1511" t="s">
        <v>268</v>
      </c>
      <c r="E1511" t="s">
        <v>206</v>
      </c>
      <c r="F1511" t="s">
        <v>207</v>
      </c>
      <c r="G1511" t="s">
        <v>201</v>
      </c>
      <c r="H1511">
        <v>0</v>
      </c>
    </row>
    <row r="1512" spans="1:8" x14ac:dyDescent="0.3">
      <c r="A1512">
        <v>2019</v>
      </c>
      <c r="B1512" t="s">
        <v>37</v>
      </c>
      <c r="C1512" t="s">
        <v>267</v>
      </c>
      <c r="D1512" t="s">
        <v>268</v>
      </c>
      <c r="E1512" t="s">
        <v>1</v>
      </c>
      <c r="F1512" t="s">
        <v>207</v>
      </c>
      <c r="G1512" t="s">
        <v>201</v>
      </c>
      <c r="H1512">
        <v>10</v>
      </c>
    </row>
    <row r="1513" spans="1:8" x14ac:dyDescent="0.3">
      <c r="A1513">
        <v>2019</v>
      </c>
      <c r="B1513" t="s">
        <v>37</v>
      </c>
      <c r="C1513" t="s">
        <v>267</v>
      </c>
      <c r="D1513" t="s">
        <v>268</v>
      </c>
      <c r="E1513" t="s">
        <v>203</v>
      </c>
      <c r="F1513" t="s">
        <v>207</v>
      </c>
      <c r="G1513" t="s">
        <v>201</v>
      </c>
      <c r="H1513">
        <v>1</v>
      </c>
    </row>
    <row r="1514" spans="1:8" x14ac:dyDescent="0.3">
      <c r="A1514">
        <v>2019</v>
      </c>
      <c r="B1514" t="s">
        <v>37</v>
      </c>
      <c r="C1514" t="s">
        <v>267</v>
      </c>
      <c r="D1514" t="s">
        <v>268</v>
      </c>
      <c r="E1514" t="s">
        <v>204</v>
      </c>
      <c r="F1514" t="s">
        <v>207</v>
      </c>
      <c r="G1514" t="s">
        <v>201</v>
      </c>
      <c r="H1514">
        <v>0</v>
      </c>
    </row>
    <row r="1515" spans="1:8" x14ac:dyDescent="0.3">
      <c r="A1515">
        <v>2019</v>
      </c>
      <c r="B1515" t="s">
        <v>37</v>
      </c>
      <c r="C1515" t="s">
        <v>267</v>
      </c>
      <c r="D1515" t="s">
        <v>268</v>
      </c>
      <c r="E1515" t="s">
        <v>205</v>
      </c>
      <c r="F1515" t="s">
        <v>207</v>
      </c>
      <c r="G1515" t="s">
        <v>201</v>
      </c>
      <c r="H1515">
        <v>0</v>
      </c>
    </row>
    <row r="1516" spans="1:8" x14ac:dyDescent="0.3">
      <c r="A1516">
        <v>2019</v>
      </c>
      <c r="B1516" t="s">
        <v>37</v>
      </c>
      <c r="C1516" t="s">
        <v>267</v>
      </c>
      <c r="D1516" t="s">
        <v>268</v>
      </c>
      <c r="E1516" t="s">
        <v>206</v>
      </c>
      <c r="F1516" t="s">
        <v>207</v>
      </c>
      <c r="G1516" t="s">
        <v>201</v>
      </c>
      <c r="H1516">
        <v>16</v>
      </c>
    </row>
    <row r="1517" spans="1:8" x14ac:dyDescent="0.3">
      <c r="A1517">
        <v>2019</v>
      </c>
      <c r="B1517" t="s">
        <v>38</v>
      </c>
      <c r="C1517" t="s">
        <v>267</v>
      </c>
      <c r="D1517" t="s">
        <v>268</v>
      </c>
      <c r="E1517" t="s">
        <v>1</v>
      </c>
      <c r="F1517" t="s">
        <v>207</v>
      </c>
      <c r="G1517" t="s">
        <v>201</v>
      </c>
      <c r="H1517">
        <v>5</v>
      </c>
    </row>
    <row r="1518" spans="1:8" x14ac:dyDescent="0.3">
      <c r="A1518">
        <v>2019</v>
      </c>
      <c r="B1518" t="s">
        <v>38</v>
      </c>
      <c r="C1518" t="s">
        <v>267</v>
      </c>
      <c r="D1518" t="s">
        <v>268</v>
      </c>
      <c r="E1518" t="s">
        <v>203</v>
      </c>
      <c r="F1518" t="s">
        <v>207</v>
      </c>
      <c r="G1518" t="s">
        <v>201</v>
      </c>
      <c r="H1518">
        <v>1</v>
      </c>
    </row>
    <row r="1519" spans="1:8" x14ac:dyDescent="0.3">
      <c r="A1519">
        <v>2019</v>
      </c>
      <c r="B1519" t="s">
        <v>38</v>
      </c>
      <c r="C1519" t="s">
        <v>267</v>
      </c>
      <c r="D1519" t="s">
        <v>268</v>
      </c>
      <c r="E1519" t="s">
        <v>204</v>
      </c>
      <c r="F1519" t="s">
        <v>207</v>
      </c>
      <c r="G1519" t="s">
        <v>201</v>
      </c>
      <c r="H1519">
        <v>0</v>
      </c>
    </row>
    <row r="1520" spans="1:8" x14ac:dyDescent="0.3">
      <c r="A1520">
        <v>2019</v>
      </c>
      <c r="B1520" t="s">
        <v>38</v>
      </c>
      <c r="C1520" t="s">
        <v>267</v>
      </c>
      <c r="D1520" t="s">
        <v>268</v>
      </c>
      <c r="E1520" t="s">
        <v>205</v>
      </c>
      <c r="F1520" t="s">
        <v>207</v>
      </c>
      <c r="G1520" t="s">
        <v>201</v>
      </c>
      <c r="H1520">
        <v>0</v>
      </c>
    </row>
    <row r="1521" spans="1:8" x14ac:dyDescent="0.3">
      <c r="A1521">
        <v>2019</v>
      </c>
      <c r="B1521" t="s">
        <v>38</v>
      </c>
      <c r="C1521" t="s">
        <v>267</v>
      </c>
      <c r="D1521" t="s">
        <v>268</v>
      </c>
      <c r="E1521" t="s">
        <v>206</v>
      </c>
      <c r="F1521" t="s">
        <v>207</v>
      </c>
      <c r="G1521" t="s">
        <v>201</v>
      </c>
      <c r="H1521">
        <v>1</v>
      </c>
    </row>
    <row r="1522" spans="1:8" x14ac:dyDescent="0.3">
      <c r="A1522">
        <v>2019</v>
      </c>
      <c r="B1522" t="s">
        <v>39</v>
      </c>
      <c r="C1522" t="s">
        <v>267</v>
      </c>
      <c r="D1522" t="s">
        <v>268</v>
      </c>
      <c r="E1522" t="s">
        <v>1</v>
      </c>
      <c r="F1522" t="s">
        <v>207</v>
      </c>
      <c r="G1522" t="s">
        <v>201</v>
      </c>
      <c r="H1522">
        <v>2</v>
      </c>
    </row>
    <row r="1523" spans="1:8" x14ac:dyDescent="0.3">
      <c r="A1523">
        <v>2019</v>
      </c>
      <c r="B1523" t="s">
        <v>39</v>
      </c>
      <c r="C1523" t="s">
        <v>267</v>
      </c>
      <c r="D1523" t="s">
        <v>268</v>
      </c>
      <c r="E1523" t="s">
        <v>203</v>
      </c>
      <c r="F1523" t="s">
        <v>207</v>
      </c>
      <c r="G1523" t="s">
        <v>201</v>
      </c>
      <c r="H1523">
        <v>0</v>
      </c>
    </row>
    <row r="1524" spans="1:8" x14ac:dyDescent="0.3">
      <c r="A1524">
        <v>2019</v>
      </c>
      <c r="B1524" t="s">
        <v>39</v>
      </c>
      <c r="C1524" t="s">
        <v>267</v>
      </c>
      <c r="D1524" t="s">
        <v>268</v>
      </c>
      <c r="E1524" t="s">
        <v>204</v>
      </c>
      <c r="F1524" t="s">
        <v>207</v>
      </c>
      <c r="G1524" t="s">
        <v>201</v>
      </c>
      <c r="H1524">
        <v>0</v>
      </c>
    </row>
    <row r="1525" spans="1:8" x14ac:dyDescent="0.3">
      <c r="A1525">
        <v>2019</v>
      </c>
      <c r="B1525" t="s">
        <v>39</v>
      </c>
      <c r="C1525" t="s">
        <v>267</v>
      </c>
      <c r="D1525" t="s">
        <v>268</v>
      </c>
      <c r="E1525" t="s">
        <v>205</v>
      </c>
      <c r="F1525" t="s">
        <v>207</v>
      </c>
      <c r="G1525" t="s">
        <v>201</v>
      </c>
      <c r="H1525">
        <v>0</v>
      </c>
    </row>
    <row r="1526" spans="1:8" x14ac:dyDescent="0.3">
      <c r="A1526">
        <v>2019</v>
      </c>
      <c r="B1526" t="s">
        <v>39</v>
      </c>
      <c r="C1526" t="s">
        <v>267</v>
      </c>
      <c r="D1526" t="s">
        <v>268</v>
      </c>
      <c r="E1526" t="s">
        <v>206</v>
      </c>
      <c r="F1526" t="s">
        <v>207</v>
      </c>
      <c r="G1526" t="s">
        <v>201</v>
      </c>
      <c r="H1526">
        <v>0</v>
      </c>
    </row>
    <row r="1527" spans="1:8" x14ac:dyDescent="0.3">
      <c r="A1527">
        <v>2019</v>
      </c>
      <c r="B1527" t="s">
        <v>50</v>
      </c>
      <c r="C1527" t="s">
        <v>267</v>
      </c>
      <c r="D1527" t="s">
        <v>268</v>
      </c>
      <c r="E1527" t="s">
        <v>1</v>
      </c>
      <c r="F1527" t="s">
        <v>207</v>
      </c>
      <c r="G1527" t="s">
        <v>201</v>
      </c>
      <c r="H1527">
        <v>23</v>
      </c>
    </row>
    <row r="1528" spans="1:8" x14ac:dyDescent="0.3">
      <c r="A1528">
        <v>2019</v>
      </c>
      <c r="B1528" t="s">
        <v>50</v>
      </c>
      <c r="C1528" t="s">
        <v>267</v>
      </c>
      <c r="D1528" t="s">
        <v>268</v>
      </c>
      <c r="E1528" t="s">
        <v>203</v>
      </c>
      <c r="F1528" t="s">
        <v>207</v>
      </c>
      <c r="G1528" t="s">
        <v>201</v>
      </c>
      <c r="H1528">
        <v>1</v>
      </c>
    </row>
    <row r="1529" spans="1:8" x14ac:dyDescent="0.3">
      <c r="A1529">
        <v>2019</v>
      </c>
      <c r="B1529" t="s">
        <v>50</v>
      </c>
      <c r="C1529" t="s">
        <v>267</v>
      </c>
      <c r="D1529" t="s">
        <v>268</v>
      </c>
      <c r="E1529" t="s">
        <v>204</v>
      </c>
      <c r="F1529" t="s">
        <v>207</v>
      </c>
      <c r="G1529" t="s">
        <v>201</v>
      </c>
      <c r="H1529">
        <v>0</v>
      </c>
    </row>
    <row r="1530" spans="1:8" x14ac:dyDescent="0.3">
      <c r="A1530">
        <v>2019</v>
      </c>
      <c r="B1530" t="s">
        <v>50</v>
      </c>
      <c r="C1530" t="s">
        <v>267</v>
      </c>
      <c r="D1530" t="s">
        <v>268</v>
      </c>
      <c r="E1530" t="s">
        <v>205</v>
      </c>
      <c r="F1530" t="s">
        <v>207</v>
      </c>
      <c r="G1530" t="s">
        <v>201</v>
      </c>
      <c r="H1530">
        <v>0</v>
      </c>
    </row>
    <row r="1531" spans="1:8" x14ac:dyDescent="0.3">
      <c r="A1531">
        <v>2019</v>
      </c>
      <c r="B1531" t="s">
        <v>50</v>
      </c>
      <c r="C1531" t="s">
        <v>267</v>
      </c>
      <c r="D1531" t="s">
        <v>268</v>
      </c>
      <c r="E1531" t="s">
        <v>206</v>
      </c>
      <c r="F1531" t="s">
        <v>207</v>
      </c>
      <c r="G1531" t="s">
        <v>201</v>
      </c>
      <c r="H1531">
        <v>16</v>
      </c>
    </row>
    <row r="1532" spans="1:8" x14ac:dyDescent="0.3">
      <c r="A1532">
        <v>2019</v>
      </c>
      <c r="B1532" t="s">
        <v>40</v>
      </c>
      <c r="C1532" t="s">
        <v>267</v>
      </c>
      <c r="D1532" t="s">
        <v>268</v>
      </c>
      <c r="E1532" t="s">
        <v>1</v>
      </c>
      <c r="F1532" t="s">
        <v>207</v>
      </c>
      <c r="G1532" t="s">
        <v>201</v>
      </c>
      <c r="H1532">
        <v>9</v>
      </c>
    </row>
    <row r="1533" spans="1:8" x14ac:dyDescent="0.3">
      <c r="A1533">
        <v>2019</v>
      </c>
      <c r="B1533" t="s">
        <v>40</v>
      </c>
      <c r="C1533" t="s">
        <v>267</v>
      </c>
      <c r="D1533" t="s">
        <v>268</v>
      </c>
      <c r="E1533" t="s">
        <v>203</v>
      </c>
      <c r="F1533" t="s">
        <v>207</v>
      </c>
      <c r="G1533" t="s">
        <v>201</v>
      </c>
      <c r="H1533">
        <v>0</v>
      </c>
    </row>
    <row r="1534" spans="1:8" x14ac:dyDescent="0.3">
      <c r="A1534">
        <v>2019</v>
      </c>
      <c r="B1534" t="s">
        <v>40</v>
      </c>
      <c r="C1534" t="s">
        <v>267</v>
      </c>
      <c r="D1534" t="s">
        <v>268</v>
      </c>
      <c r="E1534" t="s">
        <v>204</v>
      </c>
      <c r="F1534" t="s">
        <v>207</v>
      </c>
      <c r="G1534" t="s">
        <v>201</v>
      </c>
      <c r="H1534">
        <v>0</v>
      </c>
    </row>
    <row r="1535" spans="1:8" x14ac:dyDescent="0.3">
      <c r="A1535">
        <v>2019</v>
      </c>
      <c r="B1535" t="s">
        <v>40</v>
      </c>
      <c r="C1535" t="s">
        <v>267</v>
      </c>
      <c r="D1535" t="s">
        <v>268</v>
      </c>
      <c r="E1535" t="s">
        <v>205</v>
      </c>
      <c r="F1535" t="s">
        <v>207</v>
      </c>
      <c r="G1535" t="s">
        <v>201</v>
      </c>
      <c r="H1535">
        <v>0</v>
      </c>
    </row>
    <row r="1536" spans="1:8" x14ac:dyDescent="0.3">
      <c r="A1536">
        <v>2019</v>
      </c>
      <c r="B1536" t="s">
        <v>40</v>
      </c>
      <c r="C1536" t="s">
        <v>267</v>
      </c>
      <c r="D1536" t="s">
        <v>268</v>
      </c>
      <c r="E1536" t="s">
        <v>206</v>
      </c>
      <c r="F1536" t="s">
        <v>207</v>
      </c>
      <c r="G1536" t="s">
        <v>201</v>
      </c>
      <c r="H1536">
        <v>0</v>
      </c>
    </row>
    <row r="1537" spans="1:8" x14ac:dyDescent="0.3">
      <c r="A1537">
        <v>2019</v>
      </c>
      <c r="B1537" t="s">
        <v>41</v>
      </c>
      <c r="C1537" t="s">
        <v>267</v>
      </c>
      <c r="D1537" t="s">
        <v>268</v>
      </c>
      <c r="E1537" t="s">
        <v>1</v>
      </c>
      <c r="F1537" t="s">
        <v>207</v>
      </c>
      <c r="G1537" t="s">
        <v>201</v>
      </c>
      <c r="H1537">
        <v>4</v>
      </c>
    </row>
    <row r="1538" spans="1:8" x14ac:dyDescent="0.3">
      <c r="A1538">
        <v>2019</v>
      </c>
      <c r="B1538" t="s">
        <v>41</v>
      </c>
      <c r="C1538" t="s">
        <v>267</v>
      </c>
      <c r="D1538" t="s">
        <v>268</v>
      </c>
      <c r="E1538" t="s">
        <v>203</v>
      </c>
      <c r="F1538" t="s">
        <v>207</v>
      </c>
      <c r="G1538" t="s">
        <v>201</v>
      </c>
      <c r="H1538">
        <v>1</v>
      </c>
    </row>
    <row r="1539" spans="1:8" x14ac:dyDescent="0.3">
      <c r="A1539">
        <v>2019</v>
      </c>
      <c r="B1539" t="s">
        <v>41</v>
      </c>
      <c r="C1539" t="s">
        <v>267</v>
      </c>
      <c r="D1539" t="s">
        <v>268</v>
      </c>
      <c r="E1539" t="s">
        <v>204</v>
      </c>
      <c r="F1539" t="s">
        <v>207</v>
      </c>
      <c r="G1539" t="s">
        <v>201</v>
      </c>
      <c r="H1539">
        <v>0</v>
      </c>
    </row>
    <row r="1540" spans="1:8" x14ac:dyDescent="0.3">
      <c r="A1540">
        <v>2019</v>
      </c>
      <c r="B1540" t="s">
        <v>41</v>
      </c>
      <c r="C1540" t="s">
        <v>267</v>
      </c>
      <c r="D1540" t="s">
        <v>268</v>
      </c>
      <c r="E1540" t="s">
        <v>205</v>
      </c>
      <c r="F1540" t="s">
        <v>207</v>
      </c>
      <c r="G1540" t="s">
        <v>201</v>
      </c>
      <c r="H1540">
        <v>0</v>
      </c>
    </row>
    <row r="1541" spans="1:8" x14ac:dyDescent="0.3">
      <c r="A1541">
        <v>2019</v>
      </c>
      <c r="B1541" t="s">
        <v>41</v>
      </c>
      <c r="C1541" t="s">
        <v>267</v>
      </c>
      <c r="D1541" t="s">
        <v>268</v>
      </c>
      <c r="E1541" t="s">
        <v>206</v>
      </c>
      <c r="F1541" t="s">
        <v>207</v>
      </c>
      <c r="G1541" t="s">
        <v>201</v>
      </c>
      <c r="H1541">
        <v>20</v>
      </c>
    </row>
    <row r="1542" spans="1:8" x14ac:dyDescent="0.3">
      <c r="A1542">
        <v>2019</v>
      </c>
      <c r="B1542" t="s">
        <v>42</v>
      </c>
      <c r="C1542" t="s">
        <v>267</v>
      </c>
      <c r="D1542" t="s">
        <v>268</v>
      </c>
      <c r="E1542" t="s">
        <v>1</v>
      </c>
      <c r="F1542" t="s">
        <v>207</v>
      </c>
      <c r="G1542" t="s">
        <v>201</v>
      </c>
      <c r="H1542">
        <v>13</v>
      </c>
    </row>
    <row r="1543" spans="1:8" x14ac:dyDescent="0.3">
      <c r="A1543">
        <v>2019</v>
      </c>
      <c r="B1543" t="s">
        <v>42</v>
      </c>
      <c r="C1543" t="s">
        <v>267</v>
      </c>
      <c r="D1543" t="s">
        <v>268</v>
      </c>
      <c r="E1543" t="s">
        <v>203</v>
      </c>
      <c r="F1543" t="s">
        <v>207</v>
      </c>
      <c r="G1543" t="s">
        <v>201</v>
      </c>
      <c r="H1543">
        <v>5</v>
      </c>
    </row>
    <row r="1544" spans="1:8" x14ac:dyDescent="0.3">
      <c r="A1544">
        <v>2019</v>
      </c>
      <c r="B1544" t="s">
        <v>42</v>
      </c>
      <c r="C1544" t="s">
        <v>267</v>
      </c>
      <c r="D1544" t="s">
        <v>268</v>
      </c>
      <c r="E1544" t="s">
        <v>204</v>
      </c>
      <c r="F1544" t="s">
        <v>207</v>
      </c>
      <c r="G1544" t="s">
        <v>201</v>
      </c>
      <c r="H1544">
        <v>0</v>
      </c>
    </row>
    <row r="1545" spans="1:8" x14ac:dyDescent="0.3">
      <c r="A1545">
        <v>2019</v>
      </c>
      <c r="B1545" t="s">
        <v>42</v>
      </c>
      <c r="C1545" t="s">
        <v>267</v>
      </c>
      <c r="D1545" t="s">
        <v>268</v>
      </c>
      <c r="E1545" t="s">
        <v>205</v>
      </c>
      <c r="F1545" t="s">
        <v>207</v>
      </c>
      <c r="G1545" t="s">
        <v>201</v>
      </c>
      <c r="H1545">
        <v>0</v>
      </c>
    </row>
    <row r="1546" spans="1:8" x14ac:dyDescent="0.3">
      <c r="A1546">
        <v>2019</v>
      </c>
      <c r="B1546" t="s">
        <v>42</v>
      </c>
      <c r="C1546" t="s">
        <v>267</v>
      </c>
      <c r="D1546" t="s">
        <v>268</v>
      </c>
      <c r="E1546" t="s">
        <v>206</v>
      </c>
      <c r="F1546" t="s">
        <v>207</v>
      </c>
      <c r="G1546" t="s">
        <v>201</v>
      </c>
      <c r="H1546">
        <v>38</v>
      </c>
    </row>
    <row r="1547" spans="1:8" x14ac:dyDescent="0.3">
      <c r="A1547">
        <v>2019</v>
      </c>
      <c r="B1547" t="s">
        <v>215</v>
      </c>
      <c r="C1547" t="s">
        <v>267</v>
      </c>
      <c r="D1547" t="s">
        <v>268</v>
      </c>
      <c r="E1547" t="s">
        <v>1</v>
      </c>
      <c r="F1547" t="s">
        <v>207</v>
      </c>
      <c r="G1547" t="s">
        <v>201</v>
      </c>
      <c r="H1547">
        <v>7</v>
      </c>
    </row>
    <row r="1548" spans="1:8" x14ac:dyDescent="0.3">
      <c r="A1548">
        <v>2019</v>
      </c>
      <c r="B1548" t="s">
        <v>215</v>
      </c>
      <c r="C1548" t="s">
        <v>267</v>
      </c>
      <c r="D1548" t="s">
        <v>268</v>
      </c>
      <c r="E1548" t="s">
        <v>203</v>
      </c>
      <c r="F1548" t="s">
        <v>207</v>
      </c>
      <c r="G1548" t="s">
        <v>201</v>
      </c>
      <c r="H1548">
        <v>1</v>
      </c>
    </row>
    <row r="1549" spans="1:8" x14ac:dyDescent="0.3">
      <c r="A1549">
        <v>2019</v>
      </c>
      <c r="B1549" t="s">
        <v>215</v>
      </c>
      <c r="C1549" t="s">
        <v>267</v>
      </c>
      <c r="D1549" t="s">
        <v>268</v>
      </c>
      <c r="E1549" t="s">
        <v>204</v>
      </c>
      <c r="F1549" t="s">
        <v>207</v>
      </c>
      <c r="G1549" t="s">
        <v>201</v>
      </c>
      <c r="H1549">
        <v>0</v>
      </c>
    </row>
    <row r="1550" spans="1:8" x14ac:dyDescent="0.3">
      <c r="A1550">
        <v>2019</v>
      </c>
      <c r="B1550" t="s">
        <v>215</v>
      </c>
      <c r="C1550" t="s">
        <v>267</v>
      </c>
      <c r="D1550" t="s">
        <v>268</v>
      </c>
      <c r="E1550" t="s">
        <v>205</v>
      </c>
      <c r="F1550" t="s">
        <v>207</v>
      </c>
      <c r="G1550" t="s">
        <v>201</v>
      </c>
      <c r="H1550">
        <v>0</v>
      </c>
    </row>
    <row r="1551" spans="1:8" x14ac:dyDescent="0.3">
      <c r="A1551">
        <v>2019</v>
      </c>
      <c r="B1551" t="s">
        <v>215</v>
      </c>
      <c r="C1551" t="s">
        <v>267</v>
      </c>
      <c r="D1551" t="s">
        <v>268</v>
      </c>
      <c r="E1551" t="s">
        <v>206</v>
      </c>
      <c r="F1551" t="s">
        <v>207</v>
      </c>
      <c r="G1551" t="s">
        <v>201</v>
      </c>
      <c r="H1551">
        <v>14</v>
      </c>
    </row>
    <row r="1552" spans="1:8" x14ac:dyDescent="0.3">
      <c r="A1552">
        <v>2019</v>
      </c>
      <c r="B1552" t="s">
        <v>43</v>
      </c>
      <c r="C1552" t="s">
        <v>267</v>
      </c>
      <c r="D1552" t="s">
        <v>268</v>
      </c>
      <c r="E1552" t="s">
        <v>1</v>
      </c>
      <c r="F1552" t="s">
        <v>207</v>
      </c>
      <c r="G1552" t="s">
        <v>201</v>
      </c>
      <c r="H1552">
        <v>6</v>
      </c>
    </row>
    <row r="1553" spans="1:8" x14ac:dyDescent="0.3">
      <c r="A1553">
        <v>2019</v>
      </c>
      <c r="B1553" t="s">
        <v>43</v>
      </c>
      <c r="C1553" t="s">
        <v>267</v>
      </c>
      <c r="D1553" t="s">
        <v>268</v>
      </c>
      <c r="E1553" t="s">
        <v>203</v>
      </c>
      <c r="F1553" t="s">
        <v>207</v>
      </c>
      <c r="G1553" t="s">
        <v>201</v>
      </c>
      <c r="H1553">
        <v>0</v>
      </c>
    </row>
    <row r="1554" spans="1:8" x14ac:dyDescent="0.3">
      <c r="A1554">
        <v>2019</v>
      </c>
      <c r="B1554" t="s">
        <v>43</v>
      </c>
      <c r="C1554" t="s">
        <v>267</v>
      </c>
      <c r="D1554" t="s">
        <v>268</v>
      </c>
      <c r="E1554" t="s">
        <v>204</v>
      </c>
      <c r="F1554" t="s">
        <v>207</v>
      </c>
      <c r="G1554" t="s">
        <v>201</v>
      </c>
      <c r="H1554">
        <v>0</v>
      </c>
    </row>
    <row r="1555" spans="1:8" x14ac:dyDescent="0.3">
      <c r="A1555">
        <v>2019</v>
      </c>
      <c r="B1555" t="s">
        <v>43</v>
      </c>
      <c r="C1555" t="s">
        <v>267</v>
      </c>
      <c r="D1555" t="s">
        <v>268</v>
      </c>
      <c r="E1555" t="s">
        <v>205</v>
      </c>
      <c r="F1555" t="s">
        <v>207</v>
      </c>
      <c r="G1555" t="s">
        <v>201</v>
      </c>
      <c r="H1555">
        <v>0</v>
      </c>
    </row>
    <row r="1556" spans="1:8" x14ac:dyDescent="0.3">
      <c r="A1556">
        <v>2019</v>
      </c>
      <c r="B1556" t="s">
        <v>43</v>
      </c>
      <c r="C1556" t="s">
        <v>267</v>
      </c>
      <c r="D1556" t="s">
        <v>268</v>
      </c>
      <c r="E1556" t="s">
        <v>206</v>
      </c>
      <c r="F1556" t="s">
        <v>207</v>
      </c>
      <c r="G1556" t="s">
        <v>201</v>
      </c>
      <c r="H1556">
        <v>0</v>
      </c>
    </row>
    <row r="1557" spans="1:8" x14ac:dyDescent="0.3">
      <c r="A1557">
        <v>2019</v>
      </c>
      <c r="B1557" t="s">
        <v>52</v>
      </c>
      <c r="C1557" t="s">
        <v>267</v>
      </c>
      <c r="D1557" t="s">
        <v>268</v>
      </c>
      <c r="E1557" t="s">
        <v>1</v>
      </c>
      <c r="F1557" t="s">
        <v>207</v>
      </c>
      <c r="G1557" t="s">
        <v>201</v>
      </c>
      <c r="H1557">
        <v>33</v>
      </c>
    </row>
    <row r="1558" spans="1:8" x14ac:dyDescent="0.3">
      <c r="A1558">
        <v>2019</v>
      </c>
      <c r="B1558" t="s">
        <v>52</v>
      </c>
      <c r="C1558" t="s">
        <v>267</v>
      </c>
      <c r="D1558" t="s">
        <v>268</v>
      </c>
      <c r="E1558" t="s">
        <v>203</v>
      </c>
      <c r="F1558" t="s">
        <v>207</v>
      </c>
      <c r="G1558" t="s">
        <v>201</v>
      </c>
      <c r="H1558">
        <v>2</v>
      </c>
    </row>
    <row r="1559" spans="1:8" x14ac:dyDescent="0.3">
      <c r="A1559">
        <v>2019</v>
      </c>
      <c r="B1559" t="s">
        <v>52</v>
      </c>
      <c r="C1559" t="s">
        <v>267</v>
      </c>
      <c r="D1559" t="s">
        <v>268</v>
      </c>
      <c r="E1559" t="s">
        <v>204</v>
      </c>
      <c r="F1559" t="s">
        <v>207</v>
      </c>
      <c r="G1559" t="s">
        <v>201</v>
      </c>
      <c r="H1559">
        <v>1</v>
      </c>
    </row>
    <row r="1560" spans="1:8" x14ac:dyDescent="0.3">
      <c r="A1560">
        <v>2019</v>
      </c>
      <c r="B1560" t="s">
        <v>52</v>
      </c>
      <c r="C1560" t="s">
        <v>267</v>
      </c>
      <c r="D1560" t="s">
        <v>268</v>
      </c>
      <c r="E1560" t="s">
        <v>205</v>
      </c>
      <c r="F1560" t="s">
        <v>207</v>
      </c>
      <c r="G1560" t="s">
        <v>201</v>
      </c>
      <c r="H1560">
        <v>0</v>
      </c>
    </row>
    <row r="1561" spans="1:8" x14ac:dyDescent="0.3">
      <c r="A1561">
        <v>2019</v>
      </c>
      <c r="B1561" t="s">
        <v>52</v>
      </c>
      <c r="C1561" t="s">
        <v>267</v>
      </c>
      <c r="D1561" t="s">
        <v>268</v>
      </c>
      <c r="E1561" t="s">
        <v>206</v>
      </c>
      <c r="F1561" t="s">
        <v>207</v>
      </c>
      <c r="G1561" t="s">
        <v>201</v>
      </c>
      <c r="H1561">
        <v>137</v>
      </c>
    </row>
    <row r="1562" spans="1:8" x14ac:dyDescent="0.3">
      <c r="A1562">
        <v>2019</v>
      </c>
      <c r="B1562" t="s">
        <v>44</v>
      </c>
      <c r="C1562" t="s">
        <v>267</v>
      </c>
      <c r="D1562" t="s">
        <v>268</v>
      </c>
      <c r="E1562" t="s">
        <v>1</v>
      </c>
      <c r="F1562" t="s">
        <v>207</v>
      </c>
      <c r="G1562" t="s">
        <v>201</v>
      </c>
      <c r="H1562">
        <v>7</v>
      </c>
    </row>
    <row r="1563" spans="1:8" x14ac:dyDescent="0.3">
      <c r="A1563">
        <v>2019</v>
      </c>
      <c r="B1563" t="s">
        <v>44</v>
      </c>
      <c r="C1563" t="s">
        <v>267</v>
      </c>
      <c r="D1563" t="s">
        <v>268</v>
      </c>
      <c r="E1563" t="s">
        <v>203</v>
      </c>
      <c r="F1563" t="s">
        <v>207</v>
      </c>
      <c r="G1563" t="s">
        <v>201</v>
      </c>
      <c r="H1563">
        <v>1</v>
      </c>
    </row>
    <row r="1564" spans="1:8" x14ac:dyDescent="0.3">
      <c r="A1564">
        <v>2019</v>
      </c>
      <c r="B1564" t="s">
        <v>44</v>
      </c>
      <c r="C1564" t="s">
        <v>267</v>
      </c>
      <c r="D1564" t="s">
        <v>268</v>
      </c>
      <c r="E1564" t="s">
        <v>204</v>
      </c>
      <c r="F1564" t="s">
        <v>207</v>
      </c>
      <c r="G1564" t="s">
        <v>201</v>
      </c>
      <c r="H1564">
        <v>0</v>
      </c>
    </row>
    <row r="1565" spans="1:8" x14ac:dyDescent="0.3">
      <c r="A1565">
        <v>2019</v>
      </c>
      <c r="B1565" t="s">
        <v>44</v>
      </c>
      <c r="C1565" t="s">
        <v>267</v>
      </c>
      <c r="D1565" t="s">
        <v>268</v>
      </c>
      <c r="E1565" t="s">
        <v>205</v>
      </c>
      <c r="F1565" t="s">
        <v>207</v>
      </c>
      <c r="G1565" t="s">
        <v>201</v>
      </c>
      <c r="H1565">
        <v>0</v>
      </c>
    </row>
    <row r="1566" spans="1:8" x14ac:dyDescent="0.3">
      <c r="A1566">
        <v>2019</v>
      </c>
      <c r="B1566" t="s">
        <v>44</v>
      </c>
      <c r="C1566" t="s">
        <v>267</v>
      </c>
      <c r="D1566" t="s">
        <v>268</v>
      </c>
      <c r="E1566" t="s">
        <v>206</v>
      </c>
      <c r="F1566" t="s">
        <v>207</v>
      </c>
      <c r="G1566" t="s">
        <v>201</v>
      </c>
      <c r="H1566">
        <v>51</v>
      </c>
    </row>
    <row r="1567" spans="1:8" x14ac:dyDescent="0.3">
      <c r="A1567">
        <v>2019</v>
      </c>
      <c r="B1567" t="s">
        <v>53</v>
      </c>
      <c r="C1567" t="s">
        <v>267</v>
      </c>
      <c r="D1567" t="s">
        <v>268</v>
      </c>
      <c r="E1567" t="s">
        <v>1</v>
      </c>
      <c r="F1567" t="s">
        <v>207</v>
      </c>
      <c r="G1567" t="s">
        <v>201</v>
      </c>
      <c r="H1567">
        <v>39</v>
      </c>
    </row>
    <row r="1568" spans="1:8" x14ac:dyDescent="0.3">
      <c r="A1568">
        <v>2019</v>
      </c>
      <c r="B1568" t="s">
        <v>53</v>
      </c>
      <c r="C1568" t="s">
        <v>267</v>
      </c>
      <c r="D1568" t="s">
        <v>268</v>
      </c>
      <c r="E1568" t="s">
        <v>203</v>
      </c>
      <c r="F1568" t="s">
        <v>207</v>
      </c>
      <c r="G1568" t="s">
        <v>201</v>
      </c>
      <c r="H1568">
        <v>2</v>
      </c>
    </row>
    <row r="1569" spans="1:8" x14ac:dyDescent="0.3">
      <c r="A1569">
        <v>2019</v>
      </c>
      <c r="B1569" t="s">
        <v>53</v>
      </c>
      <c r="C1569" t="s">
        <v>267</v>
      </c>
      <c r="D1569" t="s">
        <v>268</v>
      </c>
      <c r="E1569" t="s">
        <v>204</v>
      </c>
      <c r="F1569" t="s">
        <v>207</v>
      </c>
      <c r="G1569" t="s">
        <v>201</v>
      </c>
      <c r="H1569">
        <v>1</v>
      </c>
    </row>
    <row r="1570" spans="1:8" x14ac:dyDescent="0.3">
      <c r="A1570">
        <v>2019</v>
      </c>
      <c r="B1570" t="s">
        <v>53</v>
      </c>
      <c r="C1570" t="s">
        <v>267</v>
      </c>
      <c r="D1570" t="s">
        <v>268</v>
      </c>
      <c r="E1570" t="s">
        <v>205</v>
      </c>
      <c r="F1570" t="s">
        <v>207</v>
      </c>
      <c r="G1570" t="s">
        <v>201</v>
      </c>
      <c r="H1570">
        <v>0</v>
      </c>
    </row>
    <row r="1571" spans="1:8" x14ac:dyDescent="0.3">
      <c r="A1571">
        <v>2019</v>
      </c>
      <c r="B1571" t="s">
        <v>53</v>
      </c>
      <c r="C1571" t="s">
        <v>267</v>
      </c>
      <c r="D1571" t="s">
        <v>268</v>
      </c>
      <c r="E1571" t="s">
        <v>206</v>
      </c>
      <c r="F1571" t="s">
        <v>207</v>
      </c>
      <c r="G1571" t="s">
        <v>201</v>
      </c>
      <c r="H1571">
        <v>128</v>
      </c>
    </row>
    <row r="1572" spans="1:8" x14ac:dyDescent="0.3">
      <c r="A1572">
        <v>2019</v>
      </c>
      <c r="B1572" t="s">
        <v>197</v>
      </c>
      <c r="C1572" t="s">
        <v>267</v>
      </c>
      <c r="D1572" t="s">
        <v>268</v>
      </c>
      <c r="E1572" t="s">
        <v>1</v>
      </c>
      <c r="F1572" t="s">
        <v>207</v>
      </c>
      <c r="G1572" t="s">
        <v>201</v>
      </c>
      <c r="H1572">
        <v>16</v>
      </c>
    </row>
    <row r="1573" spans="1:8" x14ac:dyDescent="0.3">
      <c r="A1573">
        <v>2019</v>
      </c>
      <c r="B1573" t="s">
        <v>197</v>
      </c>
      <c r="C1573" t="s">
        <v>267</v>
      </c>
      <c r="D1573" t="s">
        <v>268</v>
      </c>
      <c r="E1573" t="s">
        <v>203</v>
      </c>
      <c r="F1573" t="s">
        <v>207</v>
      </c>
      <c r="G1573" t="s">
        <v>201</v>
      </c>
      <c r="H1573">
        <v>2</v>
      </c>
    </row>
    <row r="1574" spans="1:8" x14ac:dyDescent="0.3">
      <c r="A1574">
        <v>2019</v>
      </c>
      <c r="B1574" t="s">
        <v>197</v>
      </c>
      <c r="C1574" t="s">
        <v>267</v>
      </c>
      <c r="D1574" t="s">
        <v>268</v>
      </c>
      <c r="E1574" t="s">
        <v>204</v>
      </c>
      <c r="F1574" t="s">
        <v>207</v>
      </c>
      <c r="G1574" t="s">
        <v>201</v>
      </c>
      <c r="H1574">
        <v>0</v>
      </c>
    </row>
    <row r="1575" spans="1:8" x14ac:dyDescent="0.3">
      <c r="A1575">
        <v>2019</v>
      </c>
      <c r="B1575" t="s">
        <v>197</v>
      </c>
      <c r="C1575" t="s">
        <v>267</v>
      </c>
      <c r="D1575" t="s">
        <v>268</v>
      </c>
      <c r="E1575" t="s">
        <v>205</v>
      </c>
      <c r="F1575" t="s">
        <v>207</v>
      </c>
      <c r="G1575" t="s">
        <v>201</v>
      </c>
      <c r="H1575">
        <v>0</v>
      </c>
    </row>
    <row r="1576" spans="1:8" x14ac:dyDescent="0.3">
      <c r="A1576">
        <v>2019</v>
      </c>
      <c r="B1576" t="s">
        <v>197</v>
      </c>
      <c r="C1576" t="s">
        <v>267</v>
      </c>
      <c r="D1576" t="s">
        <v>268</v>
      </c>
      <c r="E1576" t="s">
        <v>206</v>
      </c>
      <c r="F1576" t="s">
        <v>207</v>
      </c>
      <c r="G1576" t="s">
        <v>201</v>
      </c>
      <c r="H1576">
        <v>21</v>
      </c>
    </row>
    <row r="1577" spans="1:8" x14ac:dyDescent="0.3">
      <c r="A1577">
        <v>2019</v>
      </c>
      <c r="B1577" t="s">
        <v>8</v>
      </c>
      <c r="C1577" t="s">
        <v>267</v>
      </c>
      <c r="D1577" t="s">
        <v>268</v>
      </c>
      <c r="E1577" t="s">
        <v>1</v>
      </c>
      <c r="F1577" t="s">
        <v>207</v>
      </c>
      <c r="G1577" t="s">
        <v>202</v>
      </c>
      <c r="H1577">
        <v>4</v>
      </c>
    </row>
    <row r="1578" spans="1:8" x14ac:dyDescent="0.3">
      <c r="A1578">
        <v>2019</v>
      </c>
      <c r="B1578" t="s">
        <v>8</v>
      </c>
      <c r="C1578" t="s">
        <v>267</v>
      </c>
      <c r="D1578" t="s">
        <v>268</v>
      </c>
      <c r="E1578" t="s">
        <v>203</v>
      </c>
      <c r="F1578" t="s">
        <v>207</v>
      </c>
      <c r="G1578" t="s">
        <v>202</v>
      </c>
      <c r="H1578">
        <v>0</v>
      </c>
    </row>
    <row r="1579" spans="1:8" x14ac:dyDescent="0.3">
      <c r="A1579">
        <v>2019</v>
      </c>
      <c r="B1579" t="s">
        <v>8</v>
      </c>
      <c r="C1579" t="s">
        <v>267</v>
      </c>
      <c r="D1579" t="s">
        <v>268</v>
      </c>
      <c r="E1579" t="s">
        <v>204</v>
      </c>
      <c r="F1579" t="s">
        <v>207</v>
      </c>
      <c r="G1579" t="s">
        <v>202</v>
      </c>
      <c r="H1579">
        <v>0</v>
      </c>
    </row>
    <row r="1580" spans="1:8" x14ac:dyDescent="0.3">
      <c r="A1580">
        <v>2019</v>
      </c>
      <c r="B1580" t="s">
        <v>8</v>
      </c>
      <c r="C1580" t="s">
        <v>267</v>
      </c>
      <c r="D1580" t="s">
        <v>268</v>
      </c>
      <c r="E1580" t="s">
        <v>205</v>
      </c>
      <c r="F1580" t="s">
        <v>207</v>
      </c>
      <c r="G1580" t="s">
        <v>202</v>
      </c>
      <c r="H1580">
        <v>0</v>
      </c>
    </row>
    <row r="1581" spans="1:8" x14ac:dyDescent="0.3">
      <c r="A1581">
        <v>2019</v>
      </c>
      <c r="B1581" t="s">
        <v>8</v>
      </c>
      <c r="C1581" t="s">
        <v>267</v>
      </c>
      <c r="D1581" t="s">
        <v>268</v>
      </c>
      <c r="E1581" t="s">
        <v>206</v>
      </c>
      <c r="F1581" t="s">
        <v>207</v>
      </c>
      <c r="G1581" t="s">
        <v>202</v>
      </c>
      <c r="H1581">
        <v>0</v>
      </c>
    </row>
    <row r="1582" spans="1:8" x14ac:dyDescent="0.3">
      <c r="A1582">
        <v>2019</v>
      </c>
      <c r="B1582" t="s">
        <v>9</v>
      </c>
      <c r="C1582" t="s">
        <v>267</v>
      </c>
      <c r="D1582" t="s">
        <v>268</v>
      </c>
      <c r="E1582" t="s">
        <v>1</v>
      </c>
      <c r="F1582" t="s">
        <v>207</v>
      </c>
      <c r="G1582" t="s">
        <v>202</v>
      </c>
      <c r="H1582">
        <v>8</v>
      </c>
    </row>
    <row r="1583" spans="1:8" x14ac:dyDescent="0.3">
      <c r="A1583">
        <v>2019</v>
      </c>
      <c r="B1583" t="s">
        <v>9</v>
      </c>
      <c r="C1583" t="s">
        <v>267</v>
      </c>
      <c r="D1583" t="s">
        <v>268</v>
      </c>
      <c r="E1583" t="s">
        <v>203</v>
      </c>
      <c r="F1583" t="s">
        <v>207</v>
      </c>
      <c r="G1583" t="s">
        <v>202</v>
      </c>
      <c r="H1583">
        <v>2</v>
      </c>
    </row>
    <row r="1584" spans="1:8" x14ac:dyDescent="0.3">
      <c r="A1584">
        <v>2019</v>
      </c>
      <c r="B1584" t="s">
        <v>9</v>
      </c>
      <c r="C1584" t="s">
        <v>267</v>
      </c>
      <c r="D1584" t="s">
        <v>268</v>
      </c>
      <c r="E1584" t="s">
        <v>204</v>
      </c>
      <c r="F1584" t="s">
        <v>207</v>
      </c>
      <c r="G1584" t="s">
        <v>202</v>
      </c>
      <c r="H1584">
        <v>0</v>
      </c>
    </row>
    <row r="1585" spans="1:8" x14ac:dyDescent="0.3">
      <c r="A1585">
        <v>2019</v>
      </c>
      <c r="B1585" t="s">
        <v>9</v>
      </c>
      <c r="C1585" t="s">
        <v>267</v>
      </c>
      <c r="D1585" t="s">
        <v>268</v>
      </c>
      <c r="E1585" t="s">
        <v>205</v>
      </c>
      <c r="F1585" t="s">
        <v>207</v>
      </c>
      <c r="G1585" t="s">
        <v>202</v>
      </c>
    </row>
    <row r="1586" spans="1:8" x14ac:dyDescent="0.3">
      <c r="A1586">
        <v>2019</v>
      </c>
      <c r="B1586" t="s">
        <v>9</v>
      </c>
      <c r="C1586" t="s">
        <v>267</v>
      </c>
      <c r="D1586" t="s">
        <v>268</v>
      </c>
      <c r="E1586" t="s">
        <v>206</v>
      </c>
      <c r="F1586" t="s">
        <v>207</v>
      </c>
      <c r="G1586" t="s">
        <v>202</v>
      </c>
      <c r="H1586">
        <v>38</v>
      </c>
    </row>
    <row r="1587" spans="1:8" x14ac:dyDescent="0.3">
      <c r="A1587">
        <v>2019</v>
      </c>
      <c r="B1587" t="s">
        <v>10</v>
      </c>
      <c r="C1587" t="s">
        <v>267</v>
      </c>
      <c r="D1587" t="s">
        <v>268</v>
      </c>
      <c r="E1587" t="s">
        <v>1</v>
      </c>
      <c r="F1587" t="s">
        <v>207</v>
      </c>
      <c r="G1587" t="s">
        <v>202</v>
      </c>
      <c r="H1587">
        <v>6</v>
      </c>
    </row>
    <row r="1588" spans="1:8" x14ac:dyDescent="0.3">
      <c r="A1588">
        <v>2019</v>
      </c>
      <c r="B1588" t="s">
        <v>10</v>
      </c>
      <c r="C1588" t="s">
        <v>267</v>
      </c>
      <c r="D1588" t="s">
        <v>268</v>
      </c>
      <c r="E1588" t="s">
        <v>203</v>
      </c>
      <c r="F1588" t="s">
        <v>207</v>
      </c>
      <c r="G1588" t="s">
        <v>202</v>
      </c>
      <c r="H1588">
        <v>2</v>
      </c>
    </row>
    <row r="1589" spans="1:8" x14ac:dyDescent="0.3">
      <c r="A1589">
        <v>2019</v>
      </c>
      <c r="B1589" t="s">
        <v>10</v>
      </c>
      <c r="C1589" t="s">
        <v>267</v>
      </c>
      <c r="D1589" t="s">
        <v>268</v>
      </c>
      <c r="E1589" t="s">
        <v>204</v>
      </c>
      <c r="F1589" t="s">
        <v>207</v>
      </c>
      <c r="G1589" t="s">
        <v>202</v>
      </c>
      <c r="H1589">
        <v>0</v>
      </c>
    </row>
    <row r="1590" spans="1:8" x14ac:dyDescent="0.3">
      <c r="A1590">
        <v>2019</v>
      </c>
      <c r="B1590" t="s">
        <v>10</v>
      </c>
      <c r="C1590" t="s">
        <v>267</v>
      </c>
      <c r="D1590" t="s">
        <v>268</v>
      </c>
      <c r="E1590" t="s">
        <v>205</v>
      </c>
      <c r="F1590" t="s">
        <v>207</v>
      </c>
      <c r="G1590" t="s">
        <v>202</v>
      </c>
      <c r="H1590">
        <v>0</v>
      </c>
    </row>
    <row r="1591" spans="1:8" x14ac:dyDescent="0.3">
      <c r="A1591">
        <v>2019</v>
      </c>
      <c r="B1591" t="s">
        <v>10</v>
      </c>
      <c r="C1591" t="s">
        <v>267</v>
      </c>
      <c r="D1591" t="s">
        <v>268</v>
      </c>
      <c r="E1591" t="s">
        <v>206</v>
      </c>
      <c r="F1591" t="s">
        <v>207</v>
      </c>
      <c r="G1591" t="s">
        <v>202</v>
      </c>
      <c r="H1591">
        <v>78</v>
      </c>
    </row>
    <row r="1592" spans="1:8" x14ac:dyDescent="0.3">
      <c r="A1592">
        <v>2019</v>
      </c>
      <c r="B1592" t="s">
        <v>11</v>
      </c>
      <c r="C1592" t="s">
        <v>267</v>
      </c>
      <c r="D1592" t="s">
        <v>268</v>
      </c>
      <c r="E1592" t="s">
        <v>1</v>
      </c>
      <c r="F1592" t="s">
        <v>207</v>
      </c>
      <c r="G1592" t="s">
        <v>202</v>
      </c>
      <c r="H1592">
        <v>5</v>
      </c>
    </row>
    <row r="1593" spans="1:8" x14ac:dyDescent="0.3">
      <c r="A1593">
        <v>2019</v>
      </c>
      <c r="B1593" t="s">
        <v>11</v>
      </c>
      <c r="C1593" t="s">
        <v>267</v>
      </c>
      <c r="D1593" t="s">
        <v>268</v>
      </c>
      <c r="E1593" t="s">
        <v>203</v>
      </c>
      <c r="F1593" t="s">
        <v>207</v>
      </c>
      <c r="G1593" t="s">
        <v>202</v>
      </c>
      <c r="H1593">
        <v>0</v>
      </c>
    </row>
    <row r="1594" spans="1:8" x14ac:dyDescent="0.3">
      <c r="A1594">
        <v>2019</v>
      </c>
      <c r="B1594" t="s">
        <v>11</v>
      </c>
      <c r="C1594" t="s">
        <v>267</v>
      </c>
      <c r="D1594" t="s">
        <v>268</v>
      </c>
      <c r="E1594" t="s">
        <v>204</v>
      </c>
      <c r="F1594" t="s">
        <v>207</v>
      </c>
      <c r="G1594" t="s">
        <v>202</v>
      </c>
      <c r="H1594">
        <v>0</v>
      </c>
    </row>
    <row r="1595" spans="1:8" x14ac:dyDescent="0.3">
      <c r="A1595">
        <v>2019</v>
      </c>
      <c r="B1595" t="s">
        <v>11</v>
      </c>
      <c r="C1595" t="s">
        <v>267</v>
      </c>
      <c r="D1595" t="s">
        <v>268</v>
      </c>
      <c r="E1595" t="s">
        <v>205</v>
      </c>
      <c r="F1595" t="s">
        <v>207</v>
      </c>
      <c r="G1595" t="s">
        <v>202</v>
      </c>
      <c r="H1595">
        <v>0</v>
      </c>
    </row>
    <row r="1596" spans="1:8" x14ac:dyDescent="0.3">
      <c r="A1596">
        <v>2019</v>
      </c>
      <c r="B1596" t="s">
        <v>11</v>
      </c>
      <c r="C1596" t="s">
        <v>267</v>
      </c>
      <c r="D1596" t="s">
        <v>268</v>
      </c>
      <c r="E1596" t="s">
        <v>206</v>
      </c>
      <c r="F1596" t="s">
        <v>207</v>
      </c>
      <c r="G1596" t="s">
        <v>202</v>
      </c>
      <c r="H1596">
        <v>0</v>
      </c>
    </row>
    <row r="1597" spans="1:8" x14ac:dyDescent="0.3">
      <c r="A1597">
        <v>2019</v>
      </c>
      <c r="B1597" t="s">
        <v>12</v>
      </c>
      <c r="C1597" t="s">
        <v>267</v>
      </c>
      <c r="D1597" t="s">
        <v>268</v>
      </c>
      <c r="E1597" t="s">
        <v>1</v>
      </c>
      <c r="F1597" t="s">
        <v>207</v>
      </c>
      <c r="G1597" t="s">
        <v>202</v>
      </c>
      <c r="H1597">
        <v>7</v>
      </c>
    </row>
    <row r="1598" spans="1:8" x14ac:dyDescent="0.3">
      <c r="A1598">
        <v>2019</v>
      </c>
      <c r="B1598" t="s">
        <v>12</v>
      </c>
      <c r="C1598" t="s">
        <v>267</v>
      </c>
      <c r="D1598" t="s">
        <v>268</v>
      </c>
      <c r="E1598" t="s">
        <v>203</v>
      </c>
      <c r="F1598" t="s">
        <v>207</v>
      </c>
      <c r="G1598" t="s">
        <v>202</v>
      </c>
    </row>
    <row r="1599" spans="1:8" x14ac:dyDescent="0.3">
      <c r="A1599">
        <v>2019</v>
      </c>
      <c r="B1599" t="s">
        <v>12</v>
      </c>
      <c r="C1599" t="s">
        <v>267</v>
      </c>
      <c r="D1599" t="s">
        <v>268</v>
      </c>
      <c r="E1599" t="s">
        <v>204</v>
      </c>
      <c r="F1599" t="s">
        <v>207</v>
      </c>
      <c r="G1599" t="s">
        <v>202</v>
      </c>
    </row>
    <row r="1600" spans="1:8" x14ac:dyDescent="0.3">
      <c r="A1600">
        <v>2019</v>
      </c>
      <c r="B1600" t="s">
        <v>12</v>
      </c>
      <c r="C1600" t="s">
        <v>267</v>
      </c>
      <c r="D1600" t="s">
        <v>268</v>
      </c>
      <c r="E1600" t="s">
        <v>205</v>
      </c>
      <c r="F1600" t="s">
        <v>207</v>
      </c>
      <c r="G1600" t="s">
        <v>202</v>
      </c>
    </row>
    <row r="1601" spans="1:8" x14ac:dyDescent="0.3">
      <c r="A1601">
        <v>2019</v>
      </c>
      <c r="B1601" t="s">
        <v>12</v>
      </c>
      <c r="C1601" t="s">
        <v>267</v>
      </c>
      <c r="D1601" t="s">
        <v>268</v>
      </c>
      <c r="E1601" t="s">
        <v>206</v>
      </c>
      <c r="F1601" t="s">
        <v>207</v>
      </c>
      <c r="G1601" t="s">
        <v>202</v>
      </c>
    </row>
    <row r="1602" spans="1:8" x14ac:dyDescent="0.3">
      <c r="A1602">
        <v>2019</v>
      </c>
      <c r="B1602" t="s">
        <v>13</v>
      </c>
      <c r="C1602" t="s">
        <v>267</v>
      </c>
      <c r="D1602" t="s">
        <v>268</v>
      </c>
      <c r="E1602" t="s">
        <v>1</v>
      </c>
      <c r="F1602" t="s">
        <v>207</v>
      </c>
      <c r="G1602" t="s">
        <v>202</v>
      </c>
      <c r="H1602">
        <v>2</v>
      </c>
    </row>
    <row r="1603" spans="1:8" x14ac:dyDescent="0.3">
      <c r="A1603">
        <v>2019</v>
      </c>
      <c r="B1603" t="s">
        <v>13</v>
      </c>
      <c r="C1603" t="s">
        <v>267</v>
      </c>
      <c r="D1603" t="s">
        <v>268</v>
      </c>
      <c r="E1603" t="s">
        <v>203</v>
      </c>
      <c r="F1603" t="s">
        <v>207</v>
      </c>
      <c r="G1603" t="s">
        <v>202</v>
      </c>
      <c r="H1603">
        <v>0</v>
      </c>
    </row>
    <row r="1604" spans="1:8" x14ac:dyDescent="0.3">
      <c r="A1604">
        <v>2019</v>
      </c>
      <c r="B1604" t="s">
        <v>13</v>
      </c>
      <c r="C1604" t="s">
        <v>267</v>
      </c>
      <c r="D1604" t="s">
        <v>268</v>
      </c>
      <c r="E1604" t="s">
        <v>204</v>
      </c>
      <c r="F1604" t="s">
        <v>207</v>
      </c>
      <c r="G1604" t="s">
        <v>202</v>
      </c>
      <c r="H1604">
        <v>0</v>
      </c>
    </row>
    <row r="1605" spans="1:8" x14ac:dyDescent="0.3">
      <c r="A1605">
        <v>2019</v>
      </c>
      <c r="B1605" t="s">
        <v>13</v>
      </c>
      <c r="C1605" t="s">
        <v>267</v>
      </c>
      <c r="D1605" t="s">
        <v>268</v>
      </c>
      <c r="E1605" t="s">
        <v>205</v>
      </c>
      <c r="F1605" t="s">
        <v>207</v>
      </c>
      <c r="G1605" t="s">
        <v>202</v>
      </c>
      <c r="H1605">
        <v>0</v>
      </c>
    </row>
    <row r="1606" spans="1:8" x14ac:dyDescent="0.3">
      <c r="A1606">
        <v>2019</v>
      </c>
      <c r="B1606" t="s">
        <v>13</v>
      </c>
      <c r="C1606" t="s">
        <v>267</v>
      </c>
      <c r="D1606" t="s">
        <v>268</v>
      </c>
      <c r="E1606" t="s">
        <v>206</v>
      </c>
      <c r="F1606" t="s">
        <v>207</v>
      </c>
      <c r="G1606" t="s">
        <v>202</v>
      </c>
      <c r="H1606">
        <v>0</v>
      </c>
    </row>
    <row r="1607" spans="1:8" x14ac:dyDescent="0.3">
      <c r="A1607">
        <v>2019</v>
      </c>
      <c r="B1607" t="s">
        <v>14</v>
      </c>
      <c r="C1607" t="s">
        <v>267</v>
      </c>
      <c r="D1607" t="s">
        <v>268</v>
      </c>
      <c r="E1607" t="s">
        <v>1</v>
      </c>
      <c r="F1607" t="s">
        <v>207</v>
      </c>
      <c r="G1607" t="s">
        <v>202</v>
      </c>
      <c r="H1607">
        <v>1</v>
      </c>
    </row>
    <row r="1608" spans="1:8" x14ac:dyDescent="0.3">
      <c r="A1608">
        <v>2019</v>
      </c>
      <c r="B1608" t="s">
        <v>14</v>
      </c>
      <c r="C1608" t="s">
        <v>267</v>
      </c>
      <c r="D1608" t="s">
        <v>268</v>
      </c>
      <c r="E1608" t="s">
        <v>203</v>
      </c>
      <c r="F1608" t="s">
        <v>207</v>
      </c>
      <c r="G1608" t="s">
        <v>202</v>
      </c>
      <c r="H1608">
        <v>0</v>
      </c>
    </row>
    <row r="1609" spans="1:8" x14ac:dyDescent="0.3">
      <c r="A1609">
        <v>2019</v>
      </c>
      <c r="B1609" t="s">
        <v>14</v>
      </c>
      <c r="C1609" t="s">
        <v>267</v>
      </c>
      <c r="D1609" t="s">
        <v>268</v>
      </c>
      <c r="E1609" t="s">
        <v>204</v>
      </c>
      <c r="F1609" t="s">
        <v>207</v>
      </c>
      <c r="G1609" t="s">
        <v>202</v>
      </c>
      <c r="H1609">
        <v>0</v>
      </c>
    </row>
    <row r="1610" spans="1:8" x14ac:dyDescent="0.3">
      <c r="A1610">
        <v>2019</v>
      </c>
      <c r="B1610" t="s">
        <v>14</v>
      </c>
      <c r="C1610" t="s">
        <v>267</v>
      </c>
      <c r="D1610" t="s">
        <v>268</v>
      </c>
      <c r="E1610" t="s">
        <v>205</v>
      </c>
      <c r="F1610" t="s">
        <v>207</v>
      </c>
      <c r="G1610" t="s">
        <v>202</v>
      </c>
      <c r="H1610">
        <v>0</v>
      </c>
    </row>
    <row r="1611" spans="1:8" x14ac:dyDescent="0.3">
      <c r="A1611">
        <v>2019</v>
      </c>
      <c r="B1611" t="s">
        <v>14</v>
      </c>
      <c r="C1611" t="s">
        <v>267</v>
      </c>
      <c r="D1611" t="s">
        <v>268</v>
      </c>
      <c r="E1611" t="s">
        <v>206</v>
      </c>
      <c r="F1611" t="s">
        <v>207</v>
      </c>
      <c r="G1611" t="s">
        <v>202</v>
      </c>
      <c r="H1611">
        <v>0</v>
      </c>
    </row>
    <row r="1612" spans="1:8" x14ac:dyDescent="0.3">
      <c r="A1612">
        <v>2019</v>
      </c>
      <c r="B1612" t="s">
        <v>15</v>
      </c>
      <c r="C1612" t="s">
        <v>267</v>
      </c>
      <c r="D1612" t="s">
        <v>268</v>
      </c>
      <c r="E1612" t="s">
        <v>1</v>
      </c>
      <c r="F1612" t="s">
        <v>207</v>
      </c>
      <c r="G1612" t="s">
        <v>202</v>
      </c>
      <c r="H1612">
        <v>13</v>
      </c>
    </row>
    <row r="1613" spans="1:8" x14ac:dyDescent="0.3">
      <c r="A1613">
        <v>2019</v>
      </c>
      <c r="B1613" t="s">
        <v>15</v>
      </c>
      <c r="C1613" t="s">
        <v>267</v>
      </c>
      <c r="D1613" t="s">
        <v>268</v>
      </c>
      <c r="E1613" t="s">
        <v>203</v>
      </c>
      <c r="F1613" t="s">
        <v>207</v>
      </c>
      <c r="G1613" t="s">
        <v>202</v>
      </c>
      <c r="H1613">
        <v>1</v>
      </c>
    </row>
    <row r="1614" spans="1:8" x14ac:dyDescent="0.3">
      <c r="A1614">
        <v>2019</v>
      </c>
      <c r="B1614" t="s">
        <v>15</v>
      </c>
      <c r="C1614" t="s">
        <v>267</v>
      </c>
      <c r="D1614" t="s">
        <v>268</v>
      </c>
      <c r="E1614" t="s">
        <v>204</v>
      </c>
      <c r="F1614" t="s">
        <v>207</v>
      </c>
      <c r="G1614" t="s">
        <v>202</v>
      </c>
      <c r="H1614">
        <v>1</v>
      </c>
    </row>
    <row r="1615" spans="1:8" x14ac:dyDescent="0.3">
      <c r="A1615">
        <v>2019</v>
      </c>
      <c r="B1615" t="s">
        <v>15</v>
      </c>
      <c r="C1615" t="s">
        <v>267</v>
      </c>
      <c r="D1615" t="s">
        <v>268</v>
      </c>
      <c r="E1615" t="s">
        <v>205</v>
      </c>
      <c r="F1615" t="s">
        <v>207</v>
      </c>
      <c r="G1615" t="s">
        <v>202</v>
      </c>
      <c r="H1615">
        <v>0</v>
      </c>
    </row>
    <row r="1616" spans="1:8" x14ac:dyDescent="0.3">
      <c r="A1616">
        <v>2019</v>
      </c>
      <c r="B1616" t="s">
        <v>15</v>
      </c>
      <c r="C1616" t="s">
        <v>267</v>
      </c>
      <c r="D1616" t="s">
        <v>268</v>
      </c>
      <c r="E1616" t="s">
        <v>206</v>
      </c>
      <c r="F1616" t="s">
        <v>207</v>
      </c>
      <c r="G1616" t="s">
        <v>202</v>
      </c>
    </row>
    <row r="1617" spans="1:8" x14ac:dyDescent="0.3">
      <c r="A1617">
        <v>2019</v>
      </c>
      <c r="B1617" t="s">
        <v>16</v>
      </c>
      <c r="C1617" t="s">
        <v>267</v>
      </c>
      <c r="D1617" t="s">
        <v>268</v>
      </c>
      <c r="E1617" t="s">
        <v>1</v>
      </c>
      <c r="F1617" t="s">
        <v>207</v>
      </c>
      <c r="G1617" t="s">
        <v>202</v>
      </c>
      <c r="H1617">
        <v>7</v>
      </c>
    </row>
    <row r="1618" spans="1:8" x14ac:dyDescent="0.3">
      <c r="A1618">
        <v>2019</v>
      </c>
      <c r="B1618" t="s">
        <v>16</v>
      </c>
      <c r="C1618" t="s">
        <v>267</v>
      </c>
      <c r="D1618" t="s">
        <v>268</v>
      </c>
      <c r="E1618" t="s">
        <v>203</v>
      </c>
      <c r="F1618" t="s">
        <v>207</v>
      </c>
      <c r="G1618" t="s">
        <v>202</v>
      </c>
      <c r="H1618">
        <v>1</v>
      </c>
    </row>
    <row r="1619" spans="1:8" x14ac:dyDescent="0.3">
      <c r="A1619">
        <v>2019</v>
      </c>
      <c r="B1619" t="s">
        <v>16</v>
      </c>
      <c r="C1619" t="s">
        <v>267</v>
      </c>
      <c r="D1619" t="s">
        <v>268</v>
      </c>
      <c r="E1619" t="s">
        <v>204</v>
      </c>
      <c r="F1619" t="s">
        <v>207</v>
      </c>
      <c r="G1619" t="s">
        <v>202</v>
      </c>
      <c r="H1619">
        <v>0</v>
      </c>
    </row>
    <row r="1620" spans="1:8" x14ac:dyDescent="0.3">
      <c r="A1620">
        <v>2019</v>
      </c>
      <c r="B1620" t="s">
        <v>16</v>
      </c>
      <c r="C1620" t="s">
        <v>267</v>
      </c>
      <c r="D1620" t="s">
        <v>268</v>
      </c>
      <c r="E1620" t="s">
        <v>205</v>
      </c>
      <c r="F1620" t="s">
        <v>207</v>
      </c>
      <c r="G1620" t="s">
        <v>202</v>
      </c>
      <c r="H1620">
        <v>0</v>
      </c>
    </row>
    <row r="1621" spans="1:8" x14ac:dyDescent="0.3">
      <c r="A1621">
        <v>2019</v>
      </c>
      <c r="B1621" t="s">
        <v>16</v>
      </c>
      <c r="C1621" t="s">
        <v>267</v>
      </c>
      <c r="D1621" t="s">
        <v>268</v>
      </c>
      <c r="E1621" t="s">
        <v>206</v>
      </c>
      <c r="F1621" t="s">
        <v>207</v>
      </c>
      <c r="G1621" t="s">
        <v>202</v>
      </c>
      <c r="H1621">
        <v>0</v>
      </c>
    </row>
    <row r="1622" spans="1:8" x14ac:dyDescent="0.3">
      <c r="A1622">
        <v>2019</v>
      </c>
      <c r="B1622" t="s">
        <v>17</v>
      </c>
      <c r="C1622" t="s">
        <v>267</v>
      </c>
      <c r="D1622" t="s">
        <v>268</v>
      </c>
      <c r="E1622" t="s">
        <v>1</v>
      </c>
      <c r="F1622" t="s">
        <v>207</v>
      </c>
      <c r="G1622" t="s">
        <v>202</v>
      </c>
      <c r="H1622">
        <v>1</v>
      </c>
    </row>
    <row r="1623" spans="1:8" x14ac:dyDescent="0.3">
      <c r="A1623">
        <v>2019</v>
      </c>
      <c r="B1623" t="s">
        <v>17</v>
      </c>
      <c r="C1623" t="s">
        <v>267</v>
      </c>
      <c r="D1623" t="s">
        <v>268</v>
      </c>
      <c r="E1623" t="s">
        <v>203</v>
      </c>
      <c r="F1623" t="s">
        <v>207</v>
      </c>
      <c r="G1623" t="s">
        <v>202</v>
      </c>
      <c r="H1623">
        <v>0</v>
      </c>
    </row>
    <row r="1624" spans="1:8" x14ac:dyDescent="0.3">
      <c r="A1624">
        <v>2019</v>
      </c>
      <c r="B1624" t="s">
        <v>17</v>
      </c>
      <c r="C1624" t="s">
        <v>267</v>
      </c>
      <c r="D1624" t="s">
        <v>268</v>
      </c>
      <c r="E1624" t="s">
        <v>204</v>
      </c>
      <c r="F1624" t="s">
        <v>207</v>
      </c>
      <c r="G1624" t="s">
        <v>202</v>
      </c>
      <c r="H1624">
        <v>0</v>
      </c>
    </row>
    <row r="1625" spans="1:8" x14ac:dyDescent="0.3">
      <c r="A1625">
        <v>2019</v>
      </c>
      <c r="B1625" t="s">
        <v>17</v>
      </c>
      <c r="C1625" t="s">
        <v>267</v>
      </c>
      <c r="D1625" t="s">
        <v>268</v>
      </c>
      <c r="E1625" t="s">
        <v>205</v>
      </c>
      <c r="F1625" t="s">
        <v>207</v>
      </c>
      <c r="G1625" t="s">
        <v>202</v>
      </c>
      <c r="H1625">
        <v>0</v>
      </c>
    </row>
    <row r="1626" spans="1:8" x14ac:dyDescent="0.3">
      <c r="A1626">
        <v>2019</v>
      </c>
      <c r="B1626" t="s">
        <v>17</v>
      </c>
      <c r="C1626" t="s">
        <v>267</v>
      </c>
      <c r="D1626" t="s">
        <v>268</v>
      </c>
      <c r="E1626" t="s">
        <v>206</v>
      </c>
      <c r="F1626" t="s">
        <v>207</v>
      </c>
      <c r="G1626" t="s">
        <v>202</v>
      </c>
      <c r="H1626">
        <v>0</v>
      </c>
    </row>
    <row r="1627" spans="1:8" x14ac:dyDescent="0.3">
      <c r="A1627">
        <v>2019</v>
      </c>
      <c r="B1627" t="s">
        <v>163</v>
      </c>
      <c r="C1627" t="s">
        <v>267</v>
      </c>
      <c r="D1627" t="s">
        <v>268</v>
      </c>
      <c r="E1627" t="s">
        <v>1</v>
      </c>
      <c r="F1627" t="s">
        <v>207</v>
      </c>
      <c r="G1627" t="s">
        <v>202</v>
      </c>
      <c r="H1627">
        <v>16</v>
      </c>
    </row>
    <row r="1628" spans="1:8" x14ac:dyDescent="0.3">
      <c r="A1628">
        <v>2019</v>
      </c>
      <c r="B1628" t="s">
        <v>163</v>
      </c>
      <c r="C1628" t="s">
        <v>267</v>
      </c>
      <c r="D1628" t="s">
        <v>268</v>
      </c>
      <c r="E1628" t="s">
        <v>203</v>
      </c>
      <c r="F1628" t="s">
        <v>207</v>
      </c>
      <c r="G1628" t="s">
        <v>202</v>
      </c>
      <c r="H1628">
        <v>2</v>
      </c>
    </row>
    <row r="1629" spans="1:8" x14ac:dyDescent="0.3">
      <c r="A1629">
        <v>2019</v>
      </c>
      <c r="B1629" t="s">
        <v>163</v>
      </c>
      <c r="C1629" t="s">
        <v>267</v>
      </c>
      <c r="D1629" t="s">
        <v>268</v>
      </c>
      <c r="E1629" t="s">
        <v>204</v>
      </c>
      <c r="F1629" t="s">
        <v>207</v>
      </c>
      <c r="G1629" t="s">
        <v>202</v>
      </c>
      <c r="H1629">
        <v>0</v>
      </c>
    </row>
    <row r="1630" spans="1:8" x14ac:dyDescent="0.3">
      <c r="A1630">
        <v>2019</v>
      </c>
      <c r="B1630" t="s">
        <v>163</v>
      </c>
      <c r="C1630" t="s">
        <v>267</v>
      </c>
      <c r="D1630" t="s">
        <v>268</v>
      </c>
      <c r="E1630" t="s">
        <v>205</v>
      </c>
      <c r="F1630" t="s">
        <v>207</v>
      </c>
      <c r="G1630" t="s">
        <v>202</v>
      </c>
      <c r="H1630">
        <v>0</v>
      </c>
    </row>
    <row r="1631" spans="1:8" x14ac:dyDescent="0.3">
      <c r="A1631">
        <v>2019</v>
      </c>
      <c r="B1631" t="s">
        <v>163</v>
      </c>
      <c r="C1631" t="s">
        <v>267</v>
      </c>
      <c r="D1631" t="s">
        <v>268</v>
      </c>
      <c r="E1631" t="s">
        <v>206</v>
      </c>
      <c r="F1631" t="s">
        <v>207</v>
      </c>
      <c r="G1631" t="s">
        <v>202</v>
      </c>
      <c r="H1631">
        <v>39</v>
      </c>
    </row>
    <row r="1632" spans="1:8" x14ac:dyDescent="0.3">
      <c r="A1632">
        <v>2019</v>
      </c>
      <c r="B1632" t="s">
        <v>20</v>
      </c>
      <c r="C1632" t="s">
        <v>267</v>
      </c>
      <c r="D1632" t="s">
        <v>268</v>
      </c>
      <c r="E1632" t="s">
        <v>1</v>
      </c>
      <c r="F1632" t="s">
        <v>207</v>
      </c>
      <c r="G1632" t="s">
        <v>202</v>
      </c>
      <c r="H1632">
        <v>1</v>
      </c>
    </row>
    <row r="1633" spans="1:8" x14ac:dyDescent="0.3">
      <c r="A1633">
        <v>2019</v>
      </c>
      <c r="B1633" t="s">
        <v>20</v>
      </c>
      <c r="C1633" t="s">
        <v>267</v>
      </c>
      <c r="D1633" t="s">
        <v>268</v>
      </c>
      <c r="E1633" t="s">
        <v>203</v>
      </c>
      <c r="F1633" t="s">
        <v>207</v>
      </c>
      <c r="G1633" t="s">
        <v>202</v>
      </c>
      <c r="H1633">
        <v>0</v>
      </c>
    </row>
    <row r="1634" spans="1:8" x14ac:dyDescent="0.3">
      <c r="A1634">
        <v>2019</v>
      </c>
      <c r="B1634" t="s">
        <v>20</v>
      </c>
      <c r="C1634" t="s">
        <v>267</v>
      </c>
      <c r="D1634" t="s">
        <v>268</v>
      </c>
      <c r="E1634" t="s">
        <v>204</v>
      </c>
      <c r="F1634" t="s">
        <v>207</v>
      </c>
      <c r="G1634" t="s">
        <v>202</v>
      </c>
      <c r="H1634">
        <v>0</v>
      </c>
    </row>
    <row r="1635" spans="1:8" x14ac:dyDescent="0.3">
      <c r="A1635">
        <v>2019</v>
      </c>
      <c r="B1635" t="s">
        <v>20</v>
      </c>
      <c r="C1635" t="s">
        <v>267</v>
      </c>
      <c r="D1635" t="s">
        <v>268</v>
      </c>
      <c r="E1635" t="s">
        <v>205</v>
      </c>
      <c r="F1635" t="s">
        <v>207</v>
      </c>
      <c r="G1635" t="s">
        <v>202</v>
      </c>
      <c r="H1635">
        <v>0</v>
      </c>
    </row>
    <row r="1636" spans="1:8" x14ac:dyDescent="0.3">
      <c r="A1636">
        <v>2019</v>
      </c>
      <c r="B1636" t="s">
        <v>20</v>
      </c>
      <c r="C1636" t="s">
        <v>267</v>
      </c>
      <c r="D1636" t="s">
        <v>268</v>
      </c>
      <c r="E1636" t="s">
        <v>206</v>
      </c>
      <c r="F1636" t="s">
        <v>207</v>
      </c>
      <c r="G1636" t="s">
        <v>202</v>
      </c>
      <c r="H1636">
        <v>0</v>
      </c>
    </row>
    <row r="1637" spans="1:8" x14ac:dyDescent="0.3">
      <c r="A1637">
        <v>2019</v>
      </c>
      <c r="B1637" t="s">
        <v>21</v>
      </c>
      <c r="C1637" t="s">
        <v>267</v>
      </c>
      <c r="D1637" t="s">
        <v>268</v>
      </c>
      <c r="E1637" t="s">
        <v>1</v>
      </c>
      <c r="F1637" t="s">
        <v>207</v>
      </c>
      <c r="G1637" t="s">
        <v>202</v>
      </c>
      <c r="H1637">
        <v>7</v>
      </c>
    </row>
    <row r="1638" spans="1:8" x14ac:dyDescent="0.3">
      <c r="A1638">
        <v>2019</v>
      </c>
      <c r="B1638" t="s">
        <v>21</v>
      </c>
      <c r="C1638" t="s">
        <v>267</v>
      </c>
      <c r="D1638" t="s">
        <v>268</v>
      </c>
      <c r="E1638" t="s">
        <v>203</v>
      </c>
      <c r="F1638" t="s">
        <v>207</v>
      </c>
      <c r="G1638" t="s">
        <v>202</v>
      </c>
      <c r="H1638">
        <v>0</v>
      </c>
    </row>
    <row r="1639" spans="1:8" x14ac:dyDescent="0.3">
      <c r="A1639">
        <v>2019</v>
      </c>
      <c r="B1639" t="s">
        <v>21</v>
      </c>
      <c r="C1639" t="s">
        <v>267</v>
      </c>
      <c r="D1639" t="s">
        <v>268</v>
      </c>
      <c r="E1639" t="s">
        <v>204</v>
      </c>
      <c r="F1639" t="s">
        <v>207</v>
      </c>
      <c r="G1639" t="s">
        <v>202</v>
      </c>
      <c r="H1639">
        <v>0</v>
      </c>
    </row>
    <row r="1640" spans="1:8" x14ac:dyDescent="0.3">
      <c r="A1640">
        <v>2019</v>
      </c>
      <c r="B1640" t="s">
        <v>21</v>
      </c>
      <c r="C1640" t="s">
        <v>267</v>
      </c>
      <c r="D1640" t="s">
        <v>268</v>
      </c>
      <c r="E1640" t="s">
        <v>205</v>
      </c>
      <c r="F1640" t="s">
        <v>207</v>
      </c>
      <c r="G1640" t="s">
        <v>202</v>
      </c>
      <c r="H1640">
        <v>0</v>
      </c>
    </row>
    <row r="1641" spans="1:8" x14ac:dyDescent="0.3">
      <c r="A1641">
        <v>2019</v>
      </c>
      <c r="B1641" t="s">
        <v>21</v>
      </c>
      <c r="C1641" t="s">
        <v>267</v>
      </c>
      <c r="D1641" t="s">
        <v>268</v>
      </c>
      <c r="E1641" t="s">
        <v>206</v>
      </c>
      <c r="F1641" t="s">
        <v>207</v>
      </c>
      <c r="G1641" t="s">
        <v>202</v>
      </c>
      <c r="H1641">
        <v>0</v>
      </c>
    </row>
    <row r="1642" spans="1:8" x14ac:dyDescent="0.3">
      <c r="A1642">
        <v>2019</v>
      </c>
      <c r="B1642" t="s">
        <v>22</v>
      </c>
      <c r="C1642" t="s">
        <v>267</v>
      </c>
      <c r="D1642" t="s">
        <v>268</v>
      </c>
      <c r="E1642" t="s">
        <v>1</v>
      </c>
      <c r="F1642" t="s">
        <v>207</v>
      </c>
      <c r="G1642" t="s">
        <v>202</v>
      </c>
      <c r="H1642">
        <v>8</v>
      </c>
    </row>
    <row r="1643" spans="1:8" x14ac:dyDescent="0.3">
      <c r="A1643">
        <v>2019</v>
      </c>
      <c r="B1643" t="s">
        <v>22</v>
      </c>
      <c r="C1643" t="s">
        <v>267</v>
      </c>
      <c r="D1643" t="s">
        <v>268</v>
      </c>
      <c r="E1643" t="s">
        <v>203</v>
      </c>
      <c r="F1643" t="s">
        <v>207</v>
      </c>
      <c r="G1643" t="s">
        <v>202</v>
      </c>
      <c r="H1643">
        <v>2</v>
      </c>
    </row>
    <row r="1644" spans="1:8" x14ac:dyDescent="0.3">
      <c r="A1644">
        <v>2019</v>
      </c>
      <c r="B1644" t="s">
        <v>22</v>
      </c>
      <c r="C1644" t="s">
        <v>267</v>
      </c>
      <c r="D1644" t="s">
        <v>268</v>
      </c>
      <c r="E1644" t="s">
        <v>204</v>
      </c>
      <c r="F1644" t="s">
        <v>207</v>
      </c>
      <c r="G1644" t="s">
        <v>202</v>
      </c>
      <c r="H1644">
        <v>0</v>
      </c>
    </row>
    <row r="1645" spans="1:8" x14ac:dyDescent="0.3">
      <c r="A1645">
        <v>2019</v>
      </c>
      <c r="B1645" t="s">
        <v>22</v>
      </c>
      <c r="C1645" t="s">
        <v>267</v>
      </c>
      <c r="D1645" t="s">
        <v>268</v>
      </c>
      <c r="E1645" t="s">
        <v>205</v>
      </c>
      <c r="F1645" t="s">
        <v>207</v>
      </c>
      <c r="G1645" t="s">
        <v>202</v>
      </c>
      <c r="H1645">
        <v>0</v>
      </c>
    </row>
    <row r="1646" spans="1:8" x14ac:dyDescent="0.3">
      <c r="A1646">
        <v>2019</v>
      </c>
      <c r="B1646" t="s">
        <v>22</v>
      </c>
      <c r="C1646" t="s">
        <v>267</v>
      </c>
      <c r="D1646" t="s">
        <v>268</v>
      </c>
      <c r="E1646" t="s">
        <v>206</v>
      </c>
      <c r="F1646" t="s">
        <v>207</v>
      </c>
      <c r="G1646" t="s">
        <v>202</v>
      </c>
      <c r="H1646">
        <v>20</v>
      </c>
    </row>
    <row r="1647" spans="1:8" x14ac:dyDescent="0.3">
      <c r="A1647">
        <v>2019</v>
      </c>
      <c r="B1647" t="s">
        <v>23</v>
      </c>
      <c r="C1647" t="s">
        <v>267</v>
      </c>
      <c r="D1647" t="s">
        <v>268</v>
      </c>
      <c r="E1647" t="s">
        <v>1</v>
      </c>
      <c r="F1647" t="s">
        <v>207</v>
      </c>
      <c r="G1647" t="s">
        <v>202</v>
      </c>
      <c r="H1647">
        <v>8</v>
      </c>
    </row>
    <row r="1648" spans="1:8" x14ac:dyDescent="0.3">
      <c r="A1648">
        <v>2019</v>
      </c>
      <c r="B1648" t="s">
        <v>23</v>
      </c>
      <c r="C1648" t="s">
        <v>267</v>
      </c>
      <c r="D1648" t="s">
        <v>268</v>
      </c>
      <c r="E1648" t="s">
        <v>203</v>
      </c>
      <c r="F1648" t="s">
        <v>207</v>
      </c>
      <c r="G1648" t="s">
        <v>202</v>
      </c>
      <c r="H1648">
        <v>0</v>
      </c>
    </row>
    <row r="1649" spans="1:8" x14ac:dyDescent="0.3">
      <c r="A1649">
        <v>2019</v>
      </c>
      <c r="B1649" t="s">
        <v>23</v>
      </c>
      <c r="C1649" t="s">
        <v>267</v>
      </c>
      <c r="D1649" t="s">
        <v>268</v>
      </c>
      <c r="E1649" t="s">
        <v>204</v>
      </c>
      <c r="F1649" t="s">
        <v>207</v>
      </c>
      <c r="G1649" t="s">
        <v>202</v>
      </c>
      <c r="H1649">
        <v>0</v>
      </c>
    </row>
    <row r="1650" spans="1:8" x14ac:dyDescent="0.3">
      <c r="A1650">
        <v>2019</v>
      </c>
      <c r="B1650" t="s">
        <v>23</v>
      </c>
      <c r="C1650" t="s">
        <v>267</v>
      </c>
      <c r="D1650" t="s">
        <v>268</v>
      </c>
      <c r="E1650" t="s">
        <v>205</v>
      </c>
      <c r="F1650" t="s">
        <v>207</v>
      </c>
      <c r="G1650" t="s">
        <v>202</v>
      </c>
      <c r="H1650">
        <v>0</v>
      </c>
    </row>
    <row r="1651" spans="1:8" x14ac:dyDescent="0.3">
      <c r="A1651">
        <v>2019</v>
      </c>
      <c r="B1651" t="s">
        <v>23</v>
      </c>
      <c r="C1651" t="s">
        <v>267</v>
      </c>
      <c r="D1651" t="s">
        <v>268</v>
      </c>
      <c r="E1651" t="s">
        <v>206</v>
      </c>
      <c r="F1651" t="s">
        <v>207</v>
      </c>
      <c r="G1651" t="s">
        <v>202</v>
      </c>
      <c r="H1651">
        <v>1</v>
      </c>
    </row>
    <row r="1652" spans="1:8" x14ac:dyDescent="0.3">
      <c r="A1652">
        <v>2019</v>
      </c>
      <c r="B1652" t="s">
        <v>54</v>
      </c>
      <c r="C1652" t="s">
        <v>267</v>
      </c>
      <c r="D1652" t="s">
        <v>268</v>
      </c>
      <c r="E1652" t="s">
        <v>1</v>
      </c>
      <c r="F1652" t="s">
        <v>207</v>
      </c>
      <c r="G1652" t="s">
        <v>202</v>
      </c>
      <c r="H1652" t="s">
        <v>275</v>
      </c>
    </row>
    <row r="1653" spans="1:8" x14ac:dyDescent="0.3">
      <c r="A1653">
        <v>2019</v>
      </c>
      <c r="B1653" t="s">
        <v>54</v>
      </c>
      <c r="C1653" t="s">
        <v>267</v>
      </c>
      <c r="D1653" t="s">
        <v>268</v>
      </c>
      <c r="E1653" t="s">
        <v>203</v>
      </c>
      <c r="F1653" t="s">
        <v>207</v>
      </c>
      <c r="G1653" t="s">
        <v>202</v>
      </c>
      <c r="H1653" t="s">
        <v>274</v>
      </c>
    </row>
    <row r="1654" spans="1:8" x14ac:dyDescent="0.3">
      <c r="A1654">
        <v>2019</v>
      </c>
      <c r="B1654" t="s">
        <v>54</v>
      </c>
      <c r="C1654" t="s">
        <v>267</v>
      </c>
      <c r="D1654" t="s">
        <v>268</v>
      </c>
      <c r="E1654" t="s">
        <v>204</v>
      </c>
      <c r="F1654" t="s">
        <v>207</v>
      </c>
      <c r="G1654" t="s">
        <v>202</v>
      </c>
      <c r="H1654" t="s">
        <v>274</v>
      </c>
    </row>
    <row r="1655" spans="1:8" x14ac:dyDescent="0.3">
      <c r="A1655">
        <v>2019</v>
      </c>
      <c r="B1655" t="s">
        <v>54</v>
      </c>
      <c r="C1655" t="s">
        <v>267</v>
      </c>
      <c r="D1655" t="s">
        <v>268</v>
      </c>
      <c r="E1655" t="s">
        <v>205</v>
      </c>
      <c r="F1655" t="s">
        <v>207</v>
      </c>
      <c r="G1655" t="s">
        <v>202</v>
      </c>
      <c r="H1655" t="s">
        <v>274</v>
      </c>
    </row>
    <row r="1656" spans="1:8" x14ac:dyDescent="0.3">
      <c r="A1656">
        <v>2019</v>
      </c>
      <c r="B1656" t="s">
        <v>54</v>
      </c>
      <c r="C1656" t="s">
        <v>267</v>
      </c>
      <c r="D1656" t="s">
        <v>268</v>
      </c>
      <c r="E1656" t="s">
        <v>206</v>
      </c>
      <c r="F1656" t="s">
        <v>207</v>
      </c>
      <c r="G1656" t="s">
        <v>202</v>
      </c>
      <c r="H1656" t="s">
        <v>274</v>
      </c>
    </row>
    <row r="1657" spans="1:8" x14ac:dyDescent="0.3">
      <c r="A1657">
        <v>2019</v>
      </c>
      <c r="B1657" t="s">
        <v>48</v>
      </c>
      <c r="C1657" t="s">
        <v>267</v>
      </c>
      <c r="D1657" t="s">
        <v>268</v>
      </c>
      <c r="E1657" t="s">
        <v>1</v>
      </c>
      <c r="F1657" t="s">
        <v>207</v>
      </c>
      <c r="G1657" t="s">
        <v>202</v>
      </c>
      <c r="H1657">
        <v>1</v>
      </c>
    </row>
    <row r="1658" spans="1:8" x14ac:dyDescent="0.3">
      <c r="A1658">
        <v>2019</v>
      </c>
      <c r="B1658" t="s">
        <v>48</v>
      </c>
      <c r="C1658" t="s">
        <v>267</v>
      </c>
      <c r="D1658" t="s">
        <v>268</v>
      </c>
      <c r="E1658" t="s">
        <v>203</v>
      </c>
      <c r="F1658" t="s">
        <v>207</v>
      </c>
      <c r="G1658" t="s">
        <v>202</v>
      </c>
      <c r="H1658">
        <v>0</v>
      </c>
    </row>
    <row r="1659" spans="1:8" x14ac:dyDescent="0.3">
      <c r="A1659">
        <v>2019</v>
      </c>
      <c r="B1659" t="s">
        <v>48</v>
      </c>
      <c r="C1659" t="s">
        <v>267</v>
      </c>
      <c r="D1659" t="s">
        <v>268</v>
      </c>
      <c r="E1659" t="s">
        <v>204</v>
      </c>
      <c r="F1659" t="s">
        <v>207</v>
      </c>
      <c r="G1659" t="s">
        <v>202</v>
      </c>
      <c r="H1659">
        <v>0</v>
      </c>
    </row>
    <row r="1660" spans="1:8" x14ac:dyDescent="0.3">
      <c r="A1660">
        <v>2019</v>
      </c>
      <c r="B1660" t="s">
        <v>48</v>
      </c>
      <c r="C1660" t="s">
        <v>267</v>
      </c>
      <c r="D1660" t="s">
        <v>268</v>
      </c>
      <c r="E1660" t="s">
        <v>205</v>
      </c>
      <c r="F1660" t="s">
        <v>207</v>
      </c>
      <c r="G1660" t="s">
        <v>202</v>
      </c>
      <c r="H1660">
        <v>0</v>
      </c>
    </row>
    <row r="1661" spans="1:8" x14ac:dyDescent="0.3">
      <c r="A1661">
        <v>2019</v>
      </c>
      <c r="B1661" t="s">
        <v>48</v>
      </c>
      <c r="C1661" t="s">
        <v>267</v>
      </c>
      <c r="D1661" t="s">
        <v>268</v>
      </c>
      <c r="E1661" t="s">
        <v>206</v>
      </c>
      <c r="F1661" t="s">
        <v>207</v>
      </c>
      <c r="G1661" t="s">
        <v>202</v>
      </c>
      <c r="H1661">
        <v>0</v>
      </c>
    </row>
    <row r="1662" spans="1:8" x14ac:dyDescent="0.3">
      <c r="A1662">
        <v>2019</v>
      </c>
      <c r="B1662" t="s">
        <v>24</v>
      </c>
      <c r="C1662" t="s">
        <v>267</v>
      </c>
      <c r="D1662" t="s">
        <v>268</v>
      </c>
      <c r="E1662" t="s">
        <v>1</v>
      </c>
      <c r="F1662" t="s">
        <v>207</v>
      </c>
      <c r="G1662" t="s">
        <v>202</v>
      </c>
      <c r="H1662">
        <v>2</v>
      </c>
    </row>
    <row r="1663" spans="1:8" x14ac:dyDescent="0.3">
      <c r="A1663">
        <v>2019</v>
      </c>
      <c r="B1663" t="s">
        <v>24</v>
      </c>
      <c r="C1663" t="s">
        <v>267</v>
      </c>
      <c r="D1663" t="s">
        <v>268</v>
      </c>
      <c r="E1663" t="s">
        <v>203</v>
      </c>
      <c r="F1663" t="s">
        <v>207</v>
      </c>
      <c r="G1663" t="s">
        <v>202</v>
      </c>
      <c r="H1663">
        <v>2</v>
      </c>
    </row>
    <row r="1664" spans="1:8" x14ac:dyDescent="0.3">
      <c r="A1664">
        <v>2019</v>
      </c>
      <c r="B1664" t="s">
        <v>24</v>
      </c>
      <c r="C1664" t="s">
        <v>267</v>
      </c>
      <c r="D1664" t="s">
        <v>268</v>
      </c>
      <c r="E1664" t="s">
        <v>204</v>
      </c>
      <c r="F1664" t="s">
        <v>207</v>
      </c>
      <c r="G1664" t="s">
        <v>202</v>
      </c>
      <c r="H1664">
        <v>0</v>
      </c>
    </row>
    <row r="1665" spans="1:8" x14ac:dyDescent="0.3">
      <c r="A1665">
        <v>2019</v>
      </c>
      <c r="B1665" t="s">
        <v>24</v>
      </c>
      <c r="C1665" t="s">
        <v>267</v>
      </c>
      <c r="D1665" t="s">
        <v>268</v>
      </c>
      <c r="E1665" t="s">
        <v>205</v>
      </c>
      <c r="F1665" t="s">
        <v>207</v>
      </c>
      <c r="G1665" t="s">
        <v>202</v>
      </c>
      <c r="H1665">
        <v>0</v>
      </c>
    </row>
    <row r="1666" spans="1:8" x14ac:dyDescent="0.3">
      <c r="A1666">
        <v>2019</v>
      </c>
      <c r="B1666" t="s">
        <v>24</v>
      </c>
      <c r="C1666" t="s">
        <v>267</v>
      </c>
      <c r="D1666" t="s">
        <v>268</v>
      </c>
      <c r="E1666" t="s">
        <v>206</v>
      </c>
      <c r="F1666" t="s">
        <v>207</v>
      </c>
      <c r="G1666" t="s">
        <v>202</v>
      </c>
      <c r="H1666">
        <v>11</v>
      </c>
    </row>
    <row r="1667" spans="1:8" x14ac:dyDescent="0.3">
      <c r="A1667">
        <v>2019</v>
      </c>
      <c r="B1667" t="s">
        <v>214</v>
      </c>
      <c r="C1667" t="s">
        <v>267</v>
      </c>
      <c r="D1667" t="s">
        <v>268</v>
      </c>
      <c r="E1667" t="s">
        <v>1</v>
      </c>
      <c r="F1667" t="s">
        <v>207</v>
      </c>
      <c r="G1667" t="s">
        <v>202</v>
      </c>
      <c r="H1667">
        <v>22</v>
      </c>
    </row>
    <row r="1668" spans="1:8" x14ac:dyDescent="0.3">
      <c r="A1668">
        <v>2019</v>
      </c>
      <c r="B1668" t="s">
        <v>214</v>
      </c>
      <c r="C1668" t="s">
        <v>267</v>
      </c>
      <c r="D1668" t="s">
        <v>268</v>
      </c>
      <c r="E1668" t="s">
        <v>203</v>
      </c>
      <c r="F1668" t="s">
        <v>207</v>
      </c>
      <c r="G1668" t="s">
        <v>202</v>
      </c>
      <c r="H1668">
        <v>2</v>
      </c>
    </row>
    <row r="1669" spans="1:8" x14ac:dyDescent="0.3">
      <c r="A1669">
        <v>2019</v>
      </c>
      <c r="B1669" t="s">
        <v>214</v>
      </c>
      <c r="C1669" t="s">
        <v>267</v>
      </c>
      <c r="D1669" t="s">
        <v>268</v>
      </c>
      <c r="E1669" t="s">
        <v>204</v>
      </c>
      <c r="F1669" t="s">
        <v>207</v>
      </c>
      <c r="G1669" t="s">
        <v>202</v>
      </c>
      <c r="H1669">
        <v>0</v>
      </c>
    </row>
    <row r="1670" spans="1:8" x14ac:dyDescent="0.3">
      <c r="A1670">
        <v>2019</v>
      </c>
      <c r="B1670" t="s">
        <v>214</v>
      </c>
      <c r="C1670" t="s">
        <v>267</v>
      </c>
      <c r="D1670" t="s">
        <v>268</v>
      </c>
      <c r="E1670" t="s">
        <v>205</v>
      </c>
      <c r="F1670" t="s">
        <v>207</v>
      </c>
      <c r="G1670" t="s">
        <v>202</v>
      </c>
      <c r="H1670">
        <v>0</v>
      </c>
    </row>
    <row r="1671" spans="1:8" x14ac:dyDescent="0.3">
      <c r="A1671">
        <v>2019</v>
      </c>
      <c r="B1671" t="s">
        <v>214</v>
      </c>
      <c r="C1671" t="s">
        <v>267</v>
      </c>
      <c r="D1671" t="s">
        <v>268</v>
      </c>
      <c r="E1671" t="s">
        <v>206</v>
      </c>
      <c r="F1671" t="s">
        <v>207</v>
      </c>
      <c r="G1671" t="s">
        <v>202</v>
      </c>
      <c r="H1671">
        <v>81</v>
      </c>
    </row>
    <row r="1672" spans="1:8" x14ac:dyDescent="0.3">
      <c r="A1672">
        <v>2019</v>
      </c>
      <c r="B1672" t="s">
        <v>26</v>
      </c>
      <c r="C1672" t="s">
        <v>267</v>
      </c>
      <c r="D1672" t="s">
        <v>268</v>
      </c>
      <c r="E1672" t="s">
        <v>1</v>
      </c>
      <c r="F1672" t="s">
        <v>207</v>
      </c>
      <c r="G1672" t="s">
        <v>202</v>
      </c>
      <c r="H1672">
        <v>5</v>
      </c>
    </row>
    <row r="1673" spans="1:8" x14ac:dyDescent="0.3">
      <c r="A1673">
        <v>2019</v>
      </c>
      <c r="B1673" t="s">
        <v>26</v>
      </c>
      <c r="C1673" t="s">
        <v>267</v>
      </c>
      <c r="D1673" t="s">
        <v>268</v>
      </c>
      <c r="E1673" t="s">
        <v>203</v>
      </c>
      <c r="F1673" t="s">
        <v>207</v>
      </c>
      <c r="G1673" t="s">
        <v>202</v>
      </c>
      <c r="H1673">
        <v>2</v>
      </c>
    </row>
    <row r="1674" spans="1:8" x14ac:dyDescent="0.3">
      <c r="A1674">
        <v>2019</v>
      </c>
      <c r="B1674" t="s">
        <v>26</v>
      </c>
      <c r="C1674" t="s">
        <v>267</v>
      </c>
      <c r="D1674" t="s">
        <v>268</v>
      </c>
      <c r="E1674" t="s">
        <v>204</v>
      </c>
      <c r="F1674" t="s">
        <v>207</v>
      </c>
      <c r="G1674" t="s">
        <v>202</v>
      </c>
      <c r="H1674">
        <v>0</v>
      </c>
    </row>
    <row r="1675" spans="1:8" x14ac:dyDescent="0.3">
      <c r="A1675">
        <v>2019</v>
      </c>
      <c r="B1675" t="s">
        <v>26</v>
      </c>
      <c r="C1675" t="s">
        <v>267</v>
      </c>
      <c r="D1675" t="s">
        <v>268</v>
      </c>
      <c r="E1675" t="s">
        <v>205</v>
      </c>
      <c r="F1675" t="s">
        <v>207</v>
      </c>
      <c r="G1675" t="s">
        <v>202</v>
      </c>
      <c r="H1675">
        <v>0</v>
      </c>
    </row>
    <row r="1676" spans="1:8" x14ac:dyDescent="0.3">
      <c r="A1676">
        <v>2019</v>
      </c>
      <c r="B1676" t="s">
        <v>26</v>
      </c>
      <c r="C1676" t="s">
        <v>267</v>
      </c>
      <c r="D1676" t="s">
        <v>268</v>
      </c>
      <c r="E1676" t="s">
        <v>206</v>
      </c>
      <c r="F1676" t="s">
        <v>207</v>
      </c>
      <c r="G1676" t="s">
        <v>202</v>
      </c>
      <c r="H1676">
        <v>30</v>
      </c>
    </row>
    <row r="1677" spans="1:8" x14ac:dyDescent="0.3">
      <c r="A1677">
        <v>2019</v>
      </c>
      <c r="B1677" t="s">
        <v>27</v>
      </c>
      <c r="C1677" t="s">
        <v>267</v>
      </c>
      <c r="D1677" t="s">
        <v>268</v>
      </c>
      <c r="E1677" t="s">
        <v>1</v>
      </c>
      <c r="F1677" t="s">
        <v>207</v>
      </c>
      <c r="G1677" t="s">
        <v>202</v>
      </c>
      <c r="H1677">
        <v>17</v>
      </c>
    </row>
    <row r="1678" spans="1:8" x14ac:dyDescent="0.3">
      <c r="A1678">
        <v>2019</v>
      </c>
      <c r="B1678" t="s">
        <v>27</v>
      </c>
      <c r="C1678" t="s">
        <v>267</v>
      </c>
      <c r="D1678" t="s">
        <v>268</v>
      </c>
      <c r="E1678" t="s">
        <v>203</v>
      </c>
      <c r="F1678" t="s">
        <v>207</v>
      </c>
      <c r="G1678" t="s">
        <v>202</v>
      </c>
      <c r="H1678">
        <v>0</v>
      </c>
    </row>
    <row r="1679" spans="1:8" x14ac:dyDescent="0.3">
      <c r="A1679">
        <v>2019</v>
      </c>
      <c r="B1679" t="s">
        <v>27</v>
      </c>
      <c r="C1679" t="s">
        <v>267</v>
      </c>
      <c r="D1679" t="s">
        <v>268</v>
      </c>
      <c r="E1679" t="s">
        <v>204</v>
      </c>
      <c r="F1679" t="s">
        <v>207</v>
      </c>
      <c r="G1679" t="s">
        <v>202</v>
      </c>
      <c r="H1679">
        <v>0</v>
      </c>
    </row>
    <row r="1680" spans="1:8" x14ac:dyDescent="0.3">
      <c r="A1680">
        <v>2019</v>
      </c>
      <c r="B1680" t="s">
        <v>27</v>
      </c>
      <c r="C1680" t="s">
        <v>267</v>
      </c>
      <c r="D1680" t="s">
        <v>268</v>
      </c>
      <c r="E1680" t="s">
        <v>205</v>
      </c>
      <c r="F1680" t="s">
        <v>207</v>
      </c>
      <c r="G1680" t="s">
        <v>202</v>
      </c>
      <c r="H1680">
        <v>0</v>
      </c>
    </row>
    <row r="1681" spans="1:8" x14ac:dyDescent="0.3">
      <c r="A1681">
        <v>2019</v>
      </c>
      <c r="B1681" t="s">
        <v>27</v>
      </c>
      <c r="C1681" t="s">
        <v>267</v>
      </c>
      <c r="D1681" t="s">
        <v>268</v>
      </c>
      <c r="E1681" t="s">
        <v>206</v>
      </c>
      <c r="F1681" t="s">
        <v>207</v>
      </c>
      <c r="G1681" t="s">
        <v>202</v>
      </c>
      <c r="H1681">
        <v>18</v>
      </c>
    </row>
    <row r="1682" spans="1:8" x14ac:dyDescent="0.3">
      <c r="A1682">
        <v>2019</v>
      </c>
      <c r="B1682" t="s">
        <v>219</v>
      </c>
      <c r="C1682" t="s">
        <v>267</v>
      </c>
      <c r="D1682" t="s">
        <v>268</v>
      </c>
      <c r="E1682" t="s">
        <v>1</v>
      </c>
      <c r="F1682" t="s">
        <v>207</v>
      </c>
      <c r="G1682" t="s">
        <v>202</v>
      </c>
      <c r="H1682">
        <v>1</v>
      </c>
    </row>
    <row r="1683" spans="1:8" x14ac:dyDescent="0.3">
      <c r="A1683">
        <v>2019</v>
      </c>
      <c r="B1683" t="s">
        <v>219</v>
      </c>
      <c r="C1683" t="s">
        <v>267</v>
      </c>
      <c r="D1683" t="s">
        <v>268</v>
      </c>
      <c r="E1683" t="s">
        <v>203</v>
      </c>
      <c r="F1683" t="s">
        <v>207</v>
      </c>
      <c r="G1683" t="s">
        <v>202</v>
      </c>
    </row>
    <row r="1684" spans="1:8" x14ac:dyDescent="0.3">
      <c r="A1684">
        <v>2019</v>
      </c>
      <c r="B1684" t="s">
        <v>219</v>
      </c>
      <c r="C1684" t="s">
        <v>267</v>
      </c>
      <c r="D1684" t="s">
        <v>268</v>
      </c>
      <c r="E1684" t="s">
        <v>204</v>
      </c>
      <c r="F1684" t="s">
        <v>207</v>
      </c>
      <c r="G1684" t="s">
        <v>202</v>
      </c>
    </row>
    <row r="1685" spans="1:8" x14ac:dyDescent="0.3">
      <c r="A1685">
        <v>2019</v>
      </c>
      <c r="B1685" t="s">
        <v>219</v>
      </c>
      <c r="C1685" t="s">
        <v>267</v>
      </c>
      <c r="D1685" t="s">
        <v>268</v>
      </c>
      <c r="E1685" t="s">
        <v>205</v>
      </c>
      <c r="F1685" t="s">
        <v>207</v>
      </c>
      <c r="G1685" t="s">
        <v>202</v>
      </c>
    </row>
    <row r="1686" spans="1:8" x14ac:dyDescent="0.3">
      <c r="A1686">
        <v>2019</v>
      </c>
      <c r="B1686" t="s">
        <v>219</v>
      </c>
      <c r="C1686" t="s">
        <v>267</v>
      </c>
      <c r="D1686" t="s">
        <v>268</v>
      </c>
      <c r="E1686" t="s">
        <v>206</v>
      </c>
      <c r="F1686" t="s">
        <v>207</v>
      </c>
      <c r="G1686" t="s">
        <v>202</v>
      </c>
    </row>
    <row r="1687" spans="1:8" x14ac:dyDescent="0.3">
      <c r="A1687">
        <v>2019</v>
      </c>
      <c r="B1687" t="s">
        <v>46</v>
      </c>
      <c r="C1687" t="s">
        <v>267</v>
      </c>
      <c r="D1687" t="s">
        <v>268</v>
      </c>
      <c r="E1687" t="s">
        <v>1</v>
      </c>
      <c r="F1687" t="s">
        <v>207</v>
      </c>
      <c r="G1687" t="s">
        <v>202</v>
      </c>
    </row>
    <row r="1688" spans="1:8" x14ac:dyDescent="0.3">
      <c r="A1688">
        <v>2019</v>
      </c>
      <c r="B1688" t="s">
        <v>46</v>
      </c>
      <c r="C1688" t="s">
        <v>267</v>
      </c>
      <c r="D1688" t="s">
        <v>268</v>
      </c>
      <c r="E1688" t="s">
        <v>203</v>
      </c>
      <c r="F1688" t="s">
        <v>207</v>
      </c>
      <c r="G1688" t="s">
        <v>202</v>
      </c>
    </row>
    <row r="1689" spans="1:8" x14ac:dyDescent="0.3">
      <c r="A1689">
        <v>2019</v>
      </c>
      <c r="B1689" t="s">
        <v>46</v>
      </c>
      <c r="C1689" t="s">
        <v>267</v>
      </c>
      <c r="D1689" t="s">
        <v>268</v>
      </c>
      <c r="E1689" t="s">
        <v>204</v>
      </c>
      <c r="F1689" t="s">
        <v>207</v>
      </c>
      <c r="G1689" t="s">
        <v>202</v>
      </c>
    </row>
    <row r="1690" spans="1:8" x14ac:dyDescent="0.3">
      <c r="A1690">
        <v>2019</v>
      </c>
      <c r="B1690" t="s">
        <v>46</v>
      </c>
      <c r="C1690" t="s">
        <v>267</v>
      </c>
      <c r="D1690" t="s">
        <v>268</v>
      </c>
      <c r="E1690" t="s">
        <v>205</v>
      </c>
      <c r="F1690" t="s">
        <v>207</v>
      </c>
      <c r="G1690" t="s">
        <v>202</v>
      </c>
    </row>
    <row r="1691" spans="1:8" x14ac:dyDescent="0.3">
      <c r="A1691">
        <v>2019</v>
      </c>
      <c r="B1691" t="s">
        <v>46</v>
      </c>
      <c r="C1691" t="s">
        <v>267</v>
      </c>
      <c r="D1691" t="s">
        <v>268</v>
      </c>
      <c r="E1691" t="s">
        <v>206</v>
      </c>
      <c r="F1691" t="s">
        <v>207</v>
      </c>
      <c r="G1691" t="s">
        <v>202</v>
      </c>
    </row>
    <row r="1692" spans="1:8" x14ac:dyDescent="0.3">
      <c r="A1692">
        <v>2019</v>
      </c>
      <c r="B1692" t="s">
        <v>29</v>
      </c>
      <c r="C1692" t="s">
        <v>267</v>
      </c>
      <c r="D1692" t="s">
        <v>268</v>
      </c>
      <c r="E1692" t="s">
        <v>1</v>
      </c>
      <c r="F1692" t="s">
        <v>207</v>
      </c>
      <c r="G1692" t="s">
        <v>202</v>
      </c>
      <c r="H1692">
        <v>9</v>
      </c>
    </row>
    <row r="1693" spans="1:8" x14ac:dyDescent="0.3">
      <c r="A1693">
        <v>2019</v>
      </c>
      <c r="B1693" t="s">
        <v>29</v>
      </c>
      <c r="C1693" t="s">
        <v>267</v>
      </c>
      <c r="D1693" t="s">
        <v>268</v>
      </c>
      <c r="E1693" t="s">
        <v>203</v>
      </c>
      <c r="F1693" t="s">
        <v>207</v>
      </c>
      <c r="G1693" t="s">
        <v>202</v>
      </c>
      <c r="H1693">
        <v>0</v>
      </c>
    </row>
    <row r="1694" spans="1:8" x14ac:dyDescent="0.3">
      <c r="A1694">
        <v>2019</v>
      </c>
      <c r="B1694" t="s">
        <v>29</v>
      </c>
      <c r="C1694" t="s">
        <v>267</v>
      </c>
      <c r="D1694" t="s">
        <v>268</v>
      </c>
      <c r="E1694" t="s">
        <v>204</v>
      </c>
      <c r="F1694" t="s">
        <v>207</v>
      </c>
      <c r="G1694" t="s">
        <v>202</v>
      </c>
      <c r="H1694">
        <v>0</v>
      </c>
    </row>
    <row r="1695" spans="1:8" x14ac:dyDescent="0.3">
      <c r="A1695">
        <v>2019</v>
      </c>
      <c r="B1695" t="s">
        <v>29</v>
      </c>
      <c r="C1695" t="s">
        <v>267</v>
      </c>
      <c r="D1695" t="s">
        <v>268</v>
      </c>
      <c r="E1695" t="s">
        <v>205</v>
      </c>
      <c r="F1695" t="s">
        <v>207</v>
      </c>
      <c r="G1695" t="s">
        <v>202</v>
      </c>
      <c r="H1695">
        <v>0</v>
      </c>
    </row>
    <row r="1696" spans="1:8" x14ac:dyDescent="0.3">
      <c r="A1696">
        <v>2019</v>
      </c>
      <c r="B1696" t="s">
        <v>29</v>
      </c>
      <c r="C1696" t="s">
        <v>267</v>
      </c>
      <c r="D1696" t="s">
        <v>268</v>
      </c>
      <c r="E1696" t="s">
        <v>206</v>
      </c>
      <c r="F1696" t="s">
        <v>207</v>
      </c>
      <c r="G1696" t="s">
        <v>202</v>
      </c>
      <c r="H1696">
        <v>0</v>
      </c>
    </row>
    <row r="1697" spans="1:8" x14ac:dyDescent="0.3">
      <c r="A1697">
        <v>2019</v>
      </c>
      <c r="B1697" t="s">
        <v>30</v>
      </c>
      <c r="C1697" t="s">
        <v>267</v>
      </c>
      <c r="D1697" t="s">
        <v>268</v>
      </c>
      <c r="E1697" t="s">
        <v>1</v>
      </c>
      <c r="F1697" t="s">
        <v>207</v>
      </c>
      <c r="G1697" t="s">
        <v>202</v>
      </c>
      <c r="H1697">
        <v>6</v>
      </c>
    </row>
    <row r="1698" spans="1:8" x14ac:dyDescent="0.3">
      <c r="A1698">
        <v>2019</v>
      </c>
      <c r="B1698" t="s">
        <v>30</v>
      </c>
      <c r="C1698" t="s">
        <v>267</v>
      </c>
      <c r="D1698" t="s">
        <v>268</v>
      </c>
      <c r="E1698" t="s">
        <v>203</v>
      </c>
      <c r="F1698" t="s">
        <v>207</v>
      </c>
      <c r="G1698" t="s">
        <v>202</v>
      </c>
      <c r="H1698">
        <v>0</v>
      </c>
    </row>
    <row r="1699" spans="1:8" x14ac:dyDescent="0.3">
      <c r="A1699">
        <v>2019</v>
      </c>
      <c r="B1699" t="s">
        <v>30</v>
      </c>
      <c r="C1699" t="s">
        <v>267</v>
      </c>
      <c r="D1699" t="s">
        <v>268</v>
      </c>
      <c r="E1699" t="s">
        <v>204</v>
      </c>
      <c r="F1699" t="s">
        <v>207</v>
      </c>
      <c r="G1699" t="s">
        <v>202</v>
      </c>
      <c r="H1699">
        <v>0</v>
      </c>
    </row>
    <row r="1700" spans="1:8" x14ac:dyDescent="0.3">
      <c r="A1700">
        <v>2019</v>
      </c>
      <c r="B1700" t="s">
        <v>30</v>
      </c>
      <c r="C1700" t="s">
        <v>267</v>
      </c>
      <c r="D1700" t="s">
        <v>268</v>
      </c>
      <c r="E1700" t="s">
        <v>205</v>
      </c>
      <c r="F1700" t="s">
        <v>207</v>
      </c>
      <c r="G1700" t="s">
        <v>202</v>
      </c>
      <c r="H1700">
        <v>0</v>
      </c>
    </row>
    <row r="1701" spans="1:8" x14ac:dyDescent="0.3">
      <c r="A1701">
        <v>2019</v>
      </c>
      <c r="B1701" t="s">
        <v>30</v>
      </c>
      <c r="C1701" t="s">
        <v>267</v>
      </c>
      <c r="D1701" t="s">
        <v>268</v>
      </c>
      <c r="E1701" t="s">
        <v>206</v>
      </c>
      <c r="F1701" t="s">
        <v>207</v>
      </c>
      <c r="G1701" t="s">
        <v>202</v>
      </c>
      <c r="H1701">
        <v>4</v>
      </c>
    </row>
    <row r="1702" spans="1:8" x14ac:dyDescent="0.3">
      <c r="A1702">
        <v>2019</v>
      </c>
      <c r="B1702" t="s">
        <v>31</v>
      </c>
      <c r="C1702" t="s">
        <v>267</v>
      </c>
      <c r="D1702" t="s">
        <v>268</v>
      </c>
      <c r="E1702" t="s">
        <v>1</v>
      </c>
      <c r="F1702" t="s">
        <v>207</v>
      </c>
      <c r="G1702" t="s">
        <v>202</v>
      </c>
      <c r="H1702">
        <v>3</v>
      </c>
    </row>
    <row r="1703" spans="1:8" x14ac:dyDescent="0.3">
      <c r="A1703">
        <v>2019</v>
      </c>
      <c r="B1703" t="s">
        <v>31</v>
      </c>
      <c r="C1703" t="s">
        <v>267</v>
      </c>
      <c r="D1703" t="s">
        <v>268</v>
      </c>
      <c r="E1703" t="s">
        <v>203</v>
      </c>
      <c r="F1703" t="s">
        <v>207</v>
      </c>
      <c r="G1703" t="s">
        <v>202</v>
      </c>
      <c r="H1703">
        <v>1</v>
      </c>
    </row>
    <row r="1704" spans="1:8" x14ac:dyDescent="0.3">
      <c r="A1704">
        <v>2019</v>
      </c>
      <c r="B1704" t="s">
        <v>31</v>
      </c>
      <c r="C1704" t="s">
        <v>267</v>
      </c>
      <c r="D1704" t="s">
        <v>268</v>
      </c>
      <c r="E1704" t="s">
        <v>204</v>
      </c>
      <c r="F1704" t="s">
        <v>207</v>
      </c>
      <c r="G1704" t="s">
        <v>202</v>
      </c>
      <c r="H1704">
        <v>0</v>
      </c>
    </row>
    <row r="1705" spans="1:8" x14ac:dyDescent="0.3">
      <c r="A1705">
        <v>2019</v>
      </c>
      <c r="B1705" t="s">
        <v>31</v>
      </c>
      <c r="C1705" t="s">
        <v>267</v>
      </c>
      <c r="D1705" t="s">
        <v>268</v>
      </c>
      <c r="E1705" t="s">
        <v>205</v>
      </c>
      <c r="F1705" t="s">
        <v>207</v>
      </c>
      <c r="G1705" t="s">
        <v>202</v>
      </c>
      <c r="H1705">
        <v>0</v>
      </c>
    </row>
    <row r="1706" spans="1:8" x14ac:dyDescent="0.3">
      <c r="A1706">
        <v>2019</v>
      </c>
      <c r="B1706" t="s">
        <v>31</v>
      </c>
      <c r="C1706" t="s">
        <v>267</v>
      </c>
      <c r="D1706" t="s">
        <v>268</v>
      </c>
      <c r="E1706" t="s">
        <v>206</v>
      </c>
      <c r="F1706" t="s">
        <v>207</v>
      </c>
      <c r="G1706" t="s">
        <v>202</v>
      </c>
      <c r="H1706">
        <v>21.5</v>
      </c>
    </row>
    <row r="1707" spans="1:8" x14ac:dyDescent="0.3">
      <c r="A1707">
        <v>2019</v>
      </c>
      <c r="B1707" t="s">
        <v>32</v>
      </c>
      <c r="C1707" t="s">
        <v>267</v>
      </c>
      <c r="D1707" t="s">
        <v>268</v>
      </c>
      <c r="E1707" t="s">
        <v>1</v>
      </c>
      <c r="F1707" t="s">
        <v>207</v>
      </c>
      <c r="G1707" t="s">
        <v>202</v>
      </c>
      <c r="H1707">
        <v>16</v>
      </c>
    </row>
    <row r="1708" spans="1:8" x14ac:dyDescent="0.3">
      <c r="A1708">
        <v>2019</v>
      </c>
      <c r="B1708" t="s">
        <v>32</v>
      </c>
      <c r="C1708" t="s">
        <v>267</v>
      </c>
      <c r="D1708" t="s">
        <v>268</v>
      </c>
      <c r="E1708" t="s">
        <v>203</v>
      </c>
      <c r="F1708" t="s">
        <v>207</v>
      </c>
      <c r="G1708" t="s">
        <v>202</v>
      </c>
      <c r="H1708">
        <v>1</v>
      </c>
    </row>
    <row r="1709" spans="1:8" x14ac:dyDescent="0.3">
      <c r="A1709">
        <v>2019</v>
      </c>
      <c r="B1709" t="s">
        <v>32</v>
      </c>
      <c r="C1709" t="s">
        <v>267</v>
      </c>
      <c r="D1709" t="s">
        <v>268</v>
      </c>
      <c r="E1709" t="s">
        <v>204</v>
      </c>
      <c r="F1709" t="s">
        <v>207</v>
      </c>
      <c r="G1709" t="s">
        <v>202</v>
      </c>
    </row>
    <row r="1710" spans="1:8" x14ac:dyDescent="0.3">
      <c r="A1710">
        <v>2019</v>
      </c>
      <c r="B1710" t="s">
        <v>32</v>
      </c>
      <c r="C1710" t="s">
        <v>267</v>
      </c>
      <c r="D1710" t="s">
        <v>268</v>
      </c>
      <c r="E1710" t="s">
        <v>205</v>
      </c>
      <c r="F1710" t="s">
        <v>207</v>
      </c>
      <c r="G1710" t="s">
        <v>202</v>
      </c>
    </row>
    <row r="1711" spans="1:8" x14ac:dyDescent="0.3">
      <c r="A1711">
        <v>2019</v>
      </c>
      <c r="B1711" t="s">
        <v>32</v>
      </c>
      <c r="C1711" t="s">
        <v>267</v>
      </c>
      <c r="D1711" t="s">
        <v>268</v>
      </c>
      <c r="E1711" t="s">
        <v>206</v>
      </c>
      <c r="F1711" t="s">
        <v>207</v>
      </c>
      <c r="G1711" t="s">
        <v>202</v>
      </c>
    </row>
    <row r="1712" spans="1:8" x14ac:dyDescent="0.3">
      <c r="A1712">
        <v>2019</v>
      </c>
      <c r="B1712" t="s">
        <v>49</v>
      </c>
      <c r="C1712" t="s">
        <v>267</v>
      </c>
      <c r="D1712" t="s">
        <v>268</v>
      </c>
      <c r="E1712" t="s">
        <v>1</v>
      </c>
      <c r="F1712" t="s">
        <v>207</v>
      </c>
      <c r="G1712" t="s">
        <v>202</v>
      </c>
      <c r="H1712">
        <v>0</v>
      </c>
    </row>
    <row r="1713" spans="1:8" x14ac:dyDescent="0.3">
      <c r="A1713">
        <v>2019</v>
      </c>
      <c r="B1713" t="s">
        <v>49</v>
      </c>
      <c r="C1713" t="s">
        <v>267</v>
      </c>
      <c r="D1713" t="s">
        <v>268</v>
      </c>
      <c r="E1713" t="s">
        <v>203</v>
      </c>
      <c r="F1713" t="s">
        <v>207</v>
      </c>
      <c r="G1713" t="s">
        <v>202</v>
      </c>
      <c r="H1713">
        <v>0</v>
      </c>
    </row>
    <row r="1714" spans="1:8" x14ac:dyDescent="0.3">
      <c r="A1714">
        <v>2019</v>
      </c>
      <c r="B1714" t="s">
        <v>49</v>
      </c>
      <c r="C1714" t="s">
        <v>267</v>
      </c>
      <c r="D1714" t="s">
        <v>268</v>
      </c>
      <c r="E1714" t="s">
        <v>204</v>
      </c>
      <c r="F1714" t="s">
        <v>207</v>
      </c>
      <c r="G1714" t="s">
        <v>202</v>
      </c>
      <c r="H1714">
        <v>0</v>
      </c>
    </row>
    <row r="1715" spans="1:8" x14ac:dyDescent="0.3">
      <c r="A1715">
        <v>2019</v>
      </c>
      <c r="B1715" t="s">
        <v>49</v>
      </c>
      <c r="C1715" t="s">
        <v>267</v>
      </c>
      <c r="D1715" t="s">
        <v>268</v>
      </c>
      <c r="E1715" t="s">
        <v>205</v>
      </c>
      <c r="F1715" t="s">
        <v>207</v>
      </c>
      <c r="G1715" t="s">
        <v>202</v>
      </c>
      <c r="H1715">
        <v>0</v>
      </c>
    </row>
    <row r="1716" spans="1:8" x14ac:dyDescent="0.3">
      <c r="A1716">
        <v>2019</v>
      </c>
      <c r="B1716" t="s">
        <v>49</v>
      </c>
      <c r="C1716" t="s">
        <v>267</v>
      </c>
      <c r="D1716" t="s">
        <v>268</v>
      </c>
      <c r="E1716" t="s">
        <v>206</v>
      </c>
      <c r="F1716" t="s">
        <v>207</v>
      </c>
      <c r="G1716" t="s">
        <v>202</v>
      </c>
      <c r="H1716">
        <v>0</v>
      </c>
    </row>
    <row r="1717" spans="1:8" x14ac:dyDescent="0.3">
      <c r="A1717">
        <v>2019</v>
      </c>
      <c r="B1717" t="s">
        <v>33</v>
      </c>
      <c r="C1717" t="s">
        <v>267</v>
      </c>
      <c r="D1717" t="s">
        <v>268</v>
      </c>
      <c r="E1717" t="s">
        <v>1</v>
      </c>
      <c r="F1717" t="s">
        <v>207</v>
      </c>
      <c r="G1717" t="s">
        <v>202</v>
      </c>
      <c r="H1717">
        <v>13</v>
      </c>
    </row>
    <row r="1718" spans="1:8" x14ac:dyDescent="0.3">
      <c r="A1718">
        <v>2019</v>
      </c>
      <c r="B1718" t="s">
        <v>33</v>
      </c>
      <c r="C1718" t="s">
        <v>267</v>
      </c>
      <c r="D1718" t="s">
        <v>268</v>
      </c>
      <c r="E1718" t="s">
        <v>203</v>
      </c>
      <c r="F1718" t="s">
        <v>207</v>
      </c>
      <c r="G1718" t="s">
        <v>202</v>
      </c>
      <c r="H1718">
        <v>2</v>
      </c>
    </row>
    <row r="1719" spans="1:8" x14ac:dyDescent="0.3">
      <c r="A1719">
        <v>2019</v>
      </c>
      <c r="B1719" t="s">
        <v>33</v>
      </c>
      <c r="C1719" t="s">
        <v>267</v>
      </c>
      <c r="D1719" t="s">
        <v>268</v>
      </c>
      <c r="E1719" t="s">
        <v>204</v>
      </c>
      <c r="F1719" t="s">
        <v>207</v>
      </c>
      <c r="G1719" t="s">
        <v>202</v>
      </c>
      <c r="H1719">
        <v>0</v>
      </c>
    </row>
    <row r="1720" spans="1:8" x14ac:dyDescent="0.3">
      <c r="A1720">
        <v>2019</v>
      </c>
      <c r="B1720" t="s">
        <v>33</v>
      </c>
      <c r="C1720" t="s">
        <v>267</v>
      </c>
      <c r="D1720" t="s">
        <v>268</v>
      </c>
      <c r="E1720" t="s">
        <v>205</v>
      </c>
      <c r="F1720" t="s">
        <v>207</v>
      </c>
      <c r="G1720" t="s">
        <v>202</v>
      </c>
      <c r="H1720">
        <v>0</v>
      </c>
    </row>
    <row r="1721" spans="1:8" x14ac:dyDescent="0.3">
      <c r="A1721">
        <v>2019</v>
      </c>
      <c r="B1721" t="s">
        <v>33</v>
      </c>
      <c r="C1721" t="s">
        <v>267</v>
      </c>
      <c r="D1721" t="s">
        <v>268</v>
      </c>
      <c r="E1721" t="s">
        <v>206</v>
      </c>
      <c r="F1721" t="s">
        <v>207</v>
      </c>
      <c r="G1721" t="s">
        <v>202</v>
      </c>
      <c r="H1721">
        <v>14</v>
      </c>
    </row>
    <row r="1722" spans="1:8" x14ac:dyDescent="0.3">
      <c r="A1722">
        <v>2019</v>
      </c>
      <c r="B1722" t="s">
        <v>34</v>
      </c>
      <c r="C1722" t="s">
        <v>267</v>
      </c>
      <c r="D1722" t="s">
        <v>268</v>
      </c>
      <c r="E1722" t="s">
        <v>1</v>
      </c>
      <c r="F1722" t="s">
        <v>207</v>
      </c>
      <c r="G1722" t="s">
        <v>202</v>
      </c>
      <c r="H1722">
        <v>12</v>
      </c>
    </row>
    <row r="1723" spans="1:8" x14ac:dyDescent="0.3">
      <c r="A1723">
        <v>2019</v>
      </c>
      <c r="B1723" t="s">
        <v>34</v>
      </c>
      <c r="C1723" t="s">
        <v>267</v>
      </c>
      <c r="D1723" t="s">
        <v>268</v>
      </c>
      <c r="E1723" t="s">
        <v>203</v>
      </c>
      <c r="F1723" t="s">
        <v>207</v>
      </c>
      <c r="G1723" t="s">
        <v>202</v>
      </c>
      <c r="H1723">
        <v>3</v>
      </c>
    </row>
    <row r="1724" spans="1:8" x14ac:dyDescent="0.3">
      <c r="A1724">
        <v>2019</v>
      </c>
      <c r="B1724" t="s">
        <v>34</v>
      </c>
      <c r="C1724" t="s">
        <v>267</v>
      </c>
      <c r="D1724" t="s">
        <v>268</v>
      </c>
      <c r="E1724" t="s">
        <v>204</v>
      </c>
      <c r="F1724" t="s">
        <v>207</v>
      </c>
      <c r="G1724" t="s">
        <v>202</v>
      </c>
      <c r="H1724">
        <v>1</v>
      </c>
    </row>
    <row r="1725" spans="1:8" x14ac:dyDescent="0.3">
      <c r="A1725">
        <v>2019</v>
      </c>
      <c r="B1725" t="s">
        <v>34</v>
      </c>
      <c r="C1725" t="s">
        <v>267</v>
      </c>
      <c r="D1725" t="s">
        <v>268</v>
      </c>
      <c r="E1725" t="s">
        <v>205</v>
      </c>
      <c r="F1725" t="s">
        <v>207</v>
      </c>
      <c r="G1725" t="s">
        <v>202</v>
      </c>
      <c r="H1725">
        <v>0</v>
      </c>
    </row>
    <row r="1726" spans="1:8" x14ac:dyDescent="0.3">
      <c r="A1726">
        <v>2019</v>
      </c>
      <c r="B1726" t="s">
        <v>34</v>
      </c>
      <c r="C1726" t="s">
        <v>267</v>
      </c>
      <c r="D1726" t="s">
        <v>268</v>
      </c>
      <c r="E1726" t="s">
        <v>206</v>
      </c>
      <c r="F1726" t="s">
        <v>207</v>
      </c>
      <c r="G1726" t="s">
        <v>202</v>
      </c>
      <c r="H1726">
        <v>417</v>
      </c>
    </row>
    <row r="1727" spans="1:8" x14ac:dyDescent="0.3">
      <c r="A1727">
        <v>2019</v>
      </c>
      <c r="B1727" t="s">
        <v>35</v>
      </c>
      <c r="C1727" t="s">
        <v>267</v>
      </c>
      <c r="D1727" t="s">
        <v>268</v>
      </c>
      <c r="E1727" t="s">
        <v>1</v>
      </c>
      <c r="F1727" t="s">
        <v>207</v>
      </c>
      <c r="G1727" t="s">
        <v>202</v>
      </c>
      <c r="H1727">
        <v>9</v>
      </c>
    </row>
    <row r="1728" spans="1:8" x14ac:dyDescent="0.3">
      <c r="A1728">
        <v>2019</v>
      </c>
      <c r="B1728" t="s">
        <v>35</v>
      </c>
      <c r="C1728" t="s">
        <v>267</v>
      </c>
      <c r="D1728" t="s">
        <v>268</v>
      </c>
      <c r="E1728" t="s">
        <v>203</v>
      </c>
      <c r="F1728" t="s">
        <v>207</v>
      </c>
      <c r="G1728" t="s">
        <v>202</v>
      </c>
      <c r="H1728">
        <v>0</v>
      </c>
    </row>
    <row r="1729" spans="1:8" x14ac:dyDescent="0.3">
      <c r="A1729">
        <v>2019</v>
      </c>
      <c r="B1729" t="s">
        <v>35</v>
      </c>
      <c r="C1729" t="s">
        <v>267</v>
      </c>
      <c r="D1729" t="s">
        <v>268</v>
      </c>
      <c r="E1729" t="s">
        <v>204</v>
      </c>
      <c r="F1729" t="s">
        <v>207</v>
      </c>
      <c r="G1729" t="s">
        <v>202</v>
      </c>
      <c r="H1729">
        <v>0</v>
      </c>
    </row>
    <row r="1730" spans="1:8" x14ac:dyDescent="0.3">
      <c r="A1730">
        <v>2019</v>
      </c>
      <c r="B1730" t="s">
        <v>35</v>
      </c>
      <c r="C1730" t="s">
        <v>267</v>
      </c>
      <c r="D1730" t="s">
        <v>268</v>
      </c>
      <c r="E1730" t="s">
        <v>205</v>
      </c>
      <c r="F1730" t="s">
        <v>207</v>
      </c>
      <c r="G1730" t="s">
        <v>202</v>
      </c>
      <c r="H1730">
        <v>0</v>
      </c>
    </row>
    <row r="1731" spans="1:8" x14ac:dyDescent="0.3">
      <c r="A1731">
        <v>2019</v>
      </c>
      <c r="B1731" t="s">
        <v>35</v>
      </c>
      <c r="C1731" t="s">
        <v>267</v>
      </c>
      <c r="D1731" t="s">
        <v>268</v>
      </c>
      <c r="E1731" t="s">
        <v>206</v>
      </c>
      <c r="F1731" t="s">
        <v>207</v>
      </c>
      <c r="G1731" t="s">
        <v>202</v>
      </c>
    </row>
    <row r="1732" spans="1:8" x14ac:dyDescent="0.3">
      <c r="A1732">
        <v>2019</v>
      </c>
      <c r="B1732" t="s">
        <v>36</v>
      </c>
      <c r="C1732" t="s">
        <v>267</v>
      </c>
      <c r="D1732" t="s">
        <v>268</v>
      </c>
      <c r="E1732" t="s">
        <v>1</v>
      </c>
      <c r="F1732" t="s">
        <v>207</v>
      </c>
      <c r="G1732" t="s">
        <v>202</v>
      </c>
      <c r="H1732">
        <v>3</v>
      </c>
    </row>
    <row r="1733" spans="1:8" x14ac:dyDescent="0.3">
      <c r="A1733">
        <v>2019</v>
      </c>
      <c r="B1733" t="s">
        <v>36</v>
      </c>
      <c r="C1733" t="s">
        <v>267</v>
      </c>
      <c r="D1733" t="s">
        <v>268</v>
      </c>
      <c r="E1733" t="s">
        <v>203</v>
      </c>
      <c r="F1733" t="s">
        <v>207</v>
      </c>
      <c r="G1733" t="s">
        <v>202</v>
      </c>
      <c r="H1733">
        <v>2</v>
      </c>
    </row>
    <row r="1734" spans="1:8" x14ac:dyDescent="0.3">
      <c r="A1734">
        <v>2019</v>
      </c>
      <c r="B1734" t="s">
        <v>36</v>
      </c>
      <c r="C1734" t="s">
        <v>267</v>
      </c>
      <c r="D1734" t="s">
        <v>268</v>
      </c>
      <c r="E1734" t="s">
        <v>204</v>
      </c>
      <c r="F1734" t="s">
        <v>207</v>
      </c>
      <c r="G1734" t="s">
        <v>202</v>
      </c>
      <c r="H1734">
        <v>0</v>
      </c>
    </row>
    <row r="1735" spans="1:8" x14ac:dyDescent="0.3">
      <c r="A1735">
        <v>2019</v>
      </c>
      <c r="B1735" t="s">
        <v>36</v>
      </c>
      <c r="C1735" t="s">
        <v>267</v>
      </c>
      <c r="D1735" t="s">
        <v>268</v>
      </c>
      <c r="E1735" t="s">
        <v>205</v>
      </c>
      <c r="F1735" t="s">
        <v>207</v>
      </c>
      <c r="G1735" t="s">
        <v>202</v>
      </c>
      <c r="H1735">
        <v>0</v>
      </c>
    </row>
    <row r="1736" spans="1:8" x14ac:dyDescent="0.3">
      <c r="A1736">
        <v>2019</v>
      </c>
      <c r="B1736" t="s">
        <v>36</v>
      </c>
      <c r="C1736" t="s">
        <v>267</v>
      </c>
      <c r="D1736" t="s">
        <v>268</v>
      </c>
      <c r="E1736" t="s">
        <v>206</v>
      </c>
      <c r="F1736" t="s">
        <v>207</v>
      </c>
      <c r="G1736" t="s">
        <v>202</v>
      </c>
      <c r="H1736">
        <v>24</v>
      </c>
    </row>
    <row r="1737" spans="1:8" x14ac:dyDescent="0.3">
      <c r="A1737">
        <v>2019</v>
      </c>
      <c r="B1737" t="s">
        <v>37</v>
      </c>
      <c r="C1737" t="s">
        <v>267</v>
      </c>
      <c r="D1737" t="s">
        <v>268</v>
      </c>
      <c r="E1737" t="s">
        <v>1</v>
      </c>
      <c r="F1737" t="s">
        <v>207</v>
      </c>
      <c r="G1737" t="s">
        <v>202</v>
      </c>
      <c r="H1737">
        <v>5</v>
      </c>
    </row>
    <row r="1738" spans="1:8" x14ac:dyDescent="0.3">
      <c r="A1738">
        <v>2019</v>
      </c>
      <c r="B1738" t="s">
        <v>37</v>
      </c>
      <c r="C1738" t="s">
        <v>267</v>
      </c>
      <c r="D1738" t="s">
        <v>268</v>
      </c>
      <c r="E1738" t="s">
        <v>203</v>
      </c>
      <c r="F1738" t="s">
        <v>207</v>
      </c>
      <c r="G1738" t="s">
        <v>202</v>
      </c>
      <c r="H1738">
        <v>1</v>
      </c>
    </row>
    <row r="1739" spans="1:8" x14ac:dyDescent="0.3">
      <c r="A1739">
        <v>2019</v>
      </c>
      <c r="B1739" t="s">
        <v>37</v>
      </c>
      <c r="C1739" t="s">
        <v>267</v>
      </c>
      <c r="D1739" t="s">
        <v>268</v>
      </c>
      <c r="E1739" t="s">
        <v>204</v>
      </c>
      <c r="F1739" t="s">
        <v>207</v>
      </c>
      <c r="G1739" t="s">
        <v>202</v>
      </c>
      <c r="H1739">
        <v>0</v>
      </c>
    </row>
    <row r="1740" spans="1:8" x14ac:dyDescent="0.3">
      <c r="A1740">
        <v>2019</v>
      </c>
      <c r="B1740" t="s">
        <v>37</v>
      </c>
      <c r="C1740" t="s">
        <v>267</v>
      </c>
      <c r="D1740" t="s">
        <v>268</v>
      </c>
      <c r="E1740" t="s">
        <v>205</v>
      </c>
      <c r="F1740" t="s">
        <v>207</v>
      </c>
      <c r="G1740" t="s">
        <v>202</v>
      </c>
      <c r="H1740">
        <v>0</v>
      </c>
    </row>
    <row r="1741" spans="1:8" x14ac:dyDescent="0.3">
      <c r="A1741">
        <v>2019</v>
      </c>
      <c r="B1741" t="s">
        <v>37</v>
      </c>
      <c r="C1741" t="s">
        <v>267</v>
      </c>
      <c r="D1741" t="s">
        <v>268</v>
      </c>
      <c r="E1741" t="s">
        <v>206</v>
      </c>
      <c r="F1741" t="s">
        <v>207</v>
      </c>
      <c r="G1741" t="s">
        <v>202</v>
      </c>
      <c r="H1741">
        <v>29</v>
      </c>
    </row>
    <row r="1742" spans="1:8" x14ac:dyDescent="0.3">
      <c r="A1742">
        <v>2019</v>
      </c>
      <c r="B1742" t="s">
        <v>38</v>
      </c>
      <c r="C1742" t="s">
        <v>267</v>
      </c>
      <c r="D1742" t="s">
        <v>268</v>
      </c>
      <c r="E1742" t="s">
        <v>1</v>
      </c>
      <c r="F1742" t="s">
        <v>207</v>
      </c>
      <c r="G1742" t="s">
        <v>202</v>
      </c>
      <c r="H1742">
        <v>13</v>
      </c>
    </row>
    <row r="1743" spans="1:8" x14ac:dyDescent="0.3">
      <c r="A1743">
        <v>2019</v>
      </c>
      <c r="B1743" t="s">
        <v>38</v>
      </c>
      <c r="C1743" t="s">
        <v>267</v>
      </c>
      <c r="D1743" t="s">
        <v>268</v>
      </c>
      <c r="E1743" t="s">
        <v>203</v>
      </c>
      <c r="F1743" t="s">
        <v>207</v>
      </c>
      <c r="G1743" t="s">
        <v>202</v>
      </c>
      <c r="H1743">
        <v>0</v>
      </c>
    </row>
    <row r="1744" spans="1:8" x14ac:dyDescent="0.3">
      <c r="A1744">
        <v>2019</v>
      </c>
      <c r="B1744" t="s">
        <v>38</v>
      </c>
      <c r="C1744" t="s">
        <v>267</v>
      </c>
      <c r="D1744" t="s">
        <v>268</v>
      </c>
      <c r="E1744" t="s">
        <v>204</v>
      </c>
      <c r="F1744" t="s">
        <v>207</v>
      </c>
      <c r="G1744" t="s">
        <v>202</v>
      </c>
      <c r="H1744">
        <v>1</v>
      </c>
    </row>
    <row r="1745" spans="1:8" x14ac:dyDescent="0.3">
      <c r="A1745">
        <v>2019</v>
      </c>
      <c r="B1745" t="s">
        <v>38</v>
      </c>
      <c r="C1745" t="s">
        <v>267</v>
      </c>
      <c r="D1745" t="s">
        <v>268</v>
      </c>
      <c r="E1745" t="s">
        <v>205</v>
      </c>
      <c r="F1745" t="s">
        <v>207</v>
      </c>
      <c r="G1745" t="s">
        <v>202</v>
      </c>
      <c r="H1745">
        <v>0</v>
      </c>
    </row>
    <row r="1746" spans="1:8" x14ac:dyDescent="0.3">
      <c r="A1746">
        <v>2019</v>
      </c>
      <c r="B1746" t="s">
        <v>38</v>
      </c>
      <c r="C1746" t="s">
        <v>267</v>
      </c>
      <c r="D1746" t="s">
        <v>268</v>
      </c>
      <c r="E1746" t="s">
        <v>206</v>
      </c>
      <c r="F1746" t="s">
        <v>207</v>
      </c>
      <c r="G1746" t="s">
        <v>202</v>
      </c>
      <c r="H1746">
        <v>8</v>
      </c>
    </row>
    <row r="1747" spans="1:8" x14ac:dyDescent="0.3">
      <c r="A1747">
        <v>2019</v>
      </c>
      <c r="B1747" t="s">
        <v>39</v>
      </c>
      <c r="C1747" t="s">
        <v>267</v>
      </c>
      <c r="D1747" t="s">
        <v>268</v>
      </c>
      <c r="E1747" t="s">
        <v>1</v>
      </c>
      <c r="F1747" t="s">
        <v>207</v>
      </c>
      <c r="G1747" t="s">
        <v>202</v>
      </c>
      <c r="H1747">
        <v>4</v>
      </c>
    </row>
    <row r="1748" spans="1:8" x14ac:dyDescent="0.3">
      <c r="A1748">
        <v>2019</v>
      </c>
      <c r="B1748" t="s">
        <v>39</v>
      </c>
      <c r="C1748" t="s">
        <v>267</v>
      </c>
      <c r="D1748" t="s">
        <v>268</v>
      </c>
      <c r="E1748" t="s">
        <v>203</v>
      </c>
      <c r="F1748" t="s">
        <v>207</v>
      </c>
      <c r="G1748" t="s">
        <v>202</v>
      </c>
      <c r="H1748">
        <v>0</v>
      </c>
    </row>
    <row r="1749" spans="1:8" x14ac:dyDescent="0.3">
      <c r="A1749">
        <v>2019</v>
      </c>
      <c r="B1749" t="s">
        <v>39</v>
      </c>
      <c r="C1749" t="s">
        <v>267</v>
      </c>
      <c r="D1749" t="s">
        <v>268</v>
      </c>
      <c r="E1749" t="s">
        <v>204</v>
      </c>
      <c r="F1749" t="s">
        <v>207</v>
      </c>
      <c r="G1749" t="s">
        <v>202</v>
      </c>
      <c r="H1749">
        <v>0</v>
      </c>
    </row>
    <row r="1750" spans="1:8" x14ac:dyDescent="0.3">
      <c r="A1750">
        <v>2019</v>
      </c>
      <c r="B1750" t="s">
        <v>39</v>
      </c>
      <c r="C1750" t="s">
        <v>267</v>
      </c>
      <c r="D1750" t="s">
        <v>268</v>
      </c>
      <c r="E1750" t="s">
        <v>205</v>
      </c>
      <c r="F1750" t="s">
        <v>207</v>
      </c>
      <c r="G1750" t="s">
        <v>202</v>
      </c>
      <c r="H1750">
        <v>0</v>
      </c>
    </row>
    <row r="1751" spans="1:8" x14ac:dyDescent="0.3">
      <c r="A1751">
        <v>2019</v>
      </c>
      <c r="B1751" t="s">
        <v>39</v>
      </c>
      <c r="C1751" t="s">
        <v>267</v>
      </c>
      <c r="D1751" t="s">
        <v>268</v>
      </c>
      <c r="E1751" t="s">
        <v>206</v>
      </c>
      <c r="F1751" t="s">
        <v>207</v>
      </c>
      <c r="G1751" t="s">
        <v>202</v>
      </c>
      <c r="H1751">
        <v>0</v>
      </c>
    </row>
    <row r="1752" spans="1:8" x14ac:dyDescent="0.3">
      <c r="A1752">
        <v>2019</v>
      </c>
      <c r="B1752" t="s">
        <v>50</v>
      </c>
      <c r="C1752" t="s">
        <v>267</v>
      </c>
      <c r="D1752" t="s">
        <v>268</v>
      </c>
      <c r="E1752" t="s">
        <v>1</v>
      </c>
      <c r="F1752" t="s">
        <v>207</v>
      </c>
      <c r="G1752" t="s">
        <v>202</v>
      </c>
      <c r="H1752">
        <v>3</v>
      </c>
    </row>
    <row r="1753" spans="1:8" x14ac:dyDescent="0.3">
      <c r="A1753">
        <v>2019</v>
      </c>
      <c r="B1753" t="s">
        <v>50</v>
      </c>
      <c r="C1753" t="s">
        <v>267</v>
      </c>
      <c r="D1753" t="s">
        <v>268</v>
      </c>
      <c r="E1753" t="s">
        <v>203</v>
      </c>
      <c r="F1753" t="s">
        <v>207</v>
      </c>
      <c r="G1753" t="s">
        <v>202</v>
      </c>
      <c r="H1753">
        <v>0</v>
      </c>
    </row>
    <row r="1754" spans="1:8" x14ac:dyDescent="0.3">
      <c r="A1754">
        <v>2019</v>
      </c>
      <c r="B1754" t="s">
        <v>50</v>
      </c>
      <c r="C1754" t="s">
        <v>267</v>
      </c>
      <c r="D1754" t="s">
        <v>268</v>
      </c>
      <c r="E1754" t="s">
        <v>204</v>
      </c>
      <c r="F1754" t="s">
        <v>207</v>
      </c>
      <c r="G1754" t="s">
        <v>202</v>
      </c>
      <c r="H1754">
        <v>0</v>
      </c>
    </row>
    <row r="1755" spans="1:8" x14ac:dyDescent="0.3">
      <c r="A1755">
        <v>2019</v>
      </c>
      <c r="B1755" t="s">
        <v>50</v>
      </c>
      <c r="C1755" t="s">
        <v>267</v>
      </c>
      <c r="D1755" t="s">
        <v>268</v>
      </c>
      <c r="E1755" t="s">
        <v>205</v>
      </c>
      <c r="F1755" t="s">
        <v>207</v>
      </c>
      <c r="G1755" t="s">
        <v>202</v>
      </c>
      <c r="H1755">
        <v>0</v>
      </c>
    </row>
    <row r="1756" spans="1:8" x14ac:dyDescent="0.3">
      <c r="A1756">
        <v>2019</v>
      </c>
      <c r="B1756" t="s">
        <v>50</v>
      </c>
      <c r="C1756" t="s">
        <v>267</v>
      </c>
      <c r="D1756" t="s">
        <v>268</v>
      </c>
      <c r="E1756" t="s">
        <v>206</v>
      </c>
      <c r="F1756" t="s">
        <v>207</v>
      </c>
      <c r="G1756" t="s">
        <v>202</v>
      </c>
      <c r="H1756">
        <v>0</v>
      </c>
    </row>
    <row r="1757" spans="1:8" x14ac:dyDescent="0.3">
      <c r="A1757">
        <v>2019</v>
      </c>
      <c r="B1757" t="s">
        <v>40</v>
      </c>
      <c r="C1757" t="s">
        <v>267</v>
      </c>
      <c r="D1757" t="s">
        <v>268</v>
      </c>
      <c r="E1757" t="s">
        <v>1</v>
      </c>
      <c r="F1757" t="s">
        <v>207</v>
      </c>
      <c r="G1757" t="s">
        <v>202</v>
      </c>
      <c r="H1757">
        <v>5</v>
      </c>
    </row>
    <row r="1758" spans="1:8" x14ac:dyDescent="0.3">
      <c r="A1758">
        <v>2019</v>
      </c>
      <c r="B1758" t="s">
        <v>40</v>
      </c>
      <c r="C1758" t="s">
        <v>267</v>
      </c>
      <c r="D1758" t="s">
        <v>268</v>
      </c>
      <c r="E1758" t="s">
        <v>203</v>
      </c>
      <c r="F1758" t="s">
        <v>207</v>
      </c>
      <c r="G1758" t="s">
        <v>202</v>
      </c>
      <c r="H1758">
        <v>2</v>
      </c>
    </row>
    <row r="1759" spans="1:8" x14ac:dyDescent="0.3">
      <c r="A1759">
        <v>2019</v>
      </c>
      <c r="B1759" t="s">
        <v>40</v>
      </c>
      <c r="C1759" t="s">
        <v>267</v>
      </c>
      <c r="D1759" t="s">
        <v>268</v>
      </c>
      <c r="E1759" t="s">
        <v>204</v>
      </c>
      <c r="F1759" t="s">
        <v>207</v>
      </c>
      <c r="G1759" t="s">
        <v>202</v>
      </c>
      <c r="H1759">
        <v>0</v>
      </c>
    </row>
    <row r="1760" spans="1:8" x14ac:dyDescent="0.3">
      <c r="A1760">
        <v>2019</v>
      </c>
      <c r="B1760" t="s">
        <v>40</v>
      </c>
      <c r="C1760" t="s">
        <v>267</v>
      </c>
      <c r="D1760" t="s">
        <v>268</v>
      </c>
      <c r="E1760" t="s">
        <v>205</v>
      </c>
      <c r="F1760" t="s">
        <v>207</v>
      </c>
      <c r="G1760" t="s">
        <v>202</v>
      </c>
      <c r="H1760">
        <v>0</v>
      </c>
    </row>
    <row r="1761" spans="1:8" x14ac:dyDescent="0.3">
      <c r="A1761">
        <v>2019</v>
      </c>
      <c r="B1761" t="s">
        <v>40</v>
      </c>
      <c r="C1761" t="s">
        <v>267</v>
      </c>
      <c r="D1761" t="s">
        <v>268</v>
      </c>
      <c r="E1761" t="s">
        <v>206</v>
      </c>
      <c r="F1761" t="s">
        <v>207</v>
      </c>
      <c r="G1761" t="s">
        <v>202</v>
      </c>
      <c r="H1761">
        <v>72</v>
      </c>
    </row>
    <row r="1762" spans="1:8" x14ac:dyDescent="0.3">
      <c r="A1762">
        <v>2019</v>
      </c>
      <c r="B1762" t="s">
        <v>41</v>
      </c>
      <c r="C1762" t="s">
        <v>267</v>
      </c>
      <c r="D1762" t="s">
        <v>268</v>
      </c>
      <c r="E1762" t="s">
        <v>1</v>
      </c>
      <c r="F1762" t="s">
        <v>207</v>
      </c>
      <c r="G1762" t="s">
        <v>202</v>
      </c>
      <c r="H1762">
        <v>8</v>
      </c>
    </row>
    <row r="1763" spans="1:8" x14ac:dyDescent="0.3">
      <c r="A1763">
        <v>2019</v>
      </c>
      <c r="B1763" t="s">
        <v>41</v>
      </c>
      <c r="C1763" t="s">
        <v>267</v>
      </c>
      <c r="D1763" t="s">
        <v>268</v>
      </c>
      <c r="E1763" t="s">
        <v>203</v>
      </c>
      <c r="F1763" t="s">
        <v>207</v>
      </c>
      <c r="G1763" t="s">
        <v>202</v>
      </c>
      <c r="H1763">
        <v>0</v>
      </c>
    </row>
    <row r="1764" spans="1:8" x14ac:dyDescent="0.3">
      <c r="A1764">
        <v>2019</v>
      </c>
      <c r="B1764" t="s">
        <v>41</v>
      </c>
      <c r="C1764" t="s">
        <v>267</v>
      </c>
      <c r="D1764" t="s">
        <v>268</v>
      </c>
      <c r="E1764" t="s">
        <v>204</v>
      </c>
      <c r="F1764" t="s">
        <v>207</v>
      </c>
      <c r="G1764" t="s">
        <v>202</v>
      </c>
      <c r="H1764">
        <v>0</v>
      </c>
    </row>
    <row r="1765" spans="1:8" x14ac:dyDescent="0.3">
      <c r="A1765">
        <v>2019</v>
      </c>
      <c r="B1765" t="s">
        <v>41</v>
      </c>
      <c r="C1765" t="s">
        <v>267</v>
      </c>
      <c r="D1765" t="s">
        <v>268</v>
      </c>
      <c r="E1765" t="s">
        <v>205</v>
      </c>
      <c r="F1765" t="s">
        <v>207</v>
      </c>
      <c r="G1765" t="s">
        <v>202</v>
      </c>
      <c r="H1765">
        <v>0</v>
      </c>
    </row>
    <row r="1766" spans="1:8" x14ac:dyDescent="0.3">
      <c r="A1766">
        <v>2019</v>
      </c>
      <c r="B1766" t="s">
        <v>41</v>
      </c>
      <c r="C1766" t="s">
        <v>267</v>
      </c>
      <c r="D1766" t="s">
        <v>268</v>
      </c>
      <c r="E1766" t="s">
        <v>206</v>
      </c>
      <c r="F1766" t="s">
        <v>207</v>
      </c>
      <c r="G1766" t="s">
        <v>202</v>
      </c>
      <c r="H1766">
        <v>3</v>
      </c>
    </row>
    <row r="1767" spans="1:8" x14ac:dyDescent="0.3">
      <c r="A1767">
        <v>2019</v>
      </c>
      <c r="B1767" t="s">
        <v>42</v>
      </c>
      <c r="C1767" t="s">
        <v>267</v>
      </c>
      <c r="D1767" t="s">
        <v>268</v>
      </c>
      <c r="E1767" t="s">
        <v>1</v>
      </c>
      <c r="F1767" t="s">
        <v>207</v>
      </c>
      <c r="G1767" t="s">
        <v>202</v>
      </c>
      <c r="H1767">
        <v>1</v>
      </c>
    </row>
    <row r="1768" spans="1:8" x14ac:dyDescent="0.3">
      <c r="A1768">
        <v>2019</v>
      </c>
      <c r="B1768" t="s">
        <v>42</v>
      </c>
      <c r="C1768" t="s">
        <v>267</v>
      </c>
      <c r="D1768" t="s">
        <v>268</v>
      </c>
      <c r="E1768" t="s">
        <v>203</v>
      </c>
      <c r="F1768" t="s">
        <v>207</v>
      </c>
      <c r="G1768" t="s">
        <v>202</v>
      </c>
      <c r="H1768">
        <v>1</v>
      </c>
    </row>
    <row r="1769" spans="1:8" x14ac:dyDescent="0.3">
      <c r="A1769">
        <v>2019</v>
      </c>
      <c r="B1769" t="s">
        <v>42</v>
      </c>
      <c r="C1769" t="s">
        <v>267</v>
      </c>
      <c r="D1769" t="s">
        <v>268</v>
      </c>
      <c r="E1769" t="s">
        <v>204</v>
      </c>
      <c r="F1769" t="s">
        <v>207</v>
      </c>
      <c r="G1769" t="s">
        <v>202</v>
      </c>
      <c r="H1769">
        <v>0</v>
      </c>
    </row>
    <row r="1770" spans="1:8" x14ac:dyDescent="0.3">
      <c r="A1770">
        <v>2019</v>
      </c>
      <c r="B1770" t="s">
        <v>42</v>
      </c>
      <c r="C1770" t="s">
        <v>267</v>
      </c>
      <c r="D1770" t="s">
        <v>268</v>
      </c>
      <c r="E1770" t="s">
        <v>205</v>
      </c>
      <c r="F1770" t="s">
        <v>207</v>
      </c>
      <c r="G1770" t="s">
        <v>202</v>
      </c>
      <c r="H1770">
        <v>0</v>
      </c>
    </row>
    <row r="1771" spans="1:8" x14ac:dyDescent="0.3">
      <c r="A1771">
        <v>2019</v>
      </c>
      <c r="B1771" t="s">
        <v>42</v>
      </c>
      <c r="C1771" t="s">
        <v>267</v>
      </c>
      <c r="D1771" t="s">
        <v>268</v>
      </c>
      <c r="E1771" t="s">
        <v>206</v>
      </c>
      <c r="F1771" t="s">
        <v>207</v>
      </c>
      <c r="G1771" t="s">
        <v>202</v>
      </c>
      <c r="H1771">
        <v>0</v>
      </c>
    </row>
    <row r="1772" spans="1:8" x14ac:dyDescent="0.3">
      <c r="A1772">
        <v>2019</v>
      </c>
      <c r="B1772" t="s">
        <v>215</v>
      </c>
      <c r="C1772" t="s">
        <v>267</v>
      </c>
      <c r="D1772" t="s">
        <v>268</v>
      </c>
      <c r="E1772" t="s">
        <v>1</v>
      </c>
      <c r="F1772" t="s">
        <v>207</v>
      </c>
      <c r="G1772" t="s">
        <v>202</v>
      </c>
      <c r="H1772">
        <v>0</v>
      </c>
    </row>
    <row r="1773" spans="1:8" x14ac:dyDescent="0.3">
      <c r="A1773">
        <v>2019</v>
      </c>
      <c r="B1773" t="s">
        <v>215</v>
      </c>
      <c r="C1773" t="s">
        <v>267</v>
      </c>
      <c r="D1773" t="s">
        <v>268</v>
      </c>
      <c r="E1773" t="s">
        <v>203</v>
      </c>
      <c r="F1773" t="s">
        <v>207</v>
      </c>
      <c r="G1773" t="s">
        <v>202</v>
      </c>
      <c r="H1773">
        <v>0</v>
      </c>
    </row>
    <row r="1774" spans="1:8" x14ac:dyDescent="0.3">
      <c r="A1774">
        <v>2019</v>
      </c>
      <c r="B1774" t="s">
        <v>215</v>
      </c>
      <c r="C1774" t="s">
        <v>267</v>
      </c>
      <c r="D1774" t="s">
        <v>268</v>
      </c>
      <c r="E1774" t="s">
        <v>204</v>
      </c>
      <c r="F1774" t="s">
        <v>207</v>
      </c>
      <c r="G1774" t="s">
        <v>202</v>
      </c>
      <c r="H1774">
        <v>0</v>
      </c>
    </row>
    <row r="1775" spans="1:8" x14ac:dyDescent="0.3">
      <c r="A1775">
        <v>2019</v>
      </c>
      <c r="B1775" t="s">
        <v>215</v>
      </c>
      <c r="C1775" t="s">
        <v>267</v>
      </c>
      <c r="D1775" t="s">
        <v>268</v>
      </c>
      <c r="E1775" t="s">
        <v>205</v>
      </c>
      <c r="F1775" t="s">
        <v>207</v>
      </c>
      <c r="G1775" t="s">
        <v>202</v>
      </c>
      <c r="H1775">
        <v>0</v>
      </c>
    </row>
    <row r="1776" spans="1:8" x14ac:dyDescent="0.3">
      <c r="A1776">
        <v>2019</v>
      </c>
      <c r="B1776" t="s">
        <v>215</v>
      </c>
      <c r="C1776" t="s">
        <v>267</v>
      </c>
      <c r="D1776" t="s">
        <v>268</v>
      </c>
      <c r="E1776" t="s">
        <v>206</v>
      </c>
      <c r="F1776" t="s">
        <v>207</v>
      </c>
      <c r="G1776" t="s">
        <v>202</v>
      </c>
      <c r="H1776">
        <v>0</v>
      </c>
    </row>
    <row r="1777" spans="1:8" x14ac:dyDescent="0.3">
      <c r="A1777">
        <v>2019</v>
      </c>
      <c r="B1777" t="s">
        <v>43</v>
      </c>
      <c r="C1777" t="s">
        <v>267</v>
      </c>
      <c r="D1777" t="s">
        <v>268</v>
      </c>
      <c r="E1777" t="s">
        <v>1</v>
      </c>
      <c r="F1777" t="s">
        <v>207</v>
      </c>
      <c r="G1777" t="s">
        <v>202</v>
      </c>
      <c r="H1777">
        <v>2</v>
      </c>
    </row>
    <row r="1778" spans="1:8" x14ac:dyDescent="0.3">
      <c r="A1778">
        <v>2019</v>
      </c>
      <c r="B1778" t="s">
        <v>43</v>
      </c>
      <c r="C1778" t="s">
        <v>267</v>
      </c>
      <c r="D1778" t="s">
        <v>268</v>
      </c>
      <c r="E1778" t="s">
        <v>203</v>
      </c>
      <c r="F1778" t="s">
        <v>207</v>
      </c>
      <c r="G1778" t="s">
        <v>202</v>
      </c>
      <c r="H1778">
        <v>0</v>
      </c>
    </row>
    <row r="1779" spans="1:8" x14ac:dyDescent="0.3">
      <c r="A1779">
        <v>2019</v>
      </c>
      <c r="B1779" t="s">
        <v>43</v>
      </c>
      <c r="C1779" t="s">
        <v>267</v>
      </c>
      <c r="D1779" t="s">
        <v>268</v>
      </c>
      <c r="E1779" t="s">
        <v>204</v>
      </c>
      <c r="F1779" t="s">
        <v>207</v>
      </c>
      <c r="G1779" t="s">
        <v>202</v>
      </c>
      <c r="H1779">
        <v>0</v>
      </c>
    </row>
    <row r="1780" spans="1:8" x14ac:dyDescent="0.3">
      <c r="A1780">
        <v>2019</v>
      </c>
      <c r="B1780" t="s">
        <v>43</v>
      </c>
      <c r="C1780" t="s">
        <v>267</v>
      </c>
      <c r="D1780" t="s">
        <v>268</v>
      </c>
      <c r="E1780" t="s">
        <v>205</v>
      </c>
      <c r="F1780" t="s">
        <v>207</v>
      </c>
      <c r="G1780" t="s">
        <v>202</v>
      </c>
      <c r="H1780">
        <v>0</v>
      </c>
    </row>
    <row r="1781" spans="1:8" x14ac:dyDescent="0.3">
      <c r="A1781">
        <v>2019</v>
      </c>
      <c r="B1781" t="s">
        <v>43</v>
      </c>
      <c r="C1781" t="s">
        <v>267</v>
      </c>
      <c r="D1781" t="s">
        <v>268</v>
      </c>
      <c r="E1781" t="s">
        <v>206</v>
      </c>
      <c r="F1781" t="s">
        <v>207</v>
      </c>
      <c r="G1781" t="s">
        <v>202</v>
      </c>
      <c r="H1781">
        <v>0</v>
      </c>
    </row>
    <row r="1782" spans="1:8" x14ac:dyDescent="0.3">
      <c r="A1782">
        <v>2019</v>
      </c>
      <c r="B1782" t="s">
        <v>52</v>
      </c>
      <c r="C1782" t="s">
        <v>267</v>
      </c>
      <c r="D1782" t="s">
        <v>268</v>
      </c>
      <c r="E1782" t="s">
        <v>1</v>
      </c>
      <c r="F1782" t="s">
        <v>207</v>
      </c>
      <c r="G1782" t="s">
        <v>202</v>
      </c>
      <c r="H1782">
        <v>0</v>
      </c>
    </row>
    <row r="1783" spans="1:8" x14ac:dyDescent="0.3">
      <c r="A1783">
        <v>2019</v>
      </c>
      <c r="B1783" t="s">
        <v>52</v>
      </c>
      <c r="C1783" t="s">
        <v>267</v>
      </c>
      <c r="D1783" t="s">
        <v>268</v>
      </c>
      <c r="E1783" t="s">
        <v>203</v>
      </c>
      <c r="F1783" t="s">
        <v>207</v>
      </c>
      <c r="G1783" t="s">
        <v>202</v>
      </c>
      <c r="H1783">
        <v>0</v>
      </c>
    </row>
    <row r="1784" spans="1:8" x14ac:dyDescent="0.3">
      <c r="A1784">
        <v>2019</v>
      </c>
      <c r="B1784" t="s">
        <v>52</v>
      </c>
      <c r="C1784" t="s">
        <v>267</v>
      </c>
      <c r="D1784" t="s">
        <v>268</v>
      </c>
      <c r="E1784" t="s">
        <v>204</v>
      </c>
      <c r="F1784" t="s">
        <v>207</v>
      </c>
      <c r="G1784" t="s">
        <v>202</v>
      </c>
      <c r="H1784">
        <v>0</v>
      </c>
    </row>
    <row r="1785" spans="1:8" x14ac:dyDescent="0.3">
      <c r="A1785">
        <v>2019</v>
      </c>
      <c r="B1785" t="s">
        <v>52</v>
      </c>
      <c r="C1785" t="s">
        <v>267</v>
      </c>
      <c r="D1785" t="s">
        <v>268</v>
      </c>
      <c r="E1785" t="s">
        <v>205</v>
      </c>
      <c r="F1785" t="s">
        <v>207</v>
      </c>
      <c r="G1785" t="s">
        <v>202</v>
      </c>
      <c r="H1785">
        <v>0</v>
      </c>
    </row>
    <row r="1786" spans="1:8" x14ac:dyDescent="0.3">
      <c r="A1786">
        <v>2019</v>
      </c>
      <c r="B1786" t="s">
        <v>52</v>
      </c>
      <c r="C1786" t="s">
        <v>267</v>
      </c>
      <c r="D1786" t="s">
        <v>268</v>
      </c>
      <c r="E1786" t="s">
        <v>206</v>
      </c>
      <c r="F1786" t="s">
        <v>207</v>
      </c>
      <c r="G1786" t="s">
        <v>202</v>
      </c>
      <c r="H1786">
        <v>0</v>
      </c>
    </row>
    <row r="1787" spans="1:8" x14ac:dyDescent="0.3">
      <c r="A1787">
        <v>2019</v>
      </c>
      <c r="B1787" t="s">
        <v>44</v>
      </c>
      <c r="C1787" t="s">
        <v>267</v>
      </c>
      <c r="D1787" t="s">
        <v>268</v>
      </c>
      <c r="E1787" t="s">
        <v>1</v>
      </c>
      <c r="F1787" t="s">
        <v>207</v>
      </c>
      <c r="G1787" t="s">
        <v>202</v>
      </c>
      <c r="H1787">
        <v>6</v>
      </c>
    </row>
    <row r="1788" spans="1:8" x14ac:dyDescent="0.3">
      <c r="A1788">
        <v>2019</v>
      </c>
      <c r="B1788" t="s">
        <v>44</v>
      </c>
      <c r="C1788" t="s">
        <v>267</v>
      </c>
      <c r="D1788" t="s">
        <v>268</v>
      </c>
      <c r="E1788" t="s">
        <v>203</v>
      </c>
      <c r="F1788" t="s">
        <v>207</v>
      </c>
      <c r="G1788" t="s">
        <v>202</v>
      </c>
      <c r="H1788">
        <v>1</v>
      </c>
    </row>
    <row r="1789" spans="1:8" x14ac:dyDescent="0.3">
      <c r="A1789">
        <v>2019</v>
      </c>
      <c r="B1789" t="s">
        <v>44</v>
      </c>
      <c r="C1789" t="s">
        <v>267</v>
      </c>
      <c r="D1789" t="s">
        <v>268</v>
      </c>
      <c r="E1789" t="s">
        <v>204</v>
      </c>
      <c r="F1789" t="s">
        <v>207</v>
      </c>
      <c r="G1789" t="s">
        <v>202</v>
      </c>
      <c r="H1789">
        <v>0</v>
      </c>
    </row>
    <row r="1790" spans="1:8" x14ac:dyDescent="0.3">
      <c r="A1790">
        <v>2019</v>
      </c>
      <c r="B1790" t="s">
        <v>44</v>
      </c>
      <c r="C1790" t="s">
        <v>267</v>
      </c>
      <c r="D1790" t="s">
        <v>268</v>
      </c>
      <c r="E1790" t="s">
        <v>205</v>
      </c>
      <c r="F1790" t="s">
        <v>207</v>
      </c>
      <c r="G1790" t="s">
        <v>202</v>
      </c>
      <c r="H1790">
        <v>0</v>
      </c>
    </row>
    <row r="1791" spans="1:8" x14ac:dyDescent="0.3">
      <c r="A1791">
        <v>2019</v>
      </c>
      <c r="B1791" t="s">
        <v>44</v>
      </c>
      <c r="C1791" t="s">
        <v>267</v>
      </c>
      <c r="D1791" t="s">
        <v>268</v>
      </c>
      <c r="E1791" t="s">
        <v>206</v>
      </c>
      <c r="F1791" t="s">
        <v>207</v>
      </c>
      <c r="G1791" t="s">
        <v>202</v>
      </c>
      <c r="H1791">
        <v>7</v>
      </c>
    </row>
    <row r="1792" spans="1:8" x14ac:dyDescent="0.3">
      <c r="A1792">
        <v>2019</v>
      </c>
      <c r="B1792" t="s">
        <v>53</v>
      </c>
      <c r="C1792" t="s">
        <v>267</v>
      </c>
      <c r="D1792" t="s">
        <v>268</v>
      </c>
      <c r="E1792" t="s">
        <v>1</v>
      </c>
      <c r="F1792" t="s">
        <v>207</v>
      </c>
      <c r="G1792" t="s">
        <v>202</v>
      </c>
      <c r="H1792">
        <v>0</v>
      </c>
    </row>
    <row r="1793" spans="1:8" x14ac:dyDescent="0.3">
      <c r="A1793">
        <v>2019</v>
      </c>
      <c r="B1793" t="s">
        <v>53</v>
      </c>
      <c r="C1793" t="s">
        <v>267</v>
      </c>
      <c r="D1793" t="s">
        <v>268</v>
      </c>
      <c r="E1793" t="s">
        <v>203</v>
      </c>
      <c r="F1793" t="s">
        <v>207</v>
      </c>
      <c r="G1793" t="s">
        <v>202</v>
      </c>
      <c r="H1793">
        <v>0</v>
      </c>
    </row>
    <row r="1794" spans="1:8" x14ac:dyDescent="0.3">
      <c r="A1794">
        <v>2019</v>
      </c>
      <c r="B1794" t="s">
        <v>53</v>
      </c>
      <c r="C1794" t="s">
        <v>267</v>
      </c>
      <c r="D1794" t="s">
        <v>268</v>
      </c>
      <c r="E1794" t="s">
        <v>204</v>
      </c>
      <c r="F1794" t="s">
        <v>207</v>
      </c>
      <c r="G1794" t="s">
        <v>202</v>
      </c>
      <c r="H1794">
        <v>0</v>
      </c>
    </row>
    <row r="1795" spans="1:8" x14ac:dyDescent="0.3">
      <c r="A1795">
        <v>2019</v>
      </c>
      <c r="B1795" t="s">
        <v>53</v>
      </c>
      <c r="C1795" t="s">
        <v>267</v>
      </c>
      <c r="D1795" t="s">
        <v>268</v>
      </c>
      <c r="E1795" t="s">
        <v>205</v>
      </c>
      <c r="F1795" t="s">
        <v>207</v>
      </c>
      <c r="G1795" t="s">
        <v>202</v>
      </c>
      <c r="H1795">
        <v>0</v>
      </c>
    </row>
    <row r="1796" spans="1:8" x14ac:dyDescent="0.3">
      <c r="A1796">
        <v>2019</v>
      </c>
      <c r="B1796" t="s">
        <v>53</v>
      </c>
      <c r="C1796" t="s">
        <v>267</v>
      </c>
      <c r="D1796" t="s">
        <v>268</v>
      </c>
      <c r="E1796" t="s">
        <v>206</v>
      </c>
      <c r="F1796" t="s">
        <v>207</v>
      </c>
      <c r="G1796" t="s">
        <v>202</v>
      </c>
      <c r="H1796">
        <v>0</v>
      </c>
    </row>
    <row r="1797" spans="1:8" x14ac:dyDescent="0.3">
      <c r="A1797">
        <v>2019</v>
      </c>
      <c r="B1797" t="s">
        <v>197</v>
      </c>
      <c r="C1797" t="s">
        <v>267</v>
      </c>
      <c r="D1797" t="s">
        <v>268</v>
      </c>
      <c r="E1797" t="s">
        <v>1</v>
      </c>
      <c r="F1797" t="s">
        <v>207</v>
      </c>
      <c r="G1797" t="s">
        <v>202</v>
      </c>
      <c r="H1797">
        <v>7</v>
      </c>
    </row>
    <row r="1798" spans="1:8" x14ac:dyDescent="0.3">
      <c r="A1798">
        <v>2019</v>
      </c>
      <c r="B1798" t="s">
        <v>197</v>
      </c>
      <c r="C1798" t="s">
        <v>267</v>
      </c>
      <c r="D1798" t="s">
        <v>268</v>
      </c>
      <c r="E1798" t="s">
        <v>203</v>
      </c>
      <c r="F1798" t="s">
        <v>207</v>
      </c>
      <c r="G1798" t="s">
        <v>202</v>
      </c>
      <c r="H1798">
        <v>2</v>
      </c>
    </row>
    <row r="1799" spans="1:8" x14ac:dyDescent="0.3">
      <c r="A1799">
        <v>2019</v>
      </c>
      <c r="B1799" t="s">
        <v>197</v>
      </c>
      <c r="C1799" t="s">
        <v>267</v>
      </c>
      <c r="D1799" t="s">
        <v>268</v>
      </c>
      <c r="E1799" t="s">
        <v>204</v>
      </c>
      <c r="F1799" t="s">
        <v>207</v>
      </c>
      <c r="G1799" t="s">
        <v>202</v>
      </c>
      <c r="H1799">
        <v>0</v>
      </c>
    </row>
    <row r="1800" spans="1:8" x14ac:dyDescent="0.3">
      <c r="A1800">
        <v>2019</v>
      </c>
      <c r="B1800" t="s">
        <v>197</v>
      </c>
      <c r="C1800" t="s">
        <v>267</v>
      </c>
      <c r="D1800" t="s">
        <v>268</v>
      </c>
      <c r="E1800" t="s">
        <v>205</v>
      </c>
      <c r="F1800" t="s">
        <v>207</v>
      </c>
      <c r="G1800" t="s">
        <v>202</v>
      </c>
      <c r="H1800">
        <v>0</v>
      </c>
    </row>
    <row r="1801" spans="1:8" x14ac:dyDescent="0.3">
      <c r="A1801">
        <v>2019</v>
      </c>
      <c r="B1801" t="s">
        <v>197</v>
      </c>
      <c r="C1801" t="s">
        <v>267</v>
      </c>
      <c r="D1801" t="s">
        <v>268</v>
      </c>
      <c r="E1801" t="s">
        <v>206</v>
      </c>
      <c r="F1801" t="s">
        <v>207</v>
      </c>
      <c r="G1801" t="s">
        <v>202</v>
      </c>
      <c r="H1801">
        <v>15</v>
      </c>
    </row>
    <row r="1802" spans="1:8" x14ac:dyDescent="0.3">
      <c r="A1802">
        <v>2019</v>
      </c>
      <c r="B1802" t="s">
        <v>8</v>
      </c>
      <c r="C1802" t="s">
        <v>267</v>
      </c>
      <c r="D1802" t="s">
        <v>268</v>
      </c>
      <c r="E1802" t="s">
        <v>1</v>
      </c>
      <c r="F1802" t="s">
        <v>208</v>
      </c>
      <c r="G1802" t="s">
        <v>201</v>
      </c>
      <c r="H1802">
        <v>1</v>
      </c>
    </row>
    <row r="1803" spans="1:8" x14ac:dyDescent="0.3">
      <c r="A1803">
        <v>2019</v>
      </c>
      <c r="B1803" t="s">
        <v>8</v>
      </c>
      <c r="C1803" t="s">
        <v>267</v>
      </c>
      <c r="D1803" t="s">
        <v>268</v>
      </c>
      <c r="E1803" t="s">
        <v>203</v>
      </c>
      <c r="F1803" t="s">
        <v>208</v>
      </c>
      <c r="G1803" t="s">
        <v>201</v>
      </c>
      <c r="H1803">
        <v>0</v>
      </c>
    </row>
    <row r="1804" spans="1:8" x14ac:dyDescent="0.3">
      <c r="A1804">
        <v>2019</v>
      </c>
      <c r="B1804" t="s">
        <v>8</v>
      </c>
      <c r="C1804" t="s">
        <v>267</v>
      </c>
      <c r="D1804" t="s">
        <v>268</v>
      </c>
      <c r="E1804" t="s">
        <v>204</v>
      </c>
      <c r="F1804" t="s">
        <v>208</v>
      </c>
      <c r="G1804" t="s">
        <v>201</v>
      </c>
      <c r="H1804">
        <v>0</v>
      </c>
    </row>
    <row r="1805" spans="1:8" x14ac:dyDescent="0.3">
      <c r="A1805">
        <v>2019</v>
      </c>
      <c r="B1805" t="s">
        <v>8</v>
      </c>
      <c r="C1805" t="s">
        <v>267</v>
      </c>
      <c r="D1805" t="s">
        <v>268</v>
      </c>
      <c r="E1805" t="s">
        <v>205</v>
      </c>
      <c r="F1805" t="s">
        <v>208</v>
      </c>
      <c r="G1805" t="s">
        <v>201</v>
      </c>
      <c r="H1805">
        <v>0</v>
      </c>
    </row>
    <row r="1806" spans="1:8" x14ac:dyDescent="0.3">
      <c r="A1806">
        <v>2019</v>
      </c>
      <c r="B1806" t="s">
        <v>8</v>
      </c>
      <c r="C1806" t="s">
        <v>267</v>
      </c>
      <c r="D1806" t="s">
        <v>268</v>
      </c>
      <c r="E1806" t="s">
        <v>206</v>
      </c>
      <c r="F1806" t="s">
        <v>208</v>
      </c>
      <c r="G1806" t="s">
        <v>201</v>
      </c>
      <c r="H1806">
        <v>0</v>
      </c>
    </row>
    <row r="1807" spans="1:8" x14ac:dyDescent="0.3">
      <c r="A1807">
        <v>2019</v>
      </c>
      <c r="B1807" t="s">
        <v>9</v>
      </c>
      <c r="C1807" t="s">
        <v>267</v>
      </c>
      <c r="D1807" t="s">
        <v>268</v>
      </c>
      <c r="E1807" t="s">
        <v>1</v>
      </c>
      <c r="F1807" t="s">
        <v>208</v>
      </c>
      <c r="G1807" t="s">
        <v>201</v>
      </c>
      <c r="H1807">
        <v>7</v>
      </c>
    </row>
    <row r="1808" spans="1:8" x14ac:dyDescent="0.3">
      <c r="A1808">
        <v>2019</v>
      </c>
      <c r="B1808" t="s">
        <v>9</v>
      </c>
      <c r="C1808" t="s">
        <v>267</v>
      </c>
      <c r="D1808" t="s">
        <v>268</v>
      </c>
      <c r="E1808" t="s">
        <v>203</v>
      </c>
      <c r="F1808" t="s">
        <v>208</v>
      </c>
      <c r="G1808" t="s">
        <v>201</v>
      </c>
      <c r="H1808">
        <v>1</v>
      </c>
    </row>
    <row r="1809" spans="1:8" x14ac:dyDescent="0.3">
      <c r="A1809">
        <v>2019</v>
      </c>
      <c r="B1809" t="s">
        <v>9</v>
      </c>
      <c r="C1809" t="s">
        <v>267</v>
      </c>
      <c r="D1809" t="s">
        <v>268</v>
      </c>
      <c r="E1809" t="s">
        <v>204</v>
      </c>
      <c r="F1809" t="s">
        <v>208</v>
      </c>
      <c r="G1809" t="s">
        <v>201</v>
      </c>
      <c r="H1809">
        <v>0</v>
      </c>
    </row>
    <row r="1810" spans="1:8" x14ac:dyDescent="0.3">
      <c r="A1810">
        <v>2019</v>
      </c>
      <c r="B1810" t="s">
        <v>9</v>
      </c>
      <c r="C1810" t="s">
        <v>267</v>
      </c>
      <c r="D1810" t="s">
        <v>268</v>
      </c>
      <c r="E1810" t="s">
        <v>205</v>
      </c>
      <c r="F1810" t="s">
        <v>208</v>
      </c>
      <c r="G1810" t="s">
        <v>201</v>
      </c>
    </row>
    <row r="1811" spans="1:8" x14ac:dyDescent="0.3">
      <c r="A1811">
        <v>2019</v>
      </c>
      <c r="B1811" t="s">
        <v>9</v>
      </c>
      <c r="C1811" t="s">
        <v>267</v>
      </c>
      <c r="D1811" t="s">
        <v>268</v>
      </c>
      <c r="E1811" t="s">
        <v>206</v>
      </c>
      <c r="F1811" t="s">
        <v>208</v>
      </c>
      <c r="G1811" t="s">
        <v>201</v>
      </c>
      <c r="H1811">
        <v>26</v>
      </c>
    </row>
    <row r="1812" spans="1:8" x14ac:dyDescent="0.3">
      <c r="A1812">
        <v>2019</v>
      </c>
      <c r="B1812" t="s">
        <v>10</v>
      </c>
      <c r="C1812" t="s">
        <v>267</v>
      </c>
      <c r="D1812" t="s">
        <v>268</v>
      </c>
      <c r="E1812" t="s">
        <v>1</v>
      </c>
      <c r="F1812" t="s">
        <v>208</v>
      </c>
      <c r="G1812" t="s">
        <v>201</v>
      </c>
      <c r="H1812">
        <v>5</v>
      </c>
    </row>
    <row r="1813" spans="1:8" x14ac:dyDescent="0.3">
      <c r="A1813">
        <v>2019</v>
      </c>
      <c r="B1813" t="s">
        <v>10</v>
      </c>
      <c r="C1813" t="s">
        <v>267</v>
      </c>
      <c r="D1813" t="s">
        <v>268</v>
      </c>
      <c r="E1813" t="s">
        <v>203</v>
      </c>
      <c r="F1813" t="s">
        <v>208</v>
      </c>
      <c r="G1813" t="s">
        <v>201</v>
      </c>
      <c r="H1813">
        <v>0</v>
      </c>
    </row>
    <row r="1814" spans="1:8" x14ac:dyDescent="0.3">
      <c r="A1814">
        <v>2019</v>
      </c>
      <c r="B1814" t="s">
        <v>10</v>
      </c>
      <c r="C1814" t="s">
        <v>267</v>
      </c>
      <c r="D1814" t="s">
        <v>268</v>
      </c>
      <c r="E1814" t="s">
        <v>204</v>
      </c>
      <c r="F1814" t="s">
        <v>208</v>
      </c>
      <c r="G1814" t="s">
        <v>201</v>
      </c>
      <c r="H1814">
        <v>1</v>
      </c>
    </row>
    <row r="1815" spans="1:8" x14ac:dyDescent="0.3">
      <c r="A1815">
        <v>2019</v>
      </c>
      <c r="B1815" t="s">
        <v>10</v>
      </c>
      <c r="C1815" t="s">
        <v>267</v>
      </c>
      <c r="D1815" t="s">
        <v>268</v>
      </c>
      <c r="E1815" t="s">
        <v>205</v>
      </c>
      <c r="F1815" t="s">
        <v>208</v>
      </c>
      <c r="G1815" t="s">
        <v>201</v>
      </c>
      <c r="H1815">
        <v>0</v>
      </c>
    </row>
    <row r="1816" spans="1:8" x14ac:dyDescent="0.3">
      <c r="A1816">
        <v>2019</v>
      </c>
      <c r="B1816" t="s">
        <v>10</v>
      </c>
      <c r="C1816" t="s">
        <v>267</v>
      </c>
      <c r="D1816" t="s">
        <v>268</v>
      </c>
      <c r="E1816" t="s">
        <v>206</v>
      </c>
      <c r="F1816" t="s">
        <v>208</v>
      </c>
      <c r="G1816" t="s">
        <v>201</v>
      </c>
      <c r="H1816">
        <v>21</v>
      </c>
    </row>
    <row r="1817" spans="1:8" x14ac:dyDescent="0.3">
      <c r="A1817">
        <v>2019</v>
      </c>
      <c r="B1817" t="s">
        <v>11</v>
      </c>
      <c r="C1817" t="s">
        <v>267</v>
      </c>
      <c r="D1817" t="s">
        <v>268</v>
      </c>
      <c r="E1817" t="s">
        <v>1</v>
      </c>
      <c r="F1817" t="s">
        <v>208</v>
      </c>
      <c r="G1817" t="s">
        <v>201</v>
      </c>
      <c r="H1817">
        <v>2</v>
      </c>
    </row>
    <row r="1818" spans="1:8" x14ac:dyDescent="0.3">
      <c r="A1818">
        <v>2019</v>
      </c>
      <c r="B1818" t="s">
        <v>11</v>
      </c>
      <c r="C1818" t="s">
        <v>267</v>
      </c>
      <c r="D1818" t="s">
        <v>268</v>
      </c>
      <c r="E1818" t="s">
        <v>203</v>
      </c>
      <c r="F1818" t="s">
        <v>208</v>
      </c>
      <c r="G1818" t="s">
        <v>201</v>
      </c>
      <c r="H1818">
        <v>1</v>
      </c>
    </row>
    <row r="1819" spans="1:8" x14ac:dyDescent="0.3">
      <c r="A1819">
        <v>2019</v>
      </c>
      <c r="B1819" t="s">
        <v>11</v>
      </c>
      <c r="C1819" t="s">
        <v>267</v>
      </c>
      <c r="D1819" t="s">
        <v>268</v>
      </c>
      <c r="E1819" t="s">
        <v>204</v>
      </c>
      <c r="F1819" t="s">
        <v>208</v>
      </c>
      <c r="G1819" t="s">
        <v>201</v>
      </c>
      <c r="H1819">
        <v>0</v>
      </c>
    </row>
    <row r="1820" spans="1:8" x14ac:dyDescent="0.3">
      <c r="A1820">
        <v>2019</v>
      </c>
      <c r="B1820" t="s">
        <v>11</v>
      </c>
      <c r="C1820" t="s">
        <v>267</v>
      </c>
      <c r="D1820" t="s">
        <v>268</v>
      </c>
      <c r="E1820" t="s">
        <v>205</v>
      </c>
      <c r="F1820" t="s">
        <v>208</v>
      </c>
      <c r="G1820" t="s">
        <v>201</v>
      </c>
      <c r="H1820">
        <v>0</v>
      </c>
    </row>
    <row r="1821" spans="1:8" x14ac:dyDescent="0.3">
      <c r="A1821">
        <v>2019</v>
      </c>
      <c r="B1821" t="s">
        <v>11</v>
      </c>
      <c r="C1821" t="s">
        <v>267</v>
      </c>
      <c r="D1821" t="s">
        <v>268</v>
      </c>
      <c r="E1821" t="s">
        <v>206</v>
      </c>
      <c r="F1821" t="s">
        <v>208</v>
      </c>
      <c r="G1821" t="s">
        <v>201</v>
      </c>
      <c r="H1821">
        <v>7.5</v>
      </c>
    </row>
    <row r="1822" spans="1:8" x14ac:dyDescent="0.3">
      <c r="A1822">
        <v>2019</v>
      </c>
      <c r="B1822" t="s">
        <v>12</v>
      </c>
      <c r="C1822" t="s">
        <v>267</v>
      </c>
      <c r="D1822" t="s">
        <v>268</v>
      </c>
      <c r="E1822" t="s">
        <v>1</v>
      </c>
      <c r="F1822" t="s">
        <v>208</v>
      </c>
      <c r="G1822" t="s">
        <v>201</v>
      </c>
    </row>
    <row r="1823" spans="1:8" x14ac:dyDescent="0.3">
      <c r="A1823">
        <v>2019</v>
      </c>
      <c r="B1823" t="s">
        <v>12</v>
      </c>
      <c r="C1823" t="s">
        <v>267</v>
      </c>
      <c r="D1823" t="s">
        <v>268</v>
      </c>
      <c r="E1823" t="s">
        <v>203</v>
      </c>
      <c r="F1823" t="s">
        <v>208</v>
      </c>
      <c r="G1823" t="s">
        <v>201</v>
      </c>
    </row>
    <row r="1824" spans="1:8" x14ac:dyDescent="0.3">
      <c r="A1824">
        <v>2019</v>
      </c>
      <c r="B1824" t="s">
        <v>12</v>
      </c>
      <c r="C1824" t="s">
        <v>267</v>
      </c>
      <c r="D1824" t="s">
        <v>268</v>
      </c>
      <c r="E1824" t="s">
        <v>204</v>
      </c>
      <c r="F1824" t="s">
        <v>208</v>
      </c>
      <c r="G1824" t="s">
        <v>201</v>
      </c>
    </row>
    <row r="1825" spans="1:8" x14ac:dyDescent="0.3">
      <c r="A1825">
        <v>2019</v>
      </c>
      <c r="B1825" t="s">
        <v>12</v>
      </c>
      <c r="C1825" t="s">
        <v>267</v>
      </c>
      <c r="D1825" t="s">
        <v>268</v>
      </c>
      <c r="E1825" t="s">
        <v>205</v>
      </c>
      <c r="F1825" t="s">
        <v>208</v>
      </c>
      <c r="G1825" t="s">
        <v>201</v>
      </c>
    </row>
    <row r="1826" spans="1:8" x14ac:dyDescent="0.3">
      <c r="A1826">
        <v>2019</v>
      </c>
      <c r="B1826" t="s">
        <v>12</v>
      </c>
      <c r="C1826" t="s">
        <v>267</v>
      </c>
      <c r="D1826" t="s">
        <v>268</v>
      </c>
      <c r="E1826" t="s">
        <v>206</v>
      </c>
      <c r="F1826" t="s">
        <v>208</v>
      </c>
      <c r="G1826" t="s">
        <v>201</v>
      </c>
    </row>
    <row r="1827" spans="1:8" x14ac:dyDescent="0.3">
      <c r="A1827">
        <v>2019</v>
      </c>
      <c r="B1827" t="s">
        <v>13</v>
      </c>
      <c r="C1827" t="s">
        <v>267</v>
      </c>
      <c r="D1827" t="s">
        <v>268</v>
      </c>
      <c r="E1827" t="s">
        <v>1</v>
      </c>
      <c r="F1827" t="s">
        <v>208</v>
      </c>
      <c r="G1827" t="s">
        <v>201</v>
      </c>
      <c r="H1827">
        <v>0</v>
      </c>
    </row>
    <row r="1828" spans="1:8" x14ac:dyDescent="0.3">
      <c r="A1828">
        <v>2019</v>
      </c>
      <c r="B1828" t="s">
        <v>13</v>
      </c>
      <c r="C1828" t="s">
        <v>267</v>
      </c>
      <c r="D1828" t="s">
        <v>268</v>
      </c>
      <c r="E1828" t="s">
        <v>203</v>
      </c>
      <c r="F1828" t="s">
        <v>208</v>
      </c>
      <c r="G1828" t="s">
        <v>201</v>
      </c>
      <c r="H1828">
        <v>0</v>
      </c>
    </row>
    <row r="1829" spans="1:8" x14ac:dyDescent="0.3">
      <c r="A1829">
        <v>2019</v>
      </c>
      <c r="B1829" t="s">
        <v>13</v>
      </c>
      <c r="C1829" t="s">
        <v>267</v>
      </c>
      <c r="D1829" t="s">
        <v>268</v>
      </c>
      <c r="E1829" t="s">
        <v>204</v>
      </c>
      <c r="F1829" t="s">
        <v>208</v>
      </c>
      <c r="G1829" t="s">
        <v>201</v>
      </c>
      <c r="H1829">
        <v>0</v>
      </c>
    </row>
    <row r="1830" spans="1:8" x14ac:dyDescent="0.3">
      <c r="A1830">
        <v>2019</v>
      </c>
      <c r="B1830" t="s">
        <v>13</v>
      </c>
      <c r="C1830" t="s">
        <v>267</v>
      </c>
      <c r="D1830" t="s">
        <v>268</v>
      </c>
      <c r="E1830" t="s">
        <v>205</v>
      </c>
      <c r="F1830" t="s">
        <v>208</v>
      </c>
      <c r="G1830" t="s">
        <v>201</v>
      </c>
      <c r="H1830">
        <v>0</v>
      </c>
    </row>
    <row r="1831" spans="1:8" x14ac:dyDescent="0.3">
      <c r="A1831">
        <v>2019</v>
      </c>
      <c r="B1831" t="s">
        <v>13</v>
      </c>
      <c r="C1831" t="s">
        <v>267</v>
      </c>
      <c r="D1831" t="s">
        <v>268</v>
      </c>
      <c r="E1831" t="s">
        <v>206</v>
      </c>
      <c r="F1831" t="s">
        <v>208</v>
      </c>
      <c r="G1831" t="s">
        <v>201</v>
      </c>
      <c r="H1831">
        <v>0</v>
      </c>
    </row>
    <row r="1832" spans="1:8" x14ac:dyDescent="0.3">
      <c r="A1832">
        <v>2019</v>
      </c>
      <c r="B1832" t="s">
        <v>14</v>
      </c>
      <c r="C1832" t="s">
        <v>267</v>
      </c>
      <c r="D1832" t="s">
        <v>268</v>
      </c>
      <c r="E1832" t="s">
        <v>1</v>
      </c>
      <c r="F1832" t="s">
        <v>208</v>
      </c>
      <c r="G1832" t="s">
        <v>201</v>
      </c>
      <c r="H1832">
        <v>0</v>
      </c>
    </row>
    <row r="1833" spans="1:8" x14ac:dyDescent="0.3">
      <c r="A1833">
        <v>2019</v>
      </c>
      <c r="B1833" t="s">
        <v>14</v>
      </c>
      <c r="C1833" t="s">
        <v>267</v>
      </c>
      <c r="D1833" t="s">
        <v>268</v>
      </c>
      <c r="E1833" t="s">
        <v>203</v>
      </c>
      <c r="F1833" t="s">
        <v>208</v>
      </c>
      <c r="G1833" t="s">
        <v>201</v>
      </c>
      <c r="H1833">
        <v>0</v>
      </c>
    </row>
    <row r="1834" spans="1:8" x14ac:dyDescent="0.3">
      <c r="A1834">
        <v>2019</v>
      </c>
      <c r="B1834" t="s">
        <v>14</v>
      </c>
      <c r="C1834" t="s">
        <v>267</v>
      </c>
      <c r="D1834" t="s">
        <v>268</v>
      </c>
      <c r="E1834" t="s">
        <v>204</v>
      </c>
      <c r="F1834" t="s">
        <v>208</v>
      </c>
      <c r="G1834" t="s">
        <v>201</v>
      </c>
      <c r="H1834">
        <v>0</v>
      </c>
    </row>
    <row r="1835" spans="1:8" x14ac:dyDescent="0.3">
      <c r="A1835">
        <v>2019</v>
      </c>
      <c r="B1835" t="s">
        <v>14</v>
      </c>
      <c r="C1835" t="s">
        <v>267</v>
      </c>
      <c r="D1835" t="s">
        <v>268</v>
      </c>
      <c r="E1835" t="s">
        <v>205</v>
      </c>
      <c r="F1835" t="s">
        <v>208</v>
      </c>
      <c r="G1835" t="s">
        <v>201</v>
      </c>
      <c r="H1835">
        <v>0</v>
      </c>
    </row>
    <row r="1836" spans="1:8" x14ac:dyDescent="0.3">
      <c r="A1836">
        <v>2019</v>
      </c>
      <c r="B1836" t="s">
        <v>14</v>
      </c>
      <c r="C1836" t="s">
        <v>267</v>
      </c>
      <c r="D1836" t="s">
        <v>268</v>
      </c>
      <c r="E1836" t="s">
        <v>206</v>
      </c>
      <c r="F1836" t="s">
        <v>208</v>
      </c>
      <c r="G1836" t="s">
        <v>201</v>
      </c>
      <c r="H1836">
        <v>0</v>
      </c>
    </row>
    <row r="1837" spans="1:8" x14ac:dyDescent="0.3">
      <c r="A1837">
        <v>2019</v>
      </c>
      <c r="B1837" t="s">
        <v>15</v>
      </c>
      <c r="C1837" t="s">
        <v>267</v>
      </c>
      <c r="D1837" t="s">
        <v>268</v>
      </c>
      <c r="E1837" t="s">
        <v>1</v>
      </c>
      <c r="F1837" t="s">
        <v>208</v>
      </c>
      <c r="G1837" t="s">
        <v>201</v>
      </c>
      <c r="H1837">
        <v>1</v>
      </c>
    </row>
    <row r="1838" spans="1:8" x14ac:dyDescent="0.3">
      <c r="A1838">
        <v>2019</v>
      </c>
      <c r="B1838" t="s">
        <v>15</v>
      </c>
      <c r="C1838" t="s">
        <v>267</v>
      </c>
      <c r="D1838" t="s">
        <v>268</v>
      </c>
      <c r="E1838" t="s">
        <v>203</v>
      </c>
      <c r="F1838" t="s">
        <v>208</v>
      </c>
      <c r="G1838" t="s">
        <v>201</v>
      </c>
      <c r="H1838">
        <v>0</v>
      </c>
    </row>
    <row r="1839" spans="1:8" x14ac:dyDescent="0.3">
      <c r="A1839">
        <v>2019</v>
      </c>
      <c r="B1839" t="s">
        <v>15</v>
      </c>
      <c r="C1839" t="s">
        <v>267</v>
      </c>
      <c r="D1839" t="s">
        <v>268</v>
      </c>
      <c r="E1839" t="s">
        <v>204</v>
      </c>
      <c r="F1839" t="s">
        <v>208</v>
      </c>
      <c r="G1839" t="s">
        <v>201</v>
      </c>
      <c r="H1839">
        <v>0</v>
      </c>
    </row>
    <row r="1840" spans="1:8" x14ac:dyDescent="0.3">
      <c r="A1840">
        <v>2019</v>
      </c>
      <c r="B1840" t="s">
        <v>15</v>
      </c>
      <c r="C1840" t="s">
        <v>267</v>
      </c>
      <c r="D1840" t="s">
        <v>268</v>
      </c>
      <c r="E1840" t="s">
        <v>205</v>
      </c>
      <c r="F1840" t="s">
        <v>208</v>
      </c>
      <c r="G1840" t="s">
        <v>201</v>
      </c>
      <c r="H1840">
        <v>0</v>
      </c>
    </row>
    <row r="1841" spans="1:8" x14ac:dyDescent="0.3">
      <c r="A1841">
        <v>2019</v>
      </c>
      <c r="B1841" t="s">
        <v>15</v>
      </c>
      <c r="C1841" t="s">
        <v>267</v>
      </c>
      <c r="D1841" t="s">
        <v>268</v>
      </c>
      <c r="E1841" t="s">
        <v>206</v>
      </c>
      <c r="F1841" t="s">
        <v>208</v>
      </c>
      <c r="G1841" t="s">
        <v>201</v>
      </c>
    </row>
    <row r="1842" spans="1:8" x14ac:dyDescent="0.3">
      <c r="A1842">
        <v>2019</v>
      </c>
      <c r="B1842" t="s">
        <v>16</v>
      </c>
      <c r="C1842" t="s">
        <v>267</v>
      </c>
      <c r="D1842" t="s">
        <v>268</v>
      </c>
      <c r="E1842" t="s">
        <v>1</v>
      </c>
      <c r="F1842" t="s">
        <v>208</v>
      </c>
      <c r="G1842" t="s">
        <v>201</v>
      </c>
      <c r="H1842">
        <v>0</v>
      </c>
    </row>
    <row r="1843" spans="1:8" x14ac:dyDescent="0.3">
      <c r="A1843">
        <v>2019</v>
      </c>
      <c r="B1843" t="s">
        <v>16</v>
      </c>
      <c r="C1843" t="s">
        <v>267</v>
      </c>
      <c r="D1843" t="s">
        <v>268</v>
      </c>
      <c r="E1843" t="s">
        <v>203</v>
      </c>
      <c r="F1843" t="s">
        <v>208</v>
      </c>
      <c r="G1843" t="s">
        <v>201</v>
      </c>
      <c r="H1843">
        <v>0</v>
      </c>
    </row>
    <row r="1844" spans="1:8" x14ac:dyDescent="0.3">
      <c r="A1844">
        <v>2019</v>
      </c>
      <c r="B1844" t="s">
        <v>16</v>
      </c>
      <c r="C1844" t="s">
        <v>267</v>
      </c>
      <c r="D1844" t="s">
        <v>268</v>
      </c>
      <c r="E1844" t="s">
        <v>204</v>
      </c>
      <c r="F1844" t="s">
        <v>208</v>
      </c>
      <c r="G1844" t="s">
        <v>201</v>
      </c>
      <c r="H1844">
        <v>0</v>
      </c>
    </row>
    <row r="1845" spans="1:8" x14ac:dyDescent="0.3">
      <c r="A1845">
        <v>2019</v>
      </c>
      <c r="B1845" t="s">
        <v>16</v>
      </c>
      <c r="C1845" t="s">
        <v>267</v>
      </c>
      <c r="D1845" t="s">
        <v>268</v>
      </c>
      <c r="E1845" t="s">
        <v>205</v>
      </c>
      <c r="F1845" t="s">
        <v>208</v>
      </c>
      <c r="G1845" t="s">
        <v>201</v>
      </c>
      <c r="H1845">
        <v>0</v>
      </c>
    </row>
    <row r="1846" spans="1:8" x14ac:dyDescent="0.3">
      <c r="A1846">
        <v>2019</v>
      </c>
      <c r="B1846" t="s">
        <v>16</v>
      </c>
      <c r="C1846" t="s">
        <v>267</v>
      </c>
      <c r="D1846" t="s">
        <v>268</v>
      </c>
      <c r="E1846" t="s">
        <v>206</v>
      </c>
      <c r="F1846" t="s">
        <v>208</v>
      </c>
      <c r="G1846" t="s">
        <v>201</v>
      </c>
      <c r="H1846">
        <v>0</v>
      </c>
    </row>
    <row r="1847" spans="1:8" x14ac:dyDescent="0.3">
      <c r="A1847">
        <v>2019</v>
      </c>
      <c r="B1847" t="s">
        <v>17</v>
      </c>
      <c r="C1847" t="s">
        <v>267</v>
      </c>
      <c r="D1847" t="s">
        <v>268</v>
      </c>
      <c r="E1847" t="s">
        <v>1</v>
      </c>
      <c r="F1847" t="s">
        <v>208</v>
      </c>
      <c r="G1847" t="s">
        <v>201</v>
      </c>
      <c r="H1847">
        <v>0</v>
      </c>
    </row>
    <row r="1848" spans="1:8" x14ac:dyDescent="0.3">
      <c r="A1848">
        <v>2019</v>
      </c>
      <c r="B1848" t="s">
        <v>17</v>
      </c>
      <c r="C1848" t="s">
        <v>267</v>
      </c>
      <c r="D1848" t="s">
        <v>268</v>
      </c>
      <c r="E1848" t="s">
        <v>203</v>
      </c>
      <c r="F1848" t="s">
        <v>208</v>
      </c>
      <c r="G1848" t="s">
        <v>201</v>
      </c>
      <c r="H1848">
        <v>0</v>
      </c>
    </row>
    <row r="1849" spans="1:8" x14ac:dyDescent="0.3">
      <c r="A1849">
        <v>2019</v>
      </c>
      <c r="B1849" t="s">
        <v>17</v>
      </c>
      <c r="C1849" t="s">
        <v>267</v>
      </c>
      <c r="D1849" t="s">
        <v>268</v>
      </c>
      <c r="E1849" t="s">
        <v>204</v>
      </c>
      <c r="F1849" t="s">
        <v>208</v>
      </c>
      <c r="G1849" t="s">
        <v>201</v>
      </c>
      <c r="H1849">
        <v>0</v>
      </c>
    </row>
    <row r="1850" spans="1:8" x14ac:dyDescent="0.3">
      <c r="A1850">
        <v>2019</v>
      </c>
      <c r="B1850" t="s">
        <v>17</v>
      </c>
      <c r="C1850" t="s">
        <v>267</v>
      </c>
      <c r="D1850" t="s">
        <v>268</v>
      </c>
      <c r="E1850" t="s">
        <v>205</v>
      </c>
      <c r="F1850" t="s">
        <v>208</v>
      </c>
      <c r="G1850" t="s">
        <v>201</v>
      </c>
      <c r="H1850">
        <v>0</v>
      </c>
    </row>
    <row r="1851" spans="1:8" x14ac:dyDescent="0.3">
      <c r="A1851">
        <v>2019</v>
      </c>
      <c r="B1851" t="s">
        <v>17</v>
      </c>
      <c r="C1851" t="s">
        <v>267</v>
      </c>
      <c r="D1851" t="s">
        <v>268</v>
      </c>
      <c r="E1851" t="s">
        <v>206</v>
      </c>
      <c r="F1851" t="s">
        <v>208</v>
      </c>
      <c r="G1851" t="s">
        <v>201</v>
      </c>
      <c r="H1851">
        <v>0</v>
      </c>
    </row>
    <row r="1852" spans="1:8" x14ac:dyDescent="0.3">
      <c r="A1852">
        <v>2019</v>
      </c>
      <c r="B1852" t="s">
        <v>163</v>
      </c>
      <c r="C1852" t="s">
        <v>267</v>
      </c>
      <c r="D1852" t="s">
        <v>268</v>
      </c>
      <c r="E1852" t="s">
        <v>1</v>
      </c>
      <c r="F1852" t="s">
        <v>208</v>
      </c>
      <c r="G1852" t="s">
        <v>201</v>
      </c>
      <c r="H1852">
        <v>2</v>
      </c>
    </row>
    <row r="1853" spans="1:8" x14ac:dyDescent="0.3">
      <c r="A1853">
        <v>2019</v>
      </c>
      <c r="B1853" t="s">
        <v>163</v>
      </c>
      <c r="C1853" t="s">
        <v>267</v>
      </c>
      <c r="D1853" t="s">
        <v>268</v>
      </c>
      <c r="E1853" t="s">
        <v>203</v>
      </c>
      <c r="F1853" t="s">
        <v>208</v>
      </c>
      <c r="G1853" t="s">
        <v>201</v>
      </c>
      <c r="H1853">
        <v>0</v>
      </c>
    </row>
    <row r="1854" spans="1:8" x14ac:dyDescent="0.3">
      <c r="A1854">
        <v>2019</v>
      </c>
      <c r="B1854" t="s">
        <v>163</v>
      </c>
      <c r="C1854" t="s">
        <v>267</v>
      </c>
      <c r="D1854" t="s">
        <v>268</v>
      </c>
      <c r="E1854" t="s">
        <v>204</v>
      </c>
      <c r="F1854" t="s">
        <v>208</v>
      </c>
      <c r="G1854" t="s">
        <v>201</v>
      </c>
      <c r="H1854">
        <v>0</v>
      </c>
    </row>
    <row r="1855" spans="1:8" x14ac:dyDescent="0.3">
      <c r="A1855">
        <v>2019</v>
      </c>
      <c r="B1855" t="s">
        <v>163</v>
      </c>
      <c r="C1855" t="s">
        <v>267</v>
      </c>
      <c r="D1855" t="s">
        <v>268</v>
      </c>
      <c r="E1855" t="s">
        <v>205</v>
      </c>
      <c r="F1855" t="s">
        <v>208</v>
      </c>
      <c r="G1855" t="s">
        <v>201</v>
      </c>
      <c r="H1855">
        <v>0</v>
      </c>
    </row>
    <row r="1856" spans="1:8" x14ac:dyDescent="0.3">
      <c r="A1856">
        <v>2019</v>
      </c>
      <c r="B1856" t="s">
        <v>163</v>
      </c>
      <c r="C1856" t="s">
        <v>267</v>
      </c>
      <c r="D1856" t="s">
        <v>268</v>
      </c>
      <c r="E1856" t="s">
        <v>206</v>
      </c>
      <c r="F1856" t="s">
        <v>208</v>
      </c>
      <c r="G1856" t="s">
        <v>201</v>
      </c>
      <c r="H1856">
        <v>4</v>
      </c>
    </row>
    <row r="1857" spans="1:8" x14ac:dyDescent="0.3">
      <c r="A1857">
        <v>2019</v>
      </c>
      <c r="B1857" t="s">
        <v>20</v>
      </c>
      <c r="C1857" t="s">
        <v>267</v>
      </c>
      <c r="D1857" t="s">
        <v>268</v>
      </c>
      <c r="E1857" t="s">
        <v>1</v>
      </c>
      <c r="F1857" t="s">
        <v>208</v>
      </c>
      <c r="G1857" t="s">
        <v>201</v>
      </c>
      <c r="H1857">
        <v>2</v>
      </c>
    </row>
    <row r="1858" spans="1:8" x14ac:dyDescent="0.3">
      <c r="A1858">
        <v>2019</v>
      </c>
      <c r="B1858" t="s">
        <v>20</v>
      </c>
      <c r="C1858" t="s">
        <v>267</v>
      </c>
      <c r="D1858" t="s">
        <v>268</v>
      </c>
      <c r="E1858" t="s">
        <v>203</v>
      </c>
      <c r="F1858" t="s">
        <v>208</v>
      </c>
      <c r="G1858" t="s">
        <v>201</v>
      </c>
      <c r="H1858">
        <v>0</v>
      </c>
    </row>
    <row r="1859" spans="1:8" x14ac:dyDescent="0.3">
      <c r="A1859">
        <v>2019</v>
      </c>
      <c r="B1859" t="s">
        <v>20</v>
      </c>
      <c r="C1859" t="s">
        <v>267</v>
      </c>
      <c r="D1859" t="s">
        <v>268</v>
      </c>
      <c r="E1859" t="s">
        <v>204</v>
      </c>
      <c r="F1859" t="s">
        <v>208</v>
      </c>
      <c r="G1859" t="s">
        <v>201</v>
      </c>
      <c r="H1859">
        <v>0</v>
      </c>
    </row>
    <row r="1860" spans="1:8" x14ac:dyDescent="0.3">
      <c r="A1860">
        <v>2019</v>
      </c>
      <c r="B1860" t="s">
        <v>20</v>
      </c>
      <c r="C1860" t="s">
        <v>267</v>
      </c>
      <c r="D1860" t="s">
        <v>268</v>
      </c>
      <c r="E1860" t="s">
        <v>205</v>
      </c>
      <c r="F1860" t="s">
        <v>208</v>
      </c>
      <c r="G1860" t="s">
        <v>201</v>
      </c>
      <c r="H1860">
        <v>0</v>
      </c>
    </row>
    <row r="1861" spans="1:8" x14ac:dyDescent="0.3">
      <c r="A1861">
        <v>2019</v>
      </c>
      <c r="B1861" t="s">
        <v>20</v>
      </c>
      <c r="C1861" t="s">
        <v>267</v>
      </c>
      <c r="D1861" t="s">
        <v>268</v>
      </c>
      <c r="E1861" t="s">
        <v>206</v>
      </c>
      <c r="F1861" t="s">
        <v>208</v>
      </c>
      <c r="G1861" t="s">
        <v>201</v>
      </c>
      <c r="H1861">
        <v>0.5</v>
      </c>
    </row>
    <row r="1862" spans="1:8" x14ac:dyDescent="0.3">
      <c r="A1862">
        <v>2019</v>
      </c>
      <c r="B1862" t="s">
        <v>21</v>
      </c>
      <c r="C1862" t="s">
        <v>267</v>
      </c>
      <c r="D1862" t="s">
        <v>268</v>
      </c>
      <c r="E1862" t="s">
        <v>1</v>
      </c>
      <c r="F1862" t="s">
        <v>208</v>
      </c>
      <c r="G1862" t="s">
        <v>201</v>
      </c>
      <c r="H1862">
        <v>1</v>
      </c>
    </row>
    <row r="1863" spans="1:8" x14ac:dyDescent="0.3">
      <c r="A1863">
        <v>2019</v>
      </c>
      <c r="B1863" t="s">
        <v>21</v>
      </c>
      <c r="C1863" t="s">
        <v>267</v>
      </c>
      <c r="D1863" t="s">
        <v>268</v>
      </c>
      <c r="E1863" t="s">
        <v>203</v>
      </c>
      <c r="F1863" t="s">
        <v>208</v>
      </c>
      <c r="G1863" t="s">
        <v>201</v>
      </c>
      <c r="H1863">
        <v>0</v>
      </c>
    </row>
    <row r="1864" spans="1:8" x14ac:dyDescent="0.3">
      <c r="A1864">
        <v>2019</v>
      </c>
      <c r="B1864" t="s">
        <v>21</v>
      </c>
      <c r="C1864" t="s">
        <v>267</v>
      </c>
      <c r="D1864" t="s">
        <v>268</v>
      </c>
      <c r="E1864" t="s">
        <v>204</v>
      </c>
      <c r="F1864" t="s">
        <v>208</v>
      </c>
      <c r="G1864" t="s">
        <v>201</v>
      </c>
      <c r="H1864">
        <v>0</v>
      </c>
    </row>
    <row r="1865" spans="1:8" x14ac:dyDescent="0.3">
      <c r="A1865">
        <v>2019</v>
      </c>
      <c r="B1865" t="s">
        <v>21</v>
      </c>
      <c r="C1865" t="s">
        <v>267</v>
      </c>
      <c r="D1865" t="s">
        <v>268</v>
      </c>
      <c r="E1865" t="s">
        <v>205</v>
      </c>
      <c r="F1865" t="s">
        <v>208</v>
      </c>
      <c r="G1865" t="s">
        <v>201</v>
      </c>
      <c r="H1865">
        <v>0</v>
      </c>
    </row>
    <row r="1866" spans="1:8" x14ac:dyDescent="0.3">
      <c r="A1866">
        <v>2019</v>
      </c>
      <c r="B1866" t="s">
        <v>21</v>
      </c>
      <c r="C1866" t="s">
        <v>267</v>
      </c>
      <c r="D1866" t="s">
        <v>268</v>
      </c>
      <c r="E1866" t="s">
        <v>206</v>
      </c>
      <c r="F1866" t="s">
        <v>208</v>
      </c>
      <c r="G1866" t="s">
        <v>201</v>
      </c>
      <c r="H1866">
        <v>4</v>
      </c>
    </row>
    <row r="1867" spans="1:8" x14ac:dyDescent="0.3">
      <c r="A1867">
        <v>2019</v>
      </c>
      <c r="B1867" t="s">
        <v>22</v>
      </c>
      <c r="C1867" t="s">
        <v>267</v>
      </c>
      <c r="D1867" t="s">
        <v>268</v>
      </c>
      <c r="E1867" t="s">
        <v>1</v>
      </c>
      <c r="F1867" t="s">
        <v>208</v>
      </c>
      <c r="G1867" t="s">
        <v>201</v>
      </c>
      <c r="H1867">
        <v>10</v>
      </c>
    </row>
    <row r="1868" spans="1:8" x14ac:dyDescent="0.3">
      <c r="A1868">
        <v>2019</v>
      </c>
      <c r="B1868" t="s">
        <v>22</v>
      </c>
      <c r="C1868" t="s">
        <v>267</v>
      </c>
      <c r="D1868" t="s">
        <v>268</v>
      </c>
      <c r="E1868" t="s">
        <v>203</v>
      </c>
      <c r="F1868" t="s">
        <v>208</v>
      </c>
      <c r="G1868" t="s">
        <v>201</v>
      </c>
      <c r="H1868">
        <v>5</v>
      </c>
    </row>
    <row r="1869" spans="1:8" x14ac:dyDescent="0.3">
      <c r="A1869">
        <v>2019</v>
      </c>
      <c r="B1869" t="s">
        <v>22</v>
      </c>
      <c r="C1869" t="s">
        <v>267</v>
      </c>
      <c r="D1869" t="s">
        <v>268</v>
      </c>
      <c r="E1869" t="s">
        <v>204</v>
      </c>
      <c r="F1869" t="s">
        <v>208</v>
      </c>
      <c r="G1869" t="s">
        <v>201</v>
      </c>
      <c r="H1869">
        <v>1</v>
      </c>
    </row>
    <row r="1870" spans="1:8" x14ac:dyDescent="0.3">
      <c r="A1870">
        <v>2019</v>
      </c>
      <c r="B1870" t="s">
        <v>22</v>
      </c>
      <c r="C1870" t="s">
        <v>267</v>
      </c>
      <c r="D1870" t="s">
        <v>268</v>
      </c>
      <c r="E1870" t="s">
        <v>205</v>
      </c>
      <c r="F1870" t="s">
        <v>208</v>
      </c>
      <c r="G1870" t="s">
        <v>201</v>
      </c>
      <c r="H1870">
        <v>0</v>
      </c>
    </row>
    <row r="1871" spans="1:8" x14ac:dyDescent="0.3">
      <c r="A1871">
        <v>2019</v>
      </c>
      <c r="B1871" t="s">
        <v>22</v>
      </c>
      <c r="C1871" t="s">
        <v>267</v>
      </c>
      <c r="D1871" t="s">
        <v>268</v>
      </c>
      <c r="E1871" t="s">
        <v>206</v>
      </c>
      <c r="F1871" t="s">
        <v>208</v>
      </c>
      <c r="G1871" t="s">
        <v>201</v>
      </c>
      <c r="H1871">
        <v>215</v>
      </c>
    </row>
    <row r="1872" spans="1:8" x14ac:dyDescent="0.3">
      <c r="A1872">
        <v>2019</v>
      </c>
      <c r="B1872" t="s">
        <v>23</v>
      </c>
      <c r="C1872" t="s">
        <v>267</v>
      </c>
      <c r="D1872" t="s">
        <v>268</v>
      </c>
      <c r="E1872" t="s">
        <v>1</v>
      </c>
      <c r="F1872" t="s">
        <v>208</v>
      </c>
      <c r="G1872" t="s">
        <v>201</v>
      </c>
      <c r="H1872">
        <v>0</v>
      </c>
    </row>
    <row r="1873" spans="1:8" x14ac:dyDescent="0.3">
      <c r="A1873">
        <v>2019</v>
      </c>
      <c r="B1873" t="s">
        <v>23</v>
      </c>
      <c r="C1873" t="s">
        <v>267</v>
      </c>
      <c r="D1873" t="s">
        <v>268</v>
      </c>
      <c r="E1873" t="s">
        <v>203</v>
      </c>
      <c r="F1873" t="s">
        <v>208</v>
      </c>
      <c r="G1873" t="s">
        <v>201</v>
      </c>
      <c r="H1873">
        <v>0</v>
      </c>
    </row>
    <row r="1874" spans="1:8" x14ac:dyDescent="0.3">
      <c r="A1874">
        <v>2019</v>
      </c>
      <c r="B1874" t="s">
        <v>23</v>
      </c>
      <c r="C1874" t="s">
        <v>267</v>
      </c>
      <c r="D1874" t="s">
        <v>268</v>
      </c>
      <c r="E1874" t="s">
        <v>204</v>
      </c>
      <c r="F1874" t="s">
        <v>208</v>
      </c>
      <c r="G1874" t="s">
        <v>201</v>
      </c>
      <c r="H1874">
        <v>0</v>
      </c>
    </row>
    <row r="1875" spans="1:8" x14ac:dyDescent="0.3">
      <c r="A1875">
        <v>2019</v>
      </c>
      <c r="B1875" t="s">
        <v>23</v>
      </c>
      <c r="C1875" t="s">
        <v>267</v>
      </c>
      <c r="D1875" t="s">
        <v>268</v>
      </c>
      <c r="E1875" t="s">
        <v>205</v>
      </c>
      <c r="F1875" t="s">
        <v>208</v>
      </c>
      <c r="G1875" t="s">
        <v>201</v>
      </c>
      <c r="H1875">
        <v>0</v>
      </c>
    </row>
    <row r="1876" spans="1:8" x14ac:dyDescent="0.3">
      <c r="A1876">
        <v>2019</v>
      </c>
      <c r="B1876" t="s">
        <v>23</v>
      </c>
      <c r="C1876" t="s">
        <v>267</v>
      </c>
      <c r="D1876" t="s">
        <v>268</v>
      </c>
      <c r="E1876" t="s">
        <v>206</v>
      </c>
      <c r="F1876" t="s">
        <v>208</v>
      </c>
      <c r="G1876" t="s">
        <v>201</v>
      </c>
      <c r="H1876">
        <v>0</v>
      </c>
    </row>
    <row r="1877" spans="1:8" x14ac:dyDescent="0.3">
      <c r="A1877">
        <v>2019</v>
      </c>
      <c r="B1877" t="s">
        <v>54</v>
      </c>
      <c r="C1877" t="s">
        <v>267</v>
      </c>
      <c r="D1877" t="s">
        <v>268</v>
      </c>
      <c r="E1877" t="s">
        <v>1</v>
      </c>
      <c r="F1877" t="s">
        <v>208</v>
      </c>
      <c r="G1877" t="s">
        <v>201</v>
      </c>
      <c r="H1877">
        <v>17</v>
      </c>
    </row>
    <row r="1878" spans="1:8" x14ac:dyDescent="0.3">
      <c r="A1878">
        <v>2019</v>
      </c>
      <c r="B1878" t="s">
        <v>54</v>
      </c>
      <c r="C1878" t="s">
        <v>267</v>
      </c>
      <c r="D1878" t="s">
        <v>268</v>
      </c>
      <c r="E1878" t="s">
        <v>203</v>
      </c>
      <c r="F1878" t="s">
        <v>208</v>
      </c>
      <c r="G1878" t="s">
        <v>201</v>
      </c>
      <c r="H1878">
        <v>2</v>
      </c>
    </row>
    <row r="1879" spans="1:8" x14ac:dyDescent="0.3">
      <c r="A1879">
        <v>2019</v>
      </c>
      <c r="B1879" t="s">
        <v>54</v>
      </c>
      <c r="C1879" t="s">
        <v>267</v>
      </c>
      <c r="D1879" t="s">
        <v>268</v>
      </c>
      <c r="E1879" t="s">
        <v>204</v>
      </c>
      <c r="F1879" t="s">
        <v>208</v>
      </c>
      <c r="G1879" t="s">
        <v>201</v>
      </c>
      <c r="H1879">
        <v>0</v>
      </c>
    </row>
    <row r="1880" spans="1:8" x14ac:dyDescent="0.3">
      <c r="A1880">
        <v>2019</v>
      </c>
      <c r="B1880" t="s">
        <v>54</v>
      </c>
      <c r="C1880" t="s">
        <v>267</v>
      </c>
      <c r="D1880" t="s">
        <v>268</v>
      </c>
      <c r="E1880" t="s">
        <v>205</v>
      </c>
      <c r="F1880" t="s">
        <v>208</v>
      </c>
      <c r="G1880" t="s">
        <v>201</v>
      </c>
      <c r="H1880">
        <v>0</v>
      </c>
    </row>
    <row r="1881" spans="1:8" x14ac:dyDescent="0.3">
      <c r="A1881">
        <v>2019</v>
      </c>
      <c r="B1881" t="s">
        <v>54</v>
      </c>
      <c r="C1881" t="s">
        <v>267</v>
      </c>
      <c r="D1881" t="s">
        <v>268</v>
      </c>
      <c r="E1881" t="s">
        <v>206</v>
      </c>
      <c r="F1881" t="s">
        <v>208</v>
      </c>
      <c r="G1881" t="s">
        <v>201</v>
      </c>
    </row>
    <row r="1882" spans="1:8" x14ac:dyDescent="0.3">
      <c r="A1882">
        <v>2019</v>
      </c>
      <c r="B1882" t="s">
        <v>48</v>
      </c>
      <c r="C1882" t="s">
        <v>267</v>
      </c>
      <c r="D1882" t="s">
        <v>268</v>
      </c>
      <c r="E1882" t="s">
        <v>1</v>
      </c>
      <c r="F1882" t="s">
        <v>208</v>
      </c>
      <c r="G1882" t="s">
        <v>201</v>
      </c>
      <c r="H1882">
        <v>3</v>
      </c>
    </row>
    <row r="1883" spans="1:8" x14ac:dyDescent="0.3">
      <c r="A1883">
        <v>2019</v>
      </c>
      <c r="B1883" t="s">
        <v>48</v>
      </c>
      <c r="C1883" t="s">
        <v>267</v>
      </c>
      <c r="D1883" t="s">
        <v>268</v>
      </c>
      <c r="E1883" t="s">
        <v>203</v>
      </c>
      <c r="F1883" t="s">
        <v>208</v>
      </c>
      <c r="G1883" t="s">
        <v>201</v>
      </c>
      <c r="H1883">
        <v>1</v>
      </c>
    </row>
    <row r="1884" spans="1:8" x14ac:dyDescent="0.3">
      <c r="A1884">
        <v>2019</v>
      </c>
      <c r="B1884" t="s">
        <v>48</v>
      </c>
      <c r="C1884" t="s">
        <v>267</v>
      </c>
      <c r="D1884" t="s">
        <v>268</v>
      </c>
      <c r="E1884" t="s">
        <v>204</v>
      </c>
      <c r="F1884" t="s">
        <v>208</v>
      </c>
      <c r="G1884" t="s">
        <v>201</v>
      </c>
      <c r="H1884">
        <v>0</v>
      </c>
    </row>
    <row r="1885" spans="1:8" x14ac:dyDescent="0.3">
      <c r="A1885">
        <v>2019</v>
      </c>
      <c r="B1885" t="s">
        <v>48</v>
      </c>
      <c r="C1885" t="s">
        <v>267</v>
      </c>
      <c r="D1885" t="s">
        <v>268</v>
      </c>
      <c r="E1885" t="s">
        <v>205</v>
      </c>
      <c r="F1885" t="s">
        <v>208</v>
      </c>
      <c r="G1885" t="s">
        <v>201</v>
      </c>
      <c r="H1885">
        <v>0</v>
      </c>
    </row>
    <row r="1886" spans="1:8" x14ac:dyDescent="0.3">
      <c r="A1886">
        <v>2019</v>
      </c>
      <c r="B1886" t="s">
        <v>48</v>
      </c>
      <c r="C1886" t="s">
        <v>267</v>
      </c>
      <c r="D1886" t="s">
        <v>268</v>
      </c>
      <c r="E1886" t="s">
        <v>206</v>
      </c>
      <c r="F1886" t="s">
        <v>208</v>
      </c>
      <c r="G1886" t="s">
        <v>201</v>
      </c>
      <c r="H1886">
        <v>35</v>
      </c>
    </row>
    <row r="1887" spans="1:8" x14ac:dyDescent="0.3">
      <c r="A1887">
        <v>2019</v>
      </c>
      <c r="B1887" t="s">
        <v>24</v>
      </c>
      <c r="C1887" t="s">
        <v>267</v>
      </c>
      <c r="D1887" t="s">
        <v>268</v>
      </c>
      <c r="E1887" t="s">
        <v>1</v>
      </c>
      <c r="F1887" t="s">
        <v>208</v>
      </c>
      <c r="G1887" t="s">
        <v>201</v>
      </c>
      <c r="H1887">
        <v>4</v>
      </c>
    </row>
    <row r="1888" spans="1:8" x14ac:dyDescent="0.3">
      <c r="A1888">
        <v>2019</v>
      </c>
      <c r="B1888" t="s">
        <v>24</v>
      </c>
      <c r="C1888" t="s">
        <v>267</v>
      </c>
      <c r="D1888" t="s">
        <v>268</v>
      </c>
      <c r="E1888" t="s">
        <v>203</v>
      </c>
      <c r="F1888" t="s">
        <v>208</v>
      </c>
      <c r="G1888" t="s">
        <v>201</v>
      </c>
      <c r="H1888">
        <v>1</v>
      </c>
    </row>
    <row r="1889" spans="1:8" x14ac:dyDescent="0.3">
      <c r="A1889">
        <v>2019</v>
      </c>
      <c r="B1889" t="s">
        <v>24</v>
      </c>
      <c r="C1889" t="s">
        <v>267</v>
      </c>
      <c r="D1889" t="s">
        <v>268</v>
      </c>
      <c r="E1889" t="s">
        <v>204</v>
      </c>
      <c r="F1889" t="s">
        <v>208</v>
      </c>
      <c r="G1889" t="s">
        <v>201</v>
      </c>
      <c r="H1889">
        <v>0</v>
      </c>
    </row>
    <row r="1890" spans="1:8" x14ac:dyDescent="0.3">
      <c r="A1890">
        <v>2019</v>
      </c>
      <c r="B1890" t="s">
        <v>24</v>
      </c>
      <c r="C1890" t="s">
        <v>267</v>
      </c>
      <c r="D1890" t="s">
        <v>268</v>
      </c>
      <c r="E1890" t="s">
        <v>205</v>
      </c>
      <c r="F1890" t="s">
        <v>208</v>
      </c>
      <c r="G1890" t="s">
        <v>201</v>
      </c>
      <c r="H1890">
        <v>0</v>
      </c>
    </row>
    <row r="1891" spans="1:8" x14ac:dyDescent="0.3">
      <c r="A1891">
        <v>2019</v>
      </c>
      <c r="B1891" t="s">
        <v>24</v>
      </c>
      <c r="C1891" t="s">
        <v>267</v>
      </c>
      <c r="D1891" t="s">
        <v>268</v>
      </c>
      <c r="E1891" t="s">
        <v>206</v>
      </c>
      <c r="F1891" t="s">
        <v>208</v>
      </c>
      <c r="G1891" t="s">
        <v>201</v>
      </c>
      <c r="H1891">
        <v>30</v>
      </c>
    </row>
    <row r="1892" spans="1:8" x14ac:dyDescent="0.3">
      <c r="A1892">
        <v>2019</v>
      </c>
      <c r="B1892" t="s">
        <v>214</v>
      </c>
      <c r="C1892" t="s">
        <v>267</v>
      </c>
      <c r="D1892" t="s">
        <v>268</v>
      </c>
      <c r="E1892" t="s">
        <v>1</v>
      </c>
      <c r="F1892" t="s">
        <v>208</v>
      </c>
      <c r="G1892" t="s">
        <v>201</v>
      </c>
      <c r="H1892">
        <v>1</v>
      </c>
    </row>
    <row r="1893" spans="1:8" x14ac:dyDescent="0.3">
      <c r="A1893">
        <v>2019</v>
      </c>
      <c r="B1893" t="s">
        <v>214</v>
      </c>
      <c r="C1893" t="s">
        <v>267</v>
      </c>
      <c r="D1893" t="s">
        <v>268</v>
      </c>
      <c r="E1893" t="s">
        <v>203</v>
      </c>
      <c r="F1893" t="s">
        <v>208</v>
      </c>
      <c r="G1893" t="s">
        <v>201</v>
      </c>
      <c r="H1893">
        <v>0</v>
      </c>
    </row>
    <row r="1894" spans="1:8" x14ac:dyDescent="0.3">
      <c r="A1894">
        <v>2019</v>
      </c>
      <c r="B1894" t="s">
        <v>214</v>
      </c>
      <c r="C1894" t="s">
        <v>267</v>
      </c>
      <c r="D1894" t="s">
        <v>268</v>
      </c>
      <c r="E1894" t="s">
        <v>204</v>
      </c>
      <c r="F1894" t="s">
        <v>208</v>
      </c>
      <c r="G1894" t="s">
        <v>201</v>
      </c>
      <c r="H1894">
        <v>0</v>
      </c>
    </row>
    <row r="1895" spans="1:8" x14ac:dyDescent="0.3">
      <c r="A1895">
        <v>2019</v>
      </c>
      <c r="B1895" t="s">
        <v>214</v>
      </c>
      <c r="C1895" t="s">
        <v>267</v>
      </c>
      <c r="D1895" t="s">
        <v>268</v>
      </c>
      <c r="E1895" t="s">
        <v>205</v>
      </c>
      <c r="F1895" t="s">
        <v>208</v>
      </c>
      <c r="G1895" t="s">
        <v>201</v>
      </c>
      <c r="H1895">
        <v>0</v>
      </c>
    </row>
    <row r="1896" spans="1:8" x14ac:dyDescent="0.3">
      <c r="A1896">
        <v>2019</v>
      </c>
      <c r="B1896" t="s">
        <v>214</v>
      </c>
      <c r="C1896" t="s">
        <v>267</v>
      </c>
      <c r="D1896" t="s">
        <v>268</v>
      </c>
      <c r="E1896" t="s">
        <v>206</v>
      </c>
      <c r="F1896" t="s">
        <v>208</v>
      </c>
      <c r="G1896" t="s">
        <v>201</v>
      </c>
      <c r="H1896">
        <v>4</v>
      </c>
    </row>
    <row r="1897" spans="1:8" x14ac:dyDescent="0.3">
      <c r="A1897">
        <v>2019</v>
      </c>
      <c r="B1897" t="s">
        <v>26</v>
      </c>
      <c r="C1897" t="s">
        <v>267</v>
      </c>
      <c r="D1897" t="s">
        <v>268</v>
      </c>
      <c r="E1897" t="s">
        <v>1</v>
      </c>
      <c r="F1897" t="s">
        <v>208</v>
      </c>
      <c r="G1897" t="s">
        <v>201</v>
      </c>
      <c r="H1897">
        <v>10</v>
      </c>
    </row>
    <row r="1898" spans="1:8" x14ac:dyDescent="0.3">
      <c r="A1898">
        <v>2019</v>
      </c>
      <c r="B1898" t="s">
        <v>26</v>
      </c>
      <c r="C1898" t="s">
        <v>267</v>
      </c>
      <c r="D1898" t="s">
        <v>268</v>
      </c>
      <c r="E1898" t="s">
        <v>203</v>
      </c>
      <c r="F1898" t="s">
        <v>208</v>
      </c>
      <c r="G1898" t="s">
        <v>201</v>
      </c>
      <c r="H1898">
        <v>4</v>
      </c>
    </row>
    <row r="1899" spans="1:8" x14ac:dyDescent="0.3">
      <c r="A1899">
        <v>2019</v>
      </c>
      <c r="B1899" t="s">
        <v>26</v>
      </c>
      <c r="C1899" t="s">
        <v>267</v>
      </c>
      <c r="D1899" t="s">
        <v>268</v>
      </c>
      <c r="E1899" t="s">
        <v>204</v>
      </c>
      <c r="F1899" t="s">
        <v>208</v>
      </c>
      <c r="G1899" t="s">
        <v>201</v>
      </c>
      <c r="H1899">
        <v>0</v>
      </c>
    </row>
    <row r="1900" spans="1:8" x14ac:dyDescent="0.3">
      <c r="A1900">
        <v>2019</v>
      </c>
      <c r="B1900" t="s">
        <v>26</v>
      </c>
      <c r="C1900" t="s">
        <v>267</v>
      </c>
      <c r="D1900" t="s">
        <v>268</v>
      </c>
      <c r="E1900" t="s">
        <v>205</v>
      </c>
      <c r="F1900" t="s">
        <v>208</v>
      </c>
      <c r="G1900" t="s">
        <v>201</v>
      </c>
      <c r="H1900">
        <v>0</v>
      </c>
    </row>
    <row r="1901" spans="1:8" x14ac:dyDescent="0.3">
      <c r="A1901">
        <v>2019</v>
      </c>
      <c r="B1901" t="s">
        <v>26</v>
      </c>
      <c r="C1901" t="s">
        <v>267</v>
      </c>
      <c r="D1901" t="s">
        <v>268</v>
      </c>
      <c r="E1901" t="s">
        <v>206</v>
      </c>
      <c r="F1901" t="s">
        <v>208</v>
      </c>
      <c r="G1901" t="s">
        <v>201</v>
      </c>
      <c r="H1901">
        <v>61</v>
      </c>
    </row>
    <row r="1902" spans="1:8" x14ac:dyDescent="0.3">
      <c r="A1902">
        <v>2019</v>
      </c>
      <c r="B1902" t="s">
        <v>27</v>
      </c>
      <c r="C1902" t="s">
        <v>267</v>
      </c>
      <c r="D1902" t="s">
        <v>268</v>
      </c>
      <c r="E1902" t="s">
        <v>1</v>
      </c>
      <c r="F1902" t="s">
        <v>208</v>
      </c>
      <c r="G1902" t="s">
        <v>201</v>
      </c>
      <c r="H1902">
        <v>9</v>
      </c>
    </row>
    <row r="1903" spans="1:8" x14ac:dyDescent="0.3">
      <c r="A1903">
        <v>2019</v>
      </c>
      <c r="B1903" t="s">
        <v>27</v>
      </c>
      <c r="C1903" t="s">
        <v>267</v>
      </c>
      <c r="D1903" t="s">
        <v>268</v>
      </c>
      <c r="E1903" t="s">
        <v>203</v>
      </c>
      <c r="F1903" t="s">
        <v>208</v>
      </c>
      <c r="G1903" t="s">
        <v>201</v>
      </c>
      <c r="H1903">
        <v>4</v>
      </c>
    </row>
    <row r="1904" spans="1:8" x14ac:dyDescent="0.3">
      <c r="A1904">
        <v>2019</v>
      </c>
      <c r="B1904" t="s">
        <v>27</v>
      </c>
      <c r="C1904" t="s">
        <v>267</v>
      </c>
      <c r="D1904" t="s">
        <v>268</v>
      </c>
      <c r="E1904" t="s">
        <v>204</v>
      </c>
      <c r="F1904" t="s">
        <v>208</v>
      </c>
      <c r="G1904" t="s">
        <v>201</v>
      </c>
      <c r="H1904">
        <v>1</v>
      </c>
    </row>
    <row r="1905" spans="1:8" x14ac:dyDescent="0.3">
      <c r="A1905">
        <v>2019</v>
      </c>
      <c r="B1905" t="s">
        <v>27</v>
      </c>
      <c r="C1905" t="s">
        <v>267</v>
      </c>
      <c r="D1905" t="s">
        <v>268</v>
      </c>
      <c r="E1905" t="s">
        <v>205</v>
      </c>
      <c r="F1905" t="s">
        <v>208</v>
      </c>
      <c r="G1905" t="s">
        <v>201</v>
      </c>
      <c r="H1905">
        <v>0</v>
      </c>
    </row>
    <row r="1906" spans="1:8" x14ac:dyDescent="0.3">
      <c r="A1906">
        <v>2019</v>
      </c>
      <c r="B1906" t="s">
        <v>27</v>
      </c>
      <c r="C1906" t="s">
        <v>267</v>
      </c>
      <c r="D1906" t="s">
        <v>268</v>
      </c>
      <c r="E1906" t="s">
        <v>206</v>
      </c>
      <c r="F1906" t="s">
        <v>208</v>
      </c>
      <c r="G1906" t="s">
        <v>201</v>
      </c>
      <c r="H1906">
        <v>58</v>
      </c>
    </row>
    <row r="1907" spans="1:8" x14ac:dyDescent="0.3">
      <c r="A1907">
        <v>2019</v>
      </c>
      <c r="B1907" t="s">
        <v>219</v>
      </c>
      <c r="C1907" t="s">
        <v>267</v>
      </c>
      <c r="D1907" t="s">
        <v>268</v>
      </c>
      <c r="E1907" t="s">
        <v>1</v>
      </c>
      <c r="F1907" t="s">
        <v>208</v>
      </c>
      <c r="G1907" t="s">
        <v>201</v>
      </c>
    </row>
    <row r="1908" spans="1:8" x14ac:dyDescent="0.3">
      <c r="A1908">
        <v>2019</v>
      </c>
      <c r="B1908" t="s">
        <v>219</v>
      </c>
      <c r="C1908" t="s">
        <v>267</v>
      </c>
      <c r="D1908" t="s">
        <v>268</v>
      </c>
      <c r="E1908" t="s">
        <v>203</v>
      </c>
      <c r="F1908" t="s">
        <v>208</v>
      </c>
      <c r="G1908" t="s">
        <v>201</v>
      </c>
    </row>
    <row r="1909" spans="1:8" x14ac:dyDescent="0.3">
      <c r="A1909">
        <v>2019</v>
      </c>
      <c r="B1909" t="s">
        <v>219</v>
      </c>
      <c r="C1909" t="s">
        <v>267</v>
      </c>
      <c r="D1909" t="s">
        <v>268</v>
      </c>
      <c r="E1909" t="s">
        <v>204</v>
      </c>
      <c r="F1909" t="s">
        <v>208</v>
      </c>
      <c r="G1909" t="s">
        <v>201</v>
      </c>
    </row>
    <row r="1910" spans="1:8" x14ac:dyDescent="0.3">
      <c r="A1910">
        <v>2019</v>
      </c>
      <c r="B1910" t="s">
        <v>219</v>
      </c>
      <c r="C1910" t="s">
        <v>267</v>
      </c>
      <c r="D1910" t="s">
        <v>268</v>
      </c>
      <c r="E1910" t="s">
        <v>205</v>
      </c>
      <c r="F1910" t="s">
        <v>208</v>
      </c>
      <c r="G1910" t="s">
        <v>201</v>
      </c>
    </row>
    <row r="1911" spans="1:8" x14ac:dyDescent="0.3">
      <c r="A1911">
        <v>2019</v>
      </c>
      <c r="B1911" t="s">
        <v>219</v>
      </c>
      <c r="C1911" t="s">
        <v>267</v>
      </c>
      <c r="D1911" t="s">
        <v>268</v>
      </c>
      <c r="E1911" t="s">
        <v>206</v>
      </c>
      <c r="F1911" t="s">
        <v>208</v>
      </c>
      <c r="G1911" t="s">
        <v>201</v>
      </c>
    </row>
    <row r="1912" spans="1:8" x14ac:dyDescent="0.3">
      <c r="A1912">
        <v>2019</v>
      </c>
      <c r="B1912" t="s">
        <v>46</v>
      </c>
      <c r="C1912" t="s">
        <v>267</v>
      </c>
      <c r="D1912" t="s">
        <v>268</v>
      </c>
      <c r="E1912" t="s">
        <v>1</v>
      </c>
      <c r="F1912" t="s">
        <v>208</v>
      </c>
      <c r="G1912" t="s">
        <v>201</v>
      </c>
    </row>
    <row r="1913" spans="1:8" x14ac:dyDescent="0.3">
      <c r="A1913">
        <v>2019</v>
      </c>
      <c r="B1913" t="s">
        <v>46</v>
      </c>
      <c r="C1913" t="s">
        <v>267</v>
      </c>
      <c r="D1913" t="s">
        <v>268</v>
      </c>
      <c r="E1913" t="s">
        <v>203</v>
      </c>
      <c r="F1913" t="s">
        <v>208</v>
      </c>
      <c r="G1913" t="s">
        <v>201</v>
      </c>
    </row>
    <row r="1914" spans="1:8" x14ac:dyDescent="0.3">
      <c r="A1914">
        <v>2019</v>
      </c>
      <c r="B1914" t="s">
        <v>46</v>
      </c>
      <c r="C1914" t="s">
        <v>267</v>
      </c>
      <c r="D1914" t="s">
        <v>268</v>
      </c>
      <c r="E1914" t="s">
        <v>204</v>
      </c>
      <c r="F1914" t="s">
        <v>208</v>
      </c>
      <c r="G1914" t="s">
        <v>201</v>
      </c>
    </row>
    <row r="1915" spans="1:8" x14ac:dyDescent="0.3">
      <c r="A1915">
        <v>2019</v>
      </c>
      <c r="B1915" t="s">
        <v>46</v>
      </c>
      <c r="C1915" t="s">
        <v>267</v>
      </c>
      <c r="D1915" t="s">
        <v>268</v>
      </c>
      <c r="E1915" t="s">
        <v>205</v>
      </c>
      <c r="F1915" t="s">
        <v>208</v>
      </c>
      <c r="G1915" t="s">
        <v>201</v>
      </c>
    </row>
    <row r="1916" spans="1:8" x14ac:dyDescent="0.3">
      <c r="A1916">
        <v>2019</v>
      </c>
      <c r="B1916" t="s">
        <v>46</v>
      </c>
      <c r="C1916" t="s">
        <v>267</v>
      </c>
      <c r="D1916" t="s">
        <v>268</v>
      </c>
      <c r="E1916" t="s">
        <v>206</v>
      </c>
      <c r="F1916" t="s">
        <v>208</v>
      </c>
      <c r="G1916" t="s">
        <v>201</v>
      </c>
    </row>
    <row r="1917" spans="1:8" x14ac:dyDescent="0.3">
      <c r="A1917">
        <v>2019</v>
      </c>
      <c r="B1917" t="s">
        <v>29</v>
      </c>
      <c r="C1917" t="s">
        <v>267</v>
      </c>
      <c r="D1917" t="s">
        <v>268</v>
      </c>
      <c r="E1917" t="s">
        <v>1</v>
      </c>
      <c r="F1917" t="s">
        <v>208</v>
      </c>
      <c r="G1917" t="s">
        <v>201</v>
      </c>
      <c r="H1917">
        <v>5</v>
      </c>
    </row>
    <row r="1918" spans="1:8" x14ac:dyDescent="0.3">
      <c r="A1918">
        <v>2019</v>
      </c>
      <c r="B1918" t="s">
        <v>29</v>
      </c>
      <c r="C1918" t="s">
        <v>267</v>
      </c>
      <c r="D1918" t="s">
        <v>268</v>
      </c>
      <c r="E1918" t="s">
        <v>203</v>
      </c>
      <c r="F1918" t="s">
        <v>208</v>
      </c>
      <c r="G1918" t="s">
        <v>201</v>
      </c>
      <c r="H1918">
        <v>0</v>
      </c>
    </row>
    <row r="1919" spans="1:8" x14ac:dyDescent="0.3">
      <c r="A1919">
        <v>2019</v>
      </c>
      <c r="B1919" t="s">
        <v>29</v>
      </c>
      <c r="C1919" t="s">
        <v>267</v>
      </c>
      <c r="D1919" t="s">
        <v>268</v>
      </c>
      <c r="E1919" t="s">
        <v>204</v>
      </c>
      <c r="F1919" t="s">
        <v>208</v>
      </c>
      <c r="G1919" t="s">
        <v>201</v>
      </c>
      <c r="H1919">
        <v>0</v>
      </c>
    </row>
    <row r="1920" spans="1:8" x14ac:dyDescent="0.3">
      <c r="A1920">
        <v>2019</v>
      </c>
      <c r="B1920" t="s">
        <v>29</v>
      </c>
      <c r="C1920" t="s">
        <v>267</v>
      </c>
      <c r="D1920" t="s">
        <v>268</v>
      </c>
      <c r="E1920" t="s">
        <v>205</v>
      </c>
      <c r="F1920" t="s">
        <v>208</v>
      </c>
      <c r="G1920" t="s">
        <v>201</v>
      </c>
      <c r="H1920">
        <v>0</v>
      </c>
    </row>
    <row r="1921" spans="1:8" x14ac:dyDescent="0.3">
      <c r="A1921">
        <v>2019</v>
      </c>
      <c r="B1921" t="s">
        <v>29</v>
      </c>
      <c r="C1921" t="s">
        <v>267</v>
      </c>
      <c r="D1921" t="s">
        <v>268</v>
      </c>
      <c r="E1921" t="s">
        <v>206</v>
      </c>
      <c r="F1921" t="s">
        <v>208</v>
      </c>
      <c r="G1921" t="s">
        <v>201</v>
      </c>
      <c r="H1921">
        <v>31</v>
      </c>
    </row>
    <row r="1922" spans="1:8" x14ac:dyDescent="0.3">
      <c r="A1922">
        <v>2019</v>
      </c>
      <c r="B1922" t="s">
        <v>30</v>
      </c>
      <c r="C1922" t="s">
        <v>267</v>
      </c>
      <c r="D1922" t="s">
        <v>268</v>
      </c>
      <c r="E1922" t="s">
        <v>1</v>
      </c>
      <c r="F1922" t="s">
        <v>208</v>
      </c>
      <c r="G1922" t="s">
        <v>201</v>
      </c>
      <c r="H1922">
        <v>3</v>
      </c>
    </row>
    <row r="1923" spans="1:8" x14ac:dyDescent="0.3">
      <c r="A1923">
        <v>2019</v>
      </c>
      <c r="B1923" t="s">
        <v>30</v>
      </c>
      <c r="C1923" t="s">
        <v>267</v>
      </c>
      <c r="D1923" t="s">
        <v>268</v>
      </c>
      <c r="E1923" t="s">
        <v>203</v>
      </c>
      <c r="F1923" t="s">
        <v>208</v>
      </c>
      <c r="G1923" t="s">
        <v>201</v>
      </c>
      <c r="H1923">
        <v>2</v>
      </c>
    </row>
    <row r="1924" spans="1:8" x14ac:dyDescent="0.3">
      <c r="A1924">
        <v>2019</v>
      </c>
      <c r="B1924" t="s">
        <v>30</v>
      </c>
      <c r="C1924" t="s">
        <v>267</v>
      </c>
      <c r="D1924" t="s">
        <v>268</v>
      </c>
      <c r="E1924" t="s">
        <v>204</v>
      </c>
      <c r="F1924" t="s">
        <v>208</v>
      </c>
      <c r="G1924" t="s">
        <v>201</v>
      </c>
      <c r="H1924">
        <v>0</v>
      </c>
    </row>
    <row r="1925" spans="1:8" x14ac:dyDescent="0.3">
      <c r="A1925">
        <v>2019</v>
      </c>
      <c r="B1925" t="s">
        <v>30</v>
      </c>
      <c r="C1925" t="s">
        <v>267</v>
      </c>
      <c r="D1925" t="s">
        <v>268</v>
      </c>
      <c r="E1925" t="s">
        <v>205</v>
      </c>
      <c r="F1925" t="s">
        <v>208</v>
      </c>
      <c r="G1925" t="s">
        <v>201</v>
      </c>
      <c r="H1925">
        <v>0</v>
      </c>
    </row>
    <row r="1926" spans="1:8" x14ac:dyDescent="0.3">
      <c r="A1926">
        <v>2019</v>
      </c>
      <c r="B1926" t="s">
        <v>30</v>
      </c>
      <c r="C1926" t="s">
        <v>267</v>
      </c>
      <c r="D1926" t="s">
        <v>268</v>
      </c>
      <c r="E1926" t="s">
        <v>206</v>
      </c>
      <c r="F1926" t="s">
        <v>208</v>
      </c>
      <c r="G1926" t="s">
        <v>201</v>
      </c>
      <c r="H1926">
        <v>35</v>
      </c>
    </row>
    <row r="1927" spans="1:8" x14ac:dyDescent="0.3">
      <c r="A1927">
        <v>2019</v>
      </c>
      <c r="B1927" t="s">
        <v>31</v>
      </c>
      <c r="C1927" t="s">
        <v>267</v>
      </c>
      <c r="D1927" t="s">
        <v>268</v>
      </c>
      <c r="E1927" t="s">
        <v>1</v>
      </c>
      <c r="F1927" t="s">
        <v>208</v>
      </c>
      <c r="G1927" t="s">
        <v>201</v>
      </c>
      <c r="H1927">
        <v>4</v>
      </c>
    </row>
    <row r="1928" spans="1:8" x14ac:dyDescent="0.3">
      <c r="A1928">
        <v>2019</v>
      </c>
      <c r="B1928" t="s">
        <v>31</v>
      </c>
      <c r="C1928" t="s">
        <v>267</v>
      </c>
      <c r="D1928" t="s">
        <v>268</v>
      </c>
      <c r="E1928" t="s">
        <v>203</v>
      </c>
      <c r="F1928" t="s">
        <v>208</v>
      </c>
      <c r="G1928" t="s">
        <v>201</v>
      </c>
      <c r="H1928">
        <v>0</v>
      </c>
    </row>
    <row r="1929" spans="1:8" x14ac:dyDescent="0.3">
      <c r="A1929">
        <v>2019</v>
      </c>
      <c r="B1929" t="s">
        <v>31</v>
      </c>
      <c r="C1929" t="s">
        <v>267</v>
      </c>
      <c r="D1929" t="s">
        <v>268</v>
      </c>
      <c r="E1929" t="s">
        <v>204</v>
      </c>
      <c r="F1929" t="s">
        <v>208</v>
      </c>
      <c r="G1929" t="s">
        <v>201</v>
      </c>
      <c r="H1929">
        <v>0</v>
      </c>
    </row>
    <row r="1930" spans="1:8" x14ac:dyDescent="0.3">
      <c r="A1930">
        <v>2019</v>
      </c>
      <c r="B1930" t="s">
        <v>31</v>
      </c>
      <c r="C1930" t="s">
        <v>267</v>
      </c>
      <c r="D1930" t="s">
        <v>268</v>
      </c>
      <c r="E1930" t="s">
        <v>205</v>
      </c>
      <c r="F1930" t="s">
        <v>208</v>
      </c>
      <c r="G1930" t="s">
        <v>201</v>
      </c>
      <c r="H1930">
        <v>0</v>
      </c>
    </row>
    <row r="1931" spans="1:8" x14ac:dyDescent="0.3">
      <c r="A1931">
        <v>2019</v>
      </c>
      <c r="B1931" t="s">
        <v>31</v>
      </c>
      <c r="C1931" t="s">
        <v>267</v>
      </c>
      <c r="D1931" t="s">
        <v>268</v>
      </c>
      <c r="E1931" t="s">
        <v>206</v>
      </c>
      <c r="F1931" t="s">
        <v>208</v>
      </c>
      <c r="G1931" t="s">
        <v>201</v>
      </c>
      <c r="H1931">
        <v>3</v>
      </c>
    </row>
    <row r="1932" spans="1:8" x14ac:dyDescent="0.3">
      <c r="A1932">
        <v>2019</v>
      </c>
      <c r="B1932" t="s">
        <v>32</v>
      </c>
      <c r="C1932" t="s">
        <v>267</v>
      </c>
      <c r="D1932" t="s">
        <v>268</v>
      </c>
      <c r="E1932" t="s">
        <v>1</v>
      </c>
      <c r="F1932" t="s">
        <v>208</v>
      </c>
      <c r="G1932" t="s">
        <v>201</v>
      </c>
      <c r="H1932">
        <v>1</v>
      </c>
    </row>
    <row r="1933" spans="1:8" x14ac:dyDescent="0.3">
      <c r="A1933">
        <v>2019</v>
      </c>
      <c r="B1933" t="s">
        <v>32</v>
      </c>
      <c r="C1933" t="s">
        <v>267</v>
      </c>
      <c r="D1933" t="s">
        <v>268</v>
      </c>
      <c r="E1933" t="s">
        <v>203</v>
      </c>
      <c r="F1933" t="s">
        <v>208</v>
      </c>
      <c r="G1933" t="s">
        <v>201</v>
      </c>
    </row>
    <row r="1934" spans="1:8" x14ac:dyDescent="0.3">
      <c r="A1934">
        <v>2019</v>
      </c>
      <c r="B1934" t="s">
        <v>32</v>
      </c>
      <c r="C1934" t="s">
        <v>267</v>
      </c>
      <c r="D1934" t="s">
        <v>268</v>
      </c>
      <c r="E1934" t="s">
        <v>204</v>
      </c>
      <c r="F1934" t="s">
        <v>208</v>
      </c>
      <c r="G1934" t="s">
        <v>201</v>
      </c>
      <c r="H1934">
        <v>2</v>
      </c>
    </row>
    <row r="1935" spans="1:8" x14ac:dyDescent="0.3">
      <c r="A1935">
        <v>2019</v>
      </c>
      <c r="B1935" t="s">
        <v>32</v>
      </c>
      <c r="C1935" t="s">
        <v>267</v>
      </c>
      <c r="D1935" t="s">
        <v>268</v>
      </c>
      <c r="E1935" t="s">
        <v>205</v>
      </c>
      <c r="F1935" t="s">
        <v>208</v>
      </c>
      <c r="G1935" t="s">
        <v>201</v>
      </c>
    </row>
    <row r="1936" spans="1:8" x14ac:dyDescent="0.3">
      <c r="A1936">
        <v>2019</v>
      </c>
      <c r="B1936" t="s">
        <v>32</v>
      </c>
      <c r="C1936" t="s">
        <v>267</v>
      </c>
      <c r="D1936" t="s">
        <v>268</v>
      </c>
      <c r="E1936" t="s">
        <v>206</v>
      </c>
      <c r="F1936" t="s">
        <v>208</v>
      </c>
      <c r="G1936" t="s">
        <v>201</v>
      </c>
    </row>
    <row r="1937" spans="1:8" x14ac:dyDescent="0.3">
      <c r="A1937">
        <v>2019</v>
      </c>
      <c r="B1937" t="s">
        <v>49</v>
      </c>
      <c r="C1937" t="s">
        <v>267</v>
      </c>
      <c r="D1937" t="s">
        <v>268</v>
      </c>
      <c r="E1937" t="s">
        <v>1</v>
      </c>
      <c r="F1937" t="s">
        <v>208</v>
      </c>
      <c r="G1937" t="s">
        <v>201</v>
      </c>
      <c r="H1937">
        <v>1</v>
      </c>
    </row>
    <row r="1938" spans="1:8" x14ac:dyDescent="0.3">
      <c r="A1938">
        <v>2019</v>
      </c>
      <c r="B1938" t="s">
        <v>49</v>
      </c>
      <c r="C1938" t="s">
        <v>267</v>
      </c>
      <c r="D1938" t="s">
        <v>268</v>
      </c>
      <c r="E1938" t="s">
        <v>203</v>
      </c>
      <c r="F1938" t="s">
        <v>208</v>
      </c>
      <c r="G1938" t="s">
        <v>201</v>
      </c>
      <c r="H1938">
        <v>1</v>
      </c>
    </row>
    <row r="1939" spans="1:8" x14ac:dyDescent="0.3">
      <c r="A1939">
        <v>2019</v>
      </c>
      <c r="B1939" t="s">
        <v>49</v>
      </c>
      <c r="C1939" t="s">
        <v>267</v>
      </c>
      <c r="D1939" t="s">
        <v>268</v>
      </c>
      <c r="E1939" t="s">
        <v>204</v>
      </c>
      <c r="F1939" t="s">
        <v>208</v>
      </c>
      <c r="G1939" t="s">
        <v>201</v>
      </c>
      <c r="H1939">
        <v>0</v>
      </c>
    </row>
    <row r="1940" spans="1:8" x14ac:dyDescent="0.3">
      <c r="A1940">
        <v>2019</v>
      </c>
      <c r="B1940" t="s">
        <v>49</v>
      </c>
      <c r="C1940" t="s">
        <v>267</v>
      </c>
      <c r="D1940" t="s">
        <v>268</v>
      </c>
      <c r="E1940" t="s">
        <v>205</v>
      </c>
      <c r="F1940" t="s">
        <v>208</v>
      </c>
      <c r="G1940" t="s">
        <v>201</v>
      </c>
      <c r="H1940">
        <v>0</v>
      </c>
    </row>
    <row r="1941" spans="1:8" x14ac:dyDescent="0.3">
      <c r="A1941">
        <v>2019</v>
      </c>
      <c r="B1941" t="s">
        <v>49</v>
      </c>
      <c r="C1941" t="s">
        <v>267</v>
      </c>
      <c r="D1941" t="s">
        <v>268</v>
      </c>
      <c r="E1941" t="s">
        <v>206</v>
      </c>
      <c r="F1941" t="s">
        <v>208</v>
      </c>
      <c r="G1941" t="s">
        <v>201</v>
      </c>
      <c r="H1941">
        <v>42</v>
      </c>
    </row>
    <row r="1942" spans="1:8" x14ac:dyDescent="0.3">
      <c r="A1942">
        <v>2019</v>
      </c>
      <c r="B1942" t="s">
        <v>33</v>
      </c>
      <c r="C1942" t="s">
        <v>267</v>
      </c>
      <c r="D1942" t="s">
        <v>268</v>
      </c>
      <c r="E1942" t="s">
        <v>1</v>
      </c>
      <c r="F1942" t="s">
        <v>208</v>
      </c>
      <c r="G1942" t="s">
        <v>201</v>
      </c>
      <c r="H1942">
        <v>0</v>
      </c>
    </row>
    <row r="1943" spans="1:8" x14ac:dyDescent="0.3">
      <c r="A1943">
        <v>2019</v>
      </c>
      <c r="B1943" t="s">
        <v>33</v>
      </c>
      <c r="C1943" t="s">
        <v>267</v>
      </c>
      <c r="D1943" t="s">
        <v>268</v>
      </c>
      <c r="E1943" t="s">
        <v>203</v>
      </c>
      <c r="F1943" t="s">
        <v>208</v>
      </c>
      <c r="G1943" t="s">
        <v>201</v>
      </c>
      <c r="H1943">
        <v>0</v>
      </c>
    </row>
    <row r="1944" spans="1:8" x14ac:dyDescent="0.3">
      <c r="A1944">
        <v>2019</v>
      </c>
      <c r="B1944" t="s">
        <v>33</v>
      </c>
      <c r="C1944" t="s">
        <v>267</v>
      </c>
      <c r="D1944" t="s">
        <v>268</v>
      </c>
      <c r="E1944" t="s">
        <v>204</v>
      </c>
      <c r="F1944" t="s">
        <v>208</v>
      </c>
      <c r="G1944" t="s">
        <v>201</v>
      </c>
      <c r="H1944">
        <v>0</v>
      </c>
    </row>
    <row r="1945" spans="1:8" x14ac:dyDescent="0.3">
      <c r="A1945">
        <v>2019</v>
      </c>
      <c r="B1945" t="s">
        <v>33</v>
      </c>
      <c r="C1945" t="s">
        <v>267</v>
      </c>
      <c r="D1945" t="s">
        <v>268</v>
      </c>
      <c r="E1945" t="s">
        <v>205</v>
      </c>
      <c r="F1945" t="s">
        <v>208</v>
      </c>
      <c r="G1945" t="s">
        <v>201</v>
      </c>
      <c r="H1945">
        <v>0</v>
      </c>
    </row>
    <row r="1946" spans="1:8" x14ac:dyDescent="0.3">
      <c r="A1946">
        <v>2019</v>
      </c>
      <c r="B1946" t="s">
        <v>33</v>
      </c>
      <c r="C1946" t="s">
        <v>267</v>
      </c>
      <c r="D1946" t="s">
        <v>268</v>
      </c>
      <c r="E1946" t="s">
        <v>206</v>
      </c>
      <c r="F1946" t="s">
        <v>208</v>
      </c>
      <c r="G1946" t="s">
        <v>201</v>
      </c>
      <c r="H1946">
        <v>0</v>
      </c>
    </row>
    <row r="1947" spans="1:8" x14ac:dyDescent="0.3">
      <c r="A1947">
        <v>2019</v>
      </c>
      <c r="B1947" t="s">
        <v>34</v>
      </c>
      <c r="C1947" t="s">
        <v>267</v>
      </c>
      <c r="D1947" t="s">
        <v>268</v>
      </c>
      <c r="E1947" t="s">
        <v>1</v>
      </c>
      <c r="F1947" t="s">
        <v>208</v>
      </c>
      <c r="G1947" t="s">
        <v>201</v>
      </c>
      <c r="H1947">
        <v>6</v>
      </c>
    </row>
    <row r="1948" spans="1:8" x14ac:dyDescent="0.3">
      <c r="A1948">
        <v>2019</v>
      </c>
      <c r="B1948" t="s">
        <v>34</v>
      </c>
      <c r="C1948" t="s">
        <v>267</v>
      </c>
      <c r="D1948" t="s">
        <v>268</v>
      </c>
      <c r="E1948" t="s">
        <v>203</v>
      </c>
      <c r="F1948" t="s">
        <v>208</v>
      </c>
      <c r="G1948" t="s">
        <v>201</v>
      </c>
      <c r="H1948">
        <v>3</v>
      </c>
    </row>
    <row r="1949" spans="1:8" x14ac:dyDescent="0.3">
      <c r="A1949">
        <v>2019</v>
      </c>
      <c r="B1949" t="s">
        <v>34</v>
      </c>
      <c r="C1949" t="s">
        <v>267</v>
      </c>
      <c r="D1949" t="s">
        <v>268</v>
      </c>
      <c r="E1949" t="s">
        <v>204</v>
      </c>
      <c r="F1949" t="s">
        <v>208</v>
      </c>
      <c r="G1949" t="s">
        <v>201</v>
      </c>
      <c r="H1949">
        <v>0</v>
      </c>
    </row>
    <row r="1950" spans="1:8" x14ac:dyDescent="0.3">
      <c r="A1950">
        <v>2019</v>
      </c>
      <c r="B1950" t="s">
        <v>34</v>
      </c>
      <c r="C1950" t="s">
        <v>267</v>
      </c>
      <c r="D1950" t="s">
        <v>268</v>
      </c>
      <c r="E1950" t="s">
        <v>205</v>
      </c>
      <c r="F1950" t="s">
        <v>208</v>
      </c>
      <c r="G1950" t="s">
        <v>201</v>
      </c>
      <c r="H1950">
        <v>0</v>
      </c>
    </row>
    <row r="1951" spans="1:8" x14ac:dyDescent="0.3">
      <c r="A1951">
        <v>2019</v>
      </c>
      <c r="B1951" t="s">
        <v>34</v>
      </c>
      <c r="C1951" t="s">
        <v>267</v>
      </c>
      <c r="D1951" t="s">
        <v>268</v>
      </c>
      <c r="E1951" t="s">
        <v>206</v>
      </c>
      <c r="F1951" t="s">
        <v>208</v>
      </c>
      <c r="G1951" t="s">
        <v>201</v>
      </c>
      <c r="H1951">
        <v>42</v>
      </c>
    </row>
    <row r="1952" spans="1:8" x14ac:dyDescent="0.3">
      <c r="A1952">
        <v>2019</v>
      </c>
      <c r="B1952" t="s">
        <v>35</v>
      </c>
      <c r="C1952" t="s">
        <v>267</v>
      </c>
      <c r="D1952" t="s">
        <v>268</v>
      </c>
      <c r="E1952" t="s">
        <v>1</v>
      </c>
      <c r="F1952" t="s">
        <v>208</v>
      </c>
      <c r="G1952" t="s">
        <v>201</v>
      </c>
      <c r="H1952">
        <v>1</v>
      </c>
    </row>
    <row r="1953" spans="1:8" x14ac:dyDescent="0.3">
      <c r="A1953">
        <v>2019</v>
      </c>
      <c r="B1953" t="s">
        <v>35</v>
      </c>
      <c r="C1953" t="s">
        <v>267</v>
      </c>
      <c r="D1953" t="s">
        <v>268</v>
      </c>
      <c r="E1953" t="s">
        <v>203</v>
      </c>
      <c r="F1953" t="s">
        <v>208</v>
      </c>
      <c r="G1953" t="s">
        <v>201</v>
      </c>
      <c r="H1953">
        <v>0</v>
      </c>
    </row>
    <row r="1954" spans="1:8" x14ac:dyDescent="0.3">
      <c r="A1954">
        <v>2019</v>
      </c>
      <c r="B1954" t="s">
        <v>35</v>
      </c>
      <c r="C1954" t="s">
        <v>267</v>
      </c>
      <c r="D1954" t="s">
        <v>268</v>
      </c>
      <c r="E1954" t="s">
        <v>204</v>
      </c>
      <c r="F1954" t="s">
        <v>208</v>
      </c>
      <c r="G1954" t="s">
        <v>201</v>
      </c>
      <c r="H1954">
        <v>0</v>
      </c>
    </row>
    <row r="1955" spans="1:8" x14ac:dyDescent="0.3">
      <c r="A1955">
        <v>2019</v>
      </c>
      <c r="B1955" t="s">
        <v>35</v>
      </c>
      <c r="C1955" t="s">
        <v>267</v>
      </c>
      <c r="D1955" t="s">
        <v>268</v>
      </c>
      <c r="E1955" t="s">
        <v>205</v>
      </c>
      <c r="F1955" t="s">
        <v>208</v>
      </c>
      <c r="G1955" t="s">
        <v>201</v>
      </c>
      <c r="H1955">
        <v>0</v>
      </c>
    </row>
    <row r="1956" spans="1:8" x14ac:dyDescent="0.3">
      <c r="A1956">
        <v>2019</v>
      </c>
      <c r="B1956" t="s">
        <v>35</v>
      </c>
      <c r="C1956" t="s">
        <v>267</v>
      </c>
      <c r="D1956" t="s">
        <v>268</v>
      </c>
      <c r="E1956" t="s">
        <v>206</v>
      </c>
      <c r="F1956" t="s">
        <v>208</v>
      </c>
      <c r="G1956" t="s">
        <v>201</v>
      </c>
    </row>
    <row r="1957" spans="1:8" x14ac:dyDescent="0.3">
      <c r="A1957">
        <v>2019</v>
      </c>
      <c r="B1957" t="s">
        <v>36</v>
      </c>
      <c r="C1957" t="s">
        <v>267</v>
      </c>
      <c r="D1957" t="s">
        <v>268</v>
      </c>
      <c r="E1957" t="s">
        <v>1</v>
      </c>
      <c r="F1957" t="s">
        <v>208</v>
      </c>
      <c r="G1957" t="s">
        <v>201</v>
      </c>
      <c r="H1957">
        <v>1</v>
      </c>
    </row>
    <row r="1958" spans="1:8" x14ac:dyDescent="0.3">
      <c r="A1958">
        <v>2019</v>
      </c>
      <c r="B1958" t="s">
        <v>36</v>
      </c>
      <c r="C1958" t="s">
        <v>267</v>
      </c>
      <c r="D1958" t="s">
        <v>268</v>
      </c>
      <c r="E1958" t="s">
        <v>203</v>
      </c>
      <c r="F1958" t="s">
        <v>208</v>
      </c>
      <c r="G1958" t="s">
        <v>201</v>
      </c>
      <c r="H1958">
        <v>0</v>
      </c>
    </row>
    <row r="1959" spans="1:8" x14ac:dyDescent="0.3">
      <c r="A1959">
        <v>2019</v>
      </c>
      <c r="B1959" t="s">
        <v>36</v>
      </c>
      <c r="C1959" t="s">
        <v>267</v>
      </c>
      <c r="D1959" t="s">
        <v>268</v>
      </c>
      <c r="E1959" t="s">
        <v>204</v>
      </c>
      <c r="F1959" t="s">
        <v>208</v>
      </c>
      <c r="G1959" t="s">
        <v>201</v>
      </c>
      <c r="H1959">
        <v>0</v>
      </c>
    </row>
    <row r="1960" spans="1:8" x14ac:dyDescent="0.3">
      <c r="A1960">
        <v>2019</v>
      </c>
      <c r="B1960" t="s">
        <v>36</v>
      </c>
      <c r="C1960" t="s">
        <v>267</v>
      </c>
      <c r="D1960" t="s">
        <v>268</v>
      </c>
      <c r="E1960" t="s">
        <v>205</v>
      </c>
      <c r="F1960" t="s">
        <v>208</v>
      </c>
      <c r="G1960" t="s">
        <v>201</v>
      </c>
      <c r="H1960">
        <v>0</v>
      </c>
    </row>
    <row r="1961" spans="1:8" x14ac:dyDescent="0.3">
      <c r="A1961">
        <v>2019</v>
      </c>
      <c r="B1961" t="s">
        <v>36</v>
      </c>
      <c r="C1961" t="s">
        <v>267</v>
      </c>
      <c r="D1961" t="s">
        <v>268</v>
      </c>
      <c r="E1961" t="s">
        <v>206</v>
      </c>
      <c r="F1961" t="s">
        <v>208</v>
      </c>
      <c r="G1961" t="s">
        <v>201</v>
      </c>
      <c r="H1961">
        <v>0</v>
      </c>
    </row>
    <row r="1962" spans="1:8" x14ac:dyDescent="0.3">
      <c r="A1962">
        <v>2019</v>
      </c>
      <c r="B1962" t="s">
        <v>37</v>
      </c>
      <c r="C1962" t="s">
        <v>267</v>
      </c>
      <c r="D1962" t="s">
        <v>268</v>
      </c>
      <c r="E1962" t="s">
        <v>1</v>
      </c>
      <c r="F1962" t="s">
        <v>208</v>
      </c>
      <c r="G1962" t="s">
        <v>201</v>
      </c>
      <c r="H1962">
        <v>3</v>
      </c>
    </row>
    <row r="1963" spans="1:8" x14ac:dyDescent="0.3">
      <c r="A1963">
        <v>2019</v>
      </c>
      <c r="B1963" t="s">
        <v>37</v>
      </c>
      <c r="C1963" t="s">
        <v>267</v>
      </c>
      <c r="D1963" t="s">
        <v>268</v>
      </c>
      <c r="E1963" t="s">
        <v>203</v>
      </c>
      <c r="F1963" t="s">
        <v>208</v>
      </c>
      <c r="G1963" t="s">
        <v>201</v>
      </c>
      <c r="H1963">
        <v>0</v>
      </c>
    </row>
    <row r="1964" spans="1:8" x14ac:dyDescent="0.3">
      <c r="A1964">
        <v>2019</v>
      </c>
      <c r="B1964" t="s">
        <v>37</v>
      </c>
      <c r="C1964" t="s">
        <v>267</v>
      </c>
      <c r="D1964" t="s">
        <v>268</v>
      </c>
      <c r="E1964" t="s">
        <v>204</v>
      </c>
      <c r="F1964" t="s">
        <v>208</v>
      </c>
      <c r="G1964" t="s">
        <v>201</v>
      </c>
      <c r="H1964">
        <v>0</v>
      </c>
    </row>
    <row r="1965" spans="1:8" x14ac:dyDescent="0.3">
      <c r="A1965">
        <v>2019</v>
      </c>
      <c r="B1965" t="s">
        <v>37</v>
      </c>
      <c r="C1965" t="s">
        <v>267</v>
      </c>
      <c r="D1965" t="s">
        <v>268</v>
      </c>
      <c r="E1965" t="s">
        <v>205</v>
      </c>
      <c r="F1965" t="s">
        <v>208</v>
      </c>
      <c r="G1965" t="s">
        <v>201</v>
      </c>
      <c r="H1965">
        <v>0</v>
      </c>
    </row>
    <row r="1966" spans="1:8" x14ac:dyDescent="0.3">
      <c r="A1966">
        <v>2019</v>
      </c>
      <c r="B1966" t="s">
        <v>37</v>
      </c>
      <c r="C1966" t="s">
        <v>267</v>
      </c>
      <c r="D1966" t="s">
        <v>268</v>
      </c>
      <c r="E1966" t="s">
        <v>206</v>
      </c>
      <c r="F1966" t="s">
        <v>208</v>
      </c>
      <c r="G1966" t="s">
        <v>201</v>
      </c>
      <c r="H1966">
        <v>6</v>
      </c>
    </row>
    <row r="1967" spans="1:8" x14ac:dyDescent="0.3">
      <c r="A1967">
        <v>2019</v>
      </c>
      <c r="B1967" t="s">
        <v>38</v>
      </c>
      <c r="C1967" t="s">
        <v>267</v>
      </c>
      <c r="D1967" t="s">
        <v>268</v>
      </c>
      <c r="E1967" t="s">
        <v>1</v>
      </c>
      <c r="F1967" t="s">
        <v>208</v>
      </c>
      <c r="G1967" t="s">
        <v>201</v>
      </c>
      <c r="H1967">
        <v>4</v>
      </c>
    </row>
    <row r="1968" spans="1:8" x14ac:dyDescent="0.3">
      <c r="A1968">
        <v>2019</v>
      </c>
      <c r="B1968" t="s">
        <v>38</v>
      </c>
      <c r="C1968" t="s">
        <v>267</v>
      </c>
      <c r="D1968" t="s">
        <v>268</v>
      </c>
      <c r="E1968" t="s">
        <v>203</v>
      </c>
      <c r="F1968" t="s">
        <v>208</v>
      </c>
      <c r="G1968" t="s">
        <v>201</v>
      </c>
      <c r="H1968">
        <v>2</v>
      </c>
    </row>
    <row r="1969" spans="1:8" x14ac:dyDescent="0.3">
      <c r="A1969">
        <v>2019</v>
      </c>
      <c r="B1969" t="s">
        <v>38</v>
      </c>
      <c r="C1969" t="s">
        <v>267</v>
      </c>
      <c r="D1969" t="s">
        <v>268</v>
      </c>
      <c r="E1969" t="s">
        <v>204</v>
      </c>
      <c r="F1969" t="s">
        <v>208</v>
      </c>
      <c r="G1969" t="s">
        <v>201</v>
      </c>
      <c r="H1969">
        <v>1</v>
      </c>
    </row>
    <row r="1970" spans="1:8" x14ac:dyDescent="0.3">
      <c r="A1970">
        <v>2019</v>
      </c>
      <c r="B1970" t="s">
        <v>38</v>
      </c>
      <c r="C1970" t="s">
        <v>267</v>
      </c>
      <c r="D1970" t="s">
        <v>268</v>
      </c>
      <c r="E1970" t="s">
        <v>205</v>
      </c>
      <c r="F1970" t="s">
        <v>208</v>
      </c>
      <c r="G1970" t="s">
        <v>201</v>
      </c>
      <c r="H1970">
        <v>0</v>
      </c>
    </row>
    <row r="1971" spans="1:8" x14ac:dyDescent="0.3">
      <c r="A1971">
        <v>2019</v>
      </c>
      <c r="B1971" t="s">
        <v>38</v>
      </c>
      <c r="C1971" t="s">
        <v>267</v>
      </c>
      <c r="D1971" t="s">
        <v>268</v>
      </c>
      <c r="E1971" t="s">
        <v>206</v>
      </c>
      <c r="F1971" t="s">
        <v>208</v>
      </c>
      <c r="G1971" t="s">
        <v>201</v>
      </c>
      <c r="H1971">
        <v>4</v>
      </c>
    </row>
    <row r="1972" spans="1:8" x14ac:dyDescent="0.3">
      <c r="A1972">
        <v>2019</v>
      </c>
      <c r="B1972" t="s">
        <v>39</v>
      </c>
      <c r="C1972" t="s">
        <v>267</v>
      </c>
      <c r="D1972" t="s">
        <v>268</v>
      </c>
      <c r="E1972" t="s">
        <v>1</v>
      </c>
      <c r="F1972" t="s">
        <v>208</v>
      </c>
      <c r="G1972" t="s">
        <v>201</v>
      </c>
      <c r="H1972">
        <v>0</v>
      </c>
    </row>
    <row r="1973" spans="1:8" x14ac:dyDescent="0.3">
      <c r="A1973">
        <v>2019</v>
      </c>
      <c r="B1973" t="s">
        <v>39</v>
      </c>
      <c r="C1973" t="s">
        <v>267</v>
      </c>
      <c r="D1973" t="s">
        <v>268</v>
      </c>
      <c r="E1973" t="s">
        <v>203</v>
      </c>
      <c r="F1973" t="s">
        <v>208</v>
      </c>
      <c r="G1973" t="s">
        <v>201</v>
      </c>
      <c r="H1973">
        <v>0</v>
      </c>
    </row>
    <row r="1974" spans="1:8" x14ac:dyDescent="0.3">
      <c r="A1974">
        <v>2019</v>
      </c>
      <c r="B1974" t="s">
        <v>39</v>
      </c>
      <c r="C1974" t="s">
        <v>267</v>
      </c>
      <c r="D1974" t="s">
        <v>268</v>
      </c>
      <c r="E1974" t="s">
        <v>204</v>
      </c>
      <c r="F1974" t="s">
        <v>208</v>
      </c>
      <c r="G1974" t="s">
        <v>201</v>
      </c>
      <c r="H1974">
        <v>0</v>
      </c>
    </row>
    <row r="1975" spans="1:8" x14ac:dyDescent="0.3">
      <c r="A1975">
        <v>2019</v>
      </c>
      <c r="B1975" t="s">
        <v>39</v>
      </c>
      <c r="C1975" t="s">
        <v>267</v>
      </c>
      <c r="D1975" t="s">
        <v>268</v>
      </c>
      <c r="E1975" t="s">
        <v>205</v>
      </c>
      <c r="F1975" t="s">
        <v>208</v>
      </c>
      <c r="G1975" t="s">
        <v>201</v>
      </c>
      <c r="H1975">
        <v>0</v>
      </c>
    </row>
    <row r="1976" spans="1:8" x14ac:dyDescent="0.3">
      <c r="A1976">
        <v>2019</v>
      </c>
      <c r="B1976" t="s">
        <v>39</v>
      </c>
      <c r="C1976" t="s">
        <v>267</v>
      </c>
      <c r="D1976" t="s">
        <v>268</v>
      </c>
      <c r="E1976" t="s">
        <v>206</v>
      </c>
      <c r="F1976" t="s">
        <v>208</v>
      </c>
      <c r="G1976" t="s">
        <v>201</v>
      </c>
      <c r="H1976">
        <v>0</v>
      </c>
    </row>
    <row r="1977" spans="1:8" x14ac:dyDescent="0.3">
      <c r="A1977">
        <v>2019</v>
      </c>
      <c r="B1977" t="s">
        <v>50</v>
      </c>
      <c r="C1977" t="s">
        <v>267</v>
      </c>
      <c r="D1977" t="s">
        <v>268</v>
      </c>
      <c r="E1977" t="s">
        <v>1</v>
      </c>
      <c r="F1977" t="s">
        <v>208</v>
      </c>
      <c r="G1977" t="s">
        <v>201</v>
      </c>
      <c r="H1977">
        <v>8</v>
      </c>
    </row>
    <row r="1978" spans="1:8" x14ac:dyDescent="0.3">
      <c r="A1978">
        <v>2019</v>
      </c>
      <c r="B1978" t="s">
        <v>50</v>
      </c>
      <c r="C1978" t="s">
        <v>267</v>
      </c>
      <c r="D1978" t="s">
        <v>268</v>
      </c>
      <c r="E1978" t="s">
        <v>203</v>
      </c>
      <c r="F1978" t="s">
        <v>208</v>
      </c>
      <c r="G1978" t="s">
        <v>201</v>
      </c>
      <c r="H1978">
        <v>0</v>
      </c>
    </row>
    <row r="1979" spans="1:8" x14ac:dyDescent="0.3">
      <c r="A1979">
        <v>2019</v>
      </c>
      <c r="B1979" t="s">
        <v>50</v>
      </c>
      <c r="C1979" t="s">
        <v>267</v>
      </c>
      <c r="D1979" t="s">
        <v>268</v>
      </c>
      <c r="E1979" t="s">
        <v>204</v>
      </c>
      <c r="F1979" t="s">
        <v>208</v>
      </c>
      <c r="G1979" t="s">
        <v>201</v>
      </c>
      <c r="H1979">
        <v>0</v>
      </c>
    </row>
    <row r="1980" spans="1:8" x14ac:dyDescent="0.3">
      <c r="A1980">
        <v>2019</v>
      </c>
      <c r="B1980" t="s">
        <v>50</v>
      </c>
      <c r="C1980" t="s">
        <v>267</v>
      </c>
      <c r="D1980" t="s">
        <v>268</v>
      </c>
      <c r="E1980" t="s">
        <v>205</v>
      </c>
      <c r="F1980" t="s">
        <v>208</v>
      </c>
      <c r="G1980" t="s">
        <v>201</v>
      </c>
      <c r="H1980">
        <v>0</v>
      </c>
    </row>
    <row r="1981" spans="1:8" x14ac:dyDescent="0.3">
      <c r="A1981">
        <v>2019</v>
      </c>
      <c r="B1981" t="s">
        <v>50</v>
      </c>
      <c r="C1981" t="s">
        <v>267</v>
      </c>
      <c r="D1981" t="s">
        <v>268</v>
      </c>
      <c r="E1981" t="s">
        <v>206</v>
      </c>
      <c r="F1981" t="s">
        <v>208</v>
      </c>
      <c r="G1981" t="s">
        <v>201</v>
      </c>
      <c r="H1981">
        <v>0</v>
      </c>
    </row>
    <row r="1982" spans="1:8" x14ac:dyDescent="0.3">
      <c r="A1982">
        <v>2019</v>
      </c>
      <c r="B1982" t="s">
        <v>40</v>
      </c>
      <c r="C1982" t="s">
        <v>267</v>
      </c>
      <c r="D1982" t="s">
        <v>268</v>
      </c>
      <c r="E1982" t="s">
        <v>1</v>
      </c>
      <c r="F1982" t="s">
        <v>208</v>
      </c>
      <c r="G1982" t="s">
        <v>201</v>
      </c>
      <c r="H1982">
        <v>2</v>
      </c>
    </row>
    <row r="1983" spans="1:8" x14ac:dyDescent="0.3">
      <c r="A1983">
        <v>2019</v>
      </c>
      <c r="B1983" t="s">
        <v>40</v>
      </c>
      <c r="C1983" t="s">
        <v>267</v>
      </c>
      <c r="D1983" t="s">
        <v>268</v>
      </c>
      <c r="E1983" t="s">
        <v>203</v>
      </c>
      <c r="F1983" t="s">
        <v>208</v>
      </c>
      <c r="G1983" t="s">
        <v>201</v>
      </c>
      <c r="H1983">
        <v>1</v>
      </c>
    </row>
    <row r="1984" spans="1:8" x14ac:dyDescent="0.3">
      <c r="A1984">
        <v>2019</v>
      </c>
      <c r="B1984" t="s">
        <v>40</v>
      </c>
      <c r="C1984" t="s">
        <v>267</v>
      </c>
      <c r="D1984" t="s">
        <v>268</v>
      </c>
      <c r="E1984" t="s">
        <v>204</v>
      </c>
      <c r="F1984" t="s">
        <v>208</v>
      </c>
      <c r="G1984" t="s">
        <v>201</v>
      </c>
      <c r="H1984">
        <v>0</v>
      </c>
    </row>
    <row r="1985" spans="1:8" x14ac:dyDescent="0.3">
      <c r="A1985">
        <v>2019</v>
      </c>
      <c r="B1985" t="s">
        <v>40</v>
      </c>
      <c r="C1985" t="s">
        <v>267</v>
      </c>
      <c r="D1985" t="s">
        <v>268</v>
      </c>
      <c r="E1985" t="s">
        <v>205</v>
      </c>
      <c r="F1985" t="s">
        <v>208</v>
      </c>
      <c r="G1985" t="s">
        <v>201</v>
      </c>
      <c r="H1985">
        <v>0</v>
      </c>
    </row>
    <row r="1986" spans="1:8" x14ac:dyDescent="0.3">
      <c r="A1986">
        <v>2019</v>
      </c>
      <c r="B1986" t="s">
        <v>40</v>
      </c>
      <c r="C1986" t="s">
        <v>267</v>
      </c>
      <c r="D1986" t="s">
        <v>268</v>
      </c>
      <c r="E1986" t="s">
        <v>206</v>
      </c>
      <c r="F1986" t="s">
        <v>208</v>
      </c>
      <c r="G1986" t="s">
        <v>201</v>
      </c>
      <c r="H1986">
        <v>8</v>
      </c>
    </row>
    <row r="1987" spans="1:8" x14ac:dyDescent="0.3">
      <c r="A1987">
        <v>2019</v>
      </c>
      <c r="B1987" t="s">
        <v>41</v>
      </c>
      <c r="C1987" t="s">
        <v>267</v>
      </c>
      <c r="D1987" t="s">
        <v>268</v>
      </c>
      <c r="E1987" t="s">
        <v>1</v>
      </c>
      <c r="F1987" t="s">
        <v>208</v>
      </c>
      <c r="G1987" t="s">
        <v>201</v>
      </c>
      <c r="H1987">
        <v>1</v>
      </c>
    </row>
    <row r="1988" spans="1:8" x14ac:dyDescent="0.3">
      <c r="A1988">
        <v>2019</v>
      </c>
      <c r="B1988" t="s">
        <v>41</v>
      </c>
      <c r="C1988" t="s">
        <v>267</v>
      </c>
      <c r="D1988" t="s">
        <v>268</v>
      </c>
      <c r="E1988" t="s">
        <v>203</v>
      </c>
      <c r="F1988" t="s">
        <v>208</v>
      </c>
      <c r="G1988" t="s">
        <v>201</v>
      </c>
      <c r="H1988">
        <v>1</v>
      </c>
    </row>
    <row r="1989" spans="1:8" x14ac:dyDescent="0.3">
      <c r="A1989">
        <v>2019</v>
      </c>
      <c r="B1989" t="s">
        <v>41</v>
      </c>
      <c r="C1989" t="s">
        <v>267</v>
      </c>
      <c r="D1989" t="s">
        <v>268</v>
      </c>
      <c r="E1989" t="s">
        <v>204</v>
      </c>
      <c r="F1989" t="s">
        <v>208</v>
      </c>
      <c r="G1989" t="s">
        <v>201</v>
      </c>
      <c r="H1989">
        <v>0</v>
      </c>
    </row>
    <row r="1990" spans="1:8" x14ac:dyDescent="0.3">
      <c r="A1990">
        <v>2019</v>
      </c>
      <c r="B1990" t="s">
        <v>41</v>
      </c>
      <c r="C1990" t="s">
        <v>267</v>
      </c>
      <c r="D1990" t="s">
        <v>268</v>
      </c>
      <c r="E1990" t="s">
        <v>205</v>
      </c>
      <c r="F1990" t="s">
        <v>208</v>
      </c>
      <c r="G1990" t="s">
        <v>201</v>
      </c>
      <c r="H1990">
        <v>0</v>
      </c>
    </row>
    <row r="1991" spans="1:8" x14ac:dyDescent="0.3">
      <c r="A1991">
        <v>2019</v>
      </c>
      <c r="B1991" t="s">
        <v>41</v>
      </c>
      <c r="C1991" t="s">
        <v>267</v>
      </c>
      <c r="D1991" t="s">
        <v>268</v>
      </c>
      <c r="E1991" t="s">
        <v>206</v>
      </c>
      <c r="F1991" t="s">
        <v>208</v>
      </c>
      <c r="G1991" t="s">
        <v>201</v>
      </c>
      <c r="H1991">
        <v>12</v>
      </c>
    </row>
    <row r="1992" spans="1:8" x14ac:dyDescent="0.3">
      <c r="A1992">
        <v>2019</v>
      </c>
      <c r="B1992" t="s">
        <v>42</v>
      </c>
      <c r="C1992" t="s">
        <v>267</v>
      </c>
      <c r="D1992" t="s">
        <v>268</v>
      </c>
      <c r="E1992" t="s">
        <v>1</v>
      </c>
      <c r="F1992" t="s">
        <v>208</v>
      </c>
      <c r="G1992" t="s">
        <v>201</v>
      </c>
      <c r="H1992">
        <v>2</v>
      </c>
    </row>
    <row r="1993" spans="1:8" x14ac:dyDescent="0.3">
      <c r="A1993">
        <v>2019</v>
      </c>
      <c r="B1993" t="s">
        <v>42</v>
      </c>
      <c r="C1993" t="s">
        <v>267</v>
      </c>
      <c r="D1993" t="s">
        <v>268</v>
      </c>
      <c r="E1993" t="s">
        <v>203</v>
      </c>
      <c r="F1993" t="s">
        <v>208</v>
      </c>
      <c r="G1993" t="s">
        <v>201</v>
      </c>
      <c r="H1993">
        <v>0</v>
      </c>
    </row>
    <row r="1994" spans="1:8" x14ac:dyDescent="0.3">
      <c r="A1994">
        <v>2019</v>
      </c>
      <c r="B1994" t="s">
        <v>42</v>
      </c>
      <c r="C1994" t="s">
        <v>267</v>
      </c>
      <c r="D1994" t="s">
        <v>268</v>
      </c>
      <c r="E1994" t="s">
        <v>204</v>
      </c>
      <c r="F1994" t="s">
        <v>208</v>
      </c>
      <c r="G1994" t="s">
        <v>201</v>
      </c>
      <c r="H1994">
        <v>0</v>
      </c>
    </row>
    <row r="1995" spans="1:8" x14ac:dyDescent="0.3">
      <c r="A1995">
        <v>2019</v>
      </c>
      <c r="B1995" t="s">
        <v>42</v>
      </c>
      <c r="C1995" t="s">
        <v>267</v>
      </c>
      <c r="D1995" t="s">
        <v>268</v>
      </c>
      <c r="E1995" t="s">
        <v>205</v>
      </c>
      <c r="F1995" t="s">
        <v>208</v>
      </c>
      <c r="G1995" t="s">
        <v>201</v>
      </c>
      <c r="H1995">
        <v>0</v>
      </c>
    </row>
    <row r="1996" spans="1:8" x14ac:dyDescent="0.3">
      <c r="A1996">
        <v>2019</v>
      </c>
      <c r="B1996" t="s">
        <v>42</v>
      </c>
      <c r="C1996" t="s">
        <v>267</v>
      </c>
      <c r="D1996" t="s">
        <v>268</v>
      </c>
      <c r="E1996" t="s">
        <v>206</v>
      </c>
      <c r="F1996" t="s">
        <v>208</v>
      </c>
      <c r="G1996" t="s">
        <v>201</v>
      </c>
      <c r="H1996">
        <v>0</v>
      </c>
    </row>
    <row r="1997" spans="1:8" x14ac:dyDescent="0.3">
      <c r="A1997">
        <v>2019</v>
      </c>
      <c r="B1997" t="s">
        <v>215</v>
      </c>
      <c r="C1997" t="s">
        <v>267</v>
      </c>
      <c r="D1997" t="s">
        <v>268</v>
      </c>
      <c r="E1997" t="s">
        <v>1</v>
      </c>
      <c r="F1997" t="s">
        <v>208</v>
      </c>
      <c r="G1997" t="s">
        <v>201</v>
      </c>
      <c r="H1997">
        <v>2</v>
      </c>
    </row>
    <row r="1998" spans="1:8" x14ac:dyDescent="0.3">
      <c r="A1998">
        <v>2019</v>
      </c>
      <c r="B1998" t="s">
        <v>215</v>
      </c>
      <c r="C1998" t="s">
        <v>267</v>
      </c>
      <c r="D1998" t="s">
        <v>268</v>
      </c>
      <c r="E1998" t="s">
        <v>203</v>
      </c>
      <c r="F1998" t="s">
        <v>208</v>
      </c>
      <c r="G1998" t="s">
        <v>201</v>
      </c>
      <c r="H1998">
        <v>0</v>
      </c>
    </row>
    <row r="1999" spans="1:8" x14ac:dyDescent="0.3">
      <c r="A1999">
        <v>2019</v>
      </c>
      <c r="B1999" t="s">
        <v>215</v>
      </c>
      <c r="C1999" t="s">
        <v>267</v>
      </c>
      <c r="D1999" t="s">
        <v>268</v>
      </c>
      <c r="E1999" t="s">
        <v>204</v>
      </c>
      <c r="F1999" t="s">
        <v>208</v>
      </c>
      <c r="G1999" t="s">
        <v>201</v>
      </c>
      <c r="H1999">
        <v>0</v>
      </c>
    </row>
    <row r="2000" spans="1:8" x14ac:dyDescent="0.3">
      <c r="A2000">
        <v>2019</v>
      </c>
      <c r="B2000" t="s">
        <v>215</v>
      </c>
      <c r="C2000" t="s">
        <v>267</v>
      </c>
      <c r="D2000" t="s">
        <v>268</v>
      </c>
      <c r="E2000" t="s">
        <v>205</v>
      </c>
      <c r="F2000" t="s">
        <v>208</v>
      </c>
      <c r="G2000" t="s">
        <v>201</v>
      </c>
      <c r="H2000">
        <v>0</v>
      </c>
    </row>
    <row r="2001" spans="1:8" x14ac:dyDescent="0.3">
      <c r="A2001">
        <v>2019</v>
      </c>
      <c r="B2001" t="s">
        <v>215</v>
      </c>
      <c r="C2001" t="s">
        <v>267</v>
      </c>
      <c r="D2001" t="s">
        <v>268</v>
      </c>
      <c r="E2001" t="s">
        <v>206</v>
      </c>
      <c r="F2001" t="s">
        <v>208</v>
      </c>
      <c r="G2001" t="s">
        <v>201</v>
      </c>
      <c r="H2001">
        <v>0</v>
      </c>
    </row>
    <row r="2002" spans="1:8" x14ac:dyDescent="0.3">
      <c r="A2002">
        <v>2019</v>
      </c>
      <c r="B2002" t="s">
        <v>43</v>
      </c>
      <c r="C2002" t="s">
        <v>267</v>
      </c>
      <c r="D2002" t="s">
        <v>268</v>
      </c>
      <c r="E2002" t="s">
        <v>1</v>
      </c>
      <c r="F2002" t="s">
        <v>208</v>
      </c>
      <c r="G2002" t="s">
        <v>201</v>
      </c>
      <c r="H2002">
        <v>2</v>
      </c>
    </row>
    <row r="2003" spans="1:8" x14ac:dyDescent="0.3">
      <c r="A2003">
        <v>2019</v>
      </c>
      <c r="B2003" t="s">
        <v>43</v>
      </c>
      <c r="C2003" t="s">
        <v>267</v>
      </c>
      <c r="D2003" t="s">
        <v>268</v>
      </c>
      <c r="E2003" t="s">
        <v>203</v>
      </c>
      <c r="F2003" t="s">
        <v>208</v>
      </c>
      <c r="G2003" t="s">
        <v>201</v>
      </c>
      <c r="H2003">
        <v>0</v>
      </c>
    </row>
    <row r="2004" spans="1:8" x14ac:dyDescent="0.3">
      <c r="A2004">
        <v>2019</v>
      </c>
      <c r="B2004" t="s">
        <v>43</v>
      </c>
      <c r="C2004" t="s">
        <v>267</v>
      </c>
      <c r="D2004" t="s">
        <v>268</v>
      </c>
      <c r="E2004" t="s">
        <v>204</v>
      </c>
      <c r="F2004" t="s">
        <v>208</v>
      </c>
      <c r="G2004" t="s">
        <v>201</v>
      </c>
      <c r="H2004">
        <v>0</v>
      </c>
    </row>
    <row r="2005" spans="1:8" x14ac:dyDescent="0.3">
      <c r="A2005">
        <v>2019</v>
      </c>
      <c r="B2005" t="s">
        <v>43</v>
      </c>
      <c r="C2005" t="s">
        <v>267</v>
      </c>
      <c r="D2005" t="s">
        <v>268</v>
      </c>
      <c r="E2005" t="s">
        <v>205</v>
      </c>
      <c r="F2005" t="s">
        <v>208</v>
      </c>
      <c r="G2005" t="s">
        <v>201</v>
      </c>
      <c r="H2005">
        <v>0</v>
      </c>
    </row>
    <row r="2006" spans="1:8" x14ac:dyDescent="0.3">
      <c r="A2006">
        <v>2019</v>
      </c>
      <c r="B2006" t="s">
        <v>43</v>
      </c>
      <c r="C2006" t="s">
        <v>267</v>
      </c>
      <c r="D2006" t="s">
        <v>268</v>
      </c>
      <c r="E2006" t="s">
        <v>206</v>
      </c>
      <c r="F2006" t="s">
        <v>208</v>
      </c>
      <c r="G2006" t="s">
        <v>201</v>
      </c>
      <c r="H2006">
        <v>3</v>
      </c>
    </row>
    <row r="2007" spans="1:8" x14ac:dyDescent="0.3">
      <c r="A2007">
        <v>2019</v>
      </c>
      <c r="B2007" t="s">
        <v>52</v>
      </c>
      <c r="C2007" t="s">
        <v>267</v>
      </c>
      <c r="D2007" t="s">
        <v>268</v>
      </c>
      <c r="E2007" t="s">
        <v>1</v>
      </c>
      <c r="F2007" t="s">
        <v>208</v>
      </c>
      <c r="G2007" t="s">
        <v>201</v>
      </c>
      <c r="H2007">
        <v>2</v>
      </c>
    </row>
    <row r="2008" spans="1:8" x14ac:dyDescent="0.3">
      <c r="A2008">
        <v>2019</v>
      </c>
      <c r="B2008" t="s">
        <v>52</v>
      </c>
      <c r="C2008" t="s">
        <v>267</v>
      </c>
      <c r="D2008" t="s">
        <v>268</v>
      </c>
      <c r="E2008" t="s">
        <v>203</v>
      </c>
      <c r="F2008" t="s">
        <v>208</v>
      </c>
      <c r="G2008" t="s">
        <v>201</v>
      </c>
      <c r="H2008">
        <v>0</v>
      </c>
    </row>
    <row r="2009" spans="1:8" x14ac:dyDescent="0.3">
      <c r="A2009">
        <v>2019</v>
      </c>
      <c r="B2009" t="s">
        <v>52</v>
      </c>
      <c r="C2009" t="s">
        <v>267</v>
      </c>
      <c r="D2009" t="s">
        <v>268</v>
      </c>
      <c r="E2009" t="s">
        <v>204</v>
      </c>
      <c r="F2009" t="s">
        <v>208</v>
      </c>
      <c r="G2009" t="s">
        <v>201</v>
      </c>
      <c r="H2009">
        <v>0</v>
      </c>
    </row>
    <row r="2010" spans="1:8" x14ac:dyDescent="0.3">
      <c r="A2010">
        <v>2019</v>
      </c>
      <c r="B2010" t="s">
        <v>52</v>
      </c>
      <c r="C2010" t="s">
        <v>267</v>
      </c>
      <c r="D2010" t="s">
        <v>268</v>
      </c>
      <c r="E2010" t="s">
        <v>205</v>
      </c>
      <c r="F2010" t="s">
        <v>208</v>
      </c>
      <c r="G2010" t="s">
        <v>201</v>
      </c>
      <c r="H2010">
        <v>0</v>
      </c>
    </row>
    <row r="2011" spans="1:8" x14ac:dyDescent="0.3">
      <c r="A2011">
        <v>2019</v>
      </c>
      <c r="B2011" t="s">
        <v>52</v>
      </c>
      <c r="C2011" t="s">
        <v>267</v>
      </c>
      <c r="D2011" t="s">
        <v>268</v>
      </c>
      <c r="E2011" t="s">
        <v>206</v>
      </c>
      <c r="F2011" t="s">
        <v>208</v>
      </c>
      <c r="G2011" t="s">
        <v>201</v>
      </c>
      <c r="H2011">
        <v>10</v>
      </c>
    </row>
    <row r="2012" spans="1:8" x14ac:dyDescent="0.3">
      <c r="A2012">
        <v>2019</v>
      </c>
      <c r="B2012" t="s">
        <v>44</v>
      </c>
      <c r="C2012" t="s">
        <v>267</v>
      </c>
      <c r="D2012" t="s">
        <v>268</v>
      </c>
      <c r="E2012" t="s">
        <v>1</v>
      </c>
      <c r="F2012" t="s">
        <v>208</v>
      </c>
      <c r="G2012" t="s">
        <v>201</v>
      </c>
      <c r="H2012">
        <v>1</v>
      </c>
    </row>
    <row r="2013" spans="1:8" x14ac:dyDescent="0.3">
      <c r="A2013">
        <v>2019</v>
      </c>
      <c r="B2013" t="s">
        <v>44</v>
      </c>
      <c r="C2013" t="s">
        <v>267</v>
      </c>
      <c r="D2013" t="s">
        <v>268</v>
      </c>
      <c r="E2013" t="s">
        <v>203</v>
      </c>
      <c r="F2013" t="s">
        <v>208</v>
      </c>
      <c r="G2013" t="s">
        <v>201</v>
      </c>
      <c r="H2013">
        <v>0</v>
      </c>
    </row>
    <row r="2014" spans="1:8" x14ac:dyDescent="0.3">
      <c r="A2014">
        <v>2019</v>
      </c>
      <c r="B2014" t="s">
        <v>44</v>
      </c>
      <c r="C2014" t="s">
        <v>267</v>
      </c>
      <c r="D2014" t="s">
        <v>268</v>
      </c>
      <c r="E2014" t="s">
        <v>204</v>
      </c>
      <c r="F2014" t="s">
        <v>208</v>
      </c>
      <c r="G2014" t="s">
        <v>201</v>
      </c>
      <c r="H2014">
        <v>0</v>
      </c>
    </row>
    <row r="2015" spans="1:8" x14ac:dyDescent="0.3">
      <c r="A2015">
        <v>2019</v>
      </c>
      <c r="B2015" t="s">
        <v>44</v>
      </c>
      <c r="C2015" t="s">
        <v>267</v>
      </c>
      <c r="D2015" t="s">
        <v>268</v>
      </c>
      <c r="E2015" t="s">
        <v>205</v>
      </c>
      <c r="F2015" t="s">
        <v>208</v>
      </c>
      <c r="G2015" t="s">
        <v>201</v>
      </c>
      <c r="H2015">
        <v>0</v>
      </c>
    </row>
    <row r="2016" spans="1:8" x14ac:dyDescent="0.3">
      <c r="A2016">
        <v>2019</v>
      </c>
      <c r="B2016" t="s">
        <v>44</v>
      </c>
      <c r="C2016" t="s">
        <v>267</v>
      </c>
      <c r="D2016" t="s">
        <v>268</v>
      </c>
      <c r="E2016" t="s">
        <v>206</v>
      </c>
      <c r="F2016" t="s">
        <v>208</v>
      </c>
      <c r="G2016" t="s">
        <v>201</v>
      </c>
      <c r="H2016">
        <v>1</v>
      </c>
    </row>
    <row r="2017" spans="1:8" x14ac:dyDescent="0.3">
      <c r="A2017">
        <v>2019</v>
      </c>
      <c r="B2017" t="s">
        <v>53</v>
      </c>
      <c r="C2017" t="s">
        <v>267</v>
      </c>
      <c r="D2017" t="s">
        <v>268</v>
      </c>
      <c r="E2017" t="s">
        <v>1</v>
      </c>
      <c r="F2017" t="s">
        <v>208</v>
      </c>
      <c r="G2017" t="s">
        <v>201</v>
      </c>
      <c r="H2017">
        <v>9</v>
      </c>
    </row>
    <row r="2018" spans="1:8" x14ac:dyDescent="0.3">
      <c r="A2018">
        <v>2019</v>
      </c>
      <c r="B2018" t="s">
        <v>53</v>
      </c>
      <c r="C2018" t="s">
        <v>267</v>
      </c>
      <c r="D2018" t="s">
        <v>268</v>
      </c>
      <c r="E2018" t="s">
        <v>203</v>
      </c>
      <c r="F2018" t="s">
        <v>208</v>
      </c>
      <c r="G2018" t="s">
        <v>201</v>
      </c>
      <c r="H2018">
        <v>2</v>
      </c>
    </row>
    <row r="2019" spans="1:8" x14ac:dyDescent="0.3">
      <c r="A2019">
        <v>2019</v>
      </c>
      <c r="B2019" t="s">
        <v>53</v>
      </c>
      <c r="C2019" t="s">
        <v>267</v>
      </c>
      <c r="D2019" t="s">
        <v>268</v>
      </c>
      <c r="E2019" t="s">
        <v>204</v>
      </c>
      <c r="F2019" t="s">
        <v>208</v>
      </c>
      <c r="G2019" t="s">
        <v>201</v>
      </c>
      <c r="H2019">
        <v>0</v>
      </c>
    </row>
    <row r="2020" spans="1:8" x14ac:dyDescent="0.3">
      <c r="A2020">
        <v>2019</v>
      </c>
      <c r="B2020" t="s">
        <v>53</v>
      </c>
      <c r="C2020" t="s">
        <v>267</v>
      </c>
      <c r="D2020" t="s">
        <v>268</v>
      </c>
      <c r="E2020" t="s">
        <v>205</v>
      </c>
      <c r="F2020" t="s">
        <v>208</v>
      </c>
      <c r="G2020" t="s">
        <v>201</v>
      </c>
      <c r="H2020">
        <v>0</v>
      </c>
    </row>
    <row r="2021" spans="1:8" x14ac:dyDescent="0.3">
      <c r="A2021">
        <v>2019</v>
      </c>
      <c r="B2021" t="s">
        <v>53</v>
      </c>
      <c r="C2021" t="s">
        <v>267</v>
      </c>
      <c r="D2021" t="s">
        <v>268</v>
      </c>
      <c r="E2021" t="s">
        <v>206</v>
      </c>
      <c r="F2021" t="s">
        <v>208</v>
      </c>
      <c r="G2021" t="s">
        <v>201</v>
      </c>
      <c r="H2021">
        <v>56</v>
      </c>
    </row>
    <row r="2022" spans="1:8" x14ac:dyDescent="0.3">
      <c r="A2022">
        <v>2019</v>
      </c>
      <c r="B2022" t="s">
        <v>197</v>
      </c>
      <c r="C2022" t="s">
        <v>267</v>
      </c>
      <c r="D2022" t="s">
        <v>268</v>
      </c>
      <c r="E2022" t="s">
        <v>1</v>
      </c>
      <c r="F2022" t="s">
        <v>208</v>
      </c>
      <c r="G2022" t="s">
        <v>201</v>
      </c>
      <c r="H2022">
        <v>3</v>
      </c>
    </row>
    <row r="2023" spans="1:8" x14ac:dyDescent="0.3">
      <c r="A2023">
        <v>2019</v>
      </c>
      <c r="B2023" t="s">
        <v>197</v>
      </c>
      <c r="C2023" t="s">
        <v>267</v>
      </c>
      <c r="D2023" t="s">
        <v>268</v>
      </c>
      <c r="E2023" t="s">
        <v>203</v>
      </c>
      <c r="F2023" t="s">
        <v>208</v>
      </c>
      <c r="G2023" t="s">
        <v>201</v>
      </c>
      <c r="H2023">
        <v>1</v>
      </c>
    </row>
    <row r="2024" spans="1:8" x14ac:dyDescent="0.3">
      <c r="A2024">
        <v>2019</v>
      </c>
      <c r="B2024" t="s">
        <v>197</v>
      </c>
      <c r="C2024" t="s">
        <v>267</v>
      </c>
      <c r="D2024" t="s">
        <v>268</v>
      </c>
      <c r="E2024" t="s">
        <v>204</v>
      </c>
      <c r="F2024" t="s">
        <v>208</v>
      </c>
      <c r="G2024" t="s">
        <v>201</v>
      </c>
      <c r="H2024">
        <v>0</v>
      </c>
    </row>
    <row r="2025" spans="1:8" x14ac:dyDescent="0.3">
      <c r="A2025">
        <v>2019</v>
      </c>
      <c r="B2025" t="s">
        <v>197</v>
      </c>
      <c r="C2025" t="s">
        <v>267</v>
      </c>
      <c r="D2025" t="s">
        <v>268</v>
      </c>
      <c r="E2025" t="s">
        <v>205</v>
      </c>
      <c r="F2025" t="s">
        <v>208</v>
      </c>
      <c r="G2025" t="s">
        <v>201</v>
      </c>
      <c r="H2025">
        <v>0</v>
      </c>
    </row>
    <row r="2026" spans="1:8" x14ac:dyDescent="0.3">
      <c r="A2026">
        <v>2019</v>
      </c>
      <c r="B2026" t="s">
        <v>197</v>
      </c>
      <c r="C2026" t="s">
        <v>267</v>
      </c>
      <c r="D2026" t="s">
        <v>268</v>
      </c>
      <c r="E2026" t="s">
        <v>206</v>
      </c>
      <c r="F2026" t="s">
        <v>208</v>
      </c>
      <c r="G2026" t="s">
        <v>201</v>
      </c>
      <c r="H2026">
        <v>8</v>
      </c>
    </row>
    <row r="2027" spans="1:8" x14ac:dyDescent="0.3">
      <c r="A2027">
        <v>2019</v>
      </c>
      <c r="B2027" t="s">
        <v>8</v>
      </c>
      <c r="C2027" t="s">
        <v>267</v>
      </c>
      <c r="D2027" t="s">
        <v>268</v>
      </c>
      <c r="E2027" t="s">
        <v>1</v>
      </c>
      <c r="F2027" t="s">
        <v>208</v>
      </c>
      <c r="G2027" t="s">
        <v>202</v>
      </c>
      <c r="H2027">
        <v>2</v>
      </c>
    </row>
    <row r="2028" spans="1:8" x14ac:dyDescent="0.3">
      <c r="A2028">
        <v>2019</v>
      </c>
      <c r="B2028" t="s">
        <v>8</v>
      </c>
      <c r="C2028" t="s">
        <v>267</v>
      </c>
      <c r="D2028" t="s">
        <v>268</v>
      </c>
      <c r="E2028" t="s">
        <v>203</v>
      </c>
      <c r="F2028" t="s">
        <v>208</v>
      </c>
      <c r="G2028" t="s">
        <v>202</v>
      </c>
      <c r="H2028">
        <v>0</v>
      </c>
    </row>
    <row r="2029" spans="1:8" x14ac:dyDescent="0.3">
      <c r="A2029">
        <v>2019</v>
      </c>
      <c r="B2029" t="s">
        <v>8</v>
      </c>
      <c r="C2029" t="s">
        <v>267</v>
      </c>
      <c r="D2029" t="s">
        <v>268</v>
      </c>
      <c r="E2029" t="s">
        <v>204</v>
      </c>
      <c r="F2029" t="s">
        <v>208</v>
      </c>
      <c r="G2029" t="s">
        <v>202</v>
      </c>
      <c r="H2029">
        <v>0</v>
      </c>
    </row>
    <row r="2030" spans="1:8" x14ac:dyDescent="0.3">
      <c r="A2030">
        <v>2019</v>
      </c>
      <c r="B2030" t="s">
        <v>8</v>
      </c>
      <c r="C2030" t="s">
        <v>267</v>
      </c>
      <c r="D2030" t="s">
        <v>268</v>
      </c>
      <c r="E2030" t="s">
        <v>205</v>
      </c>
      <c r="F2030" t="s">
        <v>208</v>
      </c>
      <c r="G2030" t="s">
        <v>202</v>
      </c>
      <c r="H2030">
        <v>0</v>
      </c>
    </row>
    <row r="2031" spans="1:8" x14ac:dyDescent="0.3">
      <c r="A2031">
        <v>2019</v>
      </c>
      <c r="B2031" t="s">
        <v>8</v>
      </c>
      <c r="C2031" t="s">
        <v>267</v>
      </c>
      <c r="D2031" t="s">
        <v>268</v>
      </c>
      <c r="E2031" t="s">
        <v>206</v>
      </c>
      <c r="F2031" t="s">
        <v>208</v>
      </c>
      <c r="G2031" t="s">
        <v>202</v>
      </c>
      <c r="H2031">
        <v>0</v>
      </c>
    </row>
    <row r="2032" spans="1:8" x14ac:dyDescent="0.3">
      <c r="A2032">
        <v>2019</v>
      </c>
      <c r="B2032" t="s">
        <v>9</v>
      </c>
      <c r="C2032" t="s">
        <v>267</v>
      </c>
      <c r="D2032" t="s">
        <v>268</v>
      </c>
      <c r="E2032" t="s">
        <v>1</v>
      </c>
      <c r="F2032" t="s">
        <v>208</v>
      </c>
      <c r="G2032" t="s">
        <v>202</v>
      </c>
      <c r="H2032">
        <v>1</v>
      </c>
    </row>
    <row r="2033" spans="1:8" x14ac:dyDescent="0.3">
      <c r="A2033">
        <v>2019</v>
      </c>
      <c r="B2033" t="s">
        <v>9</v>
      </c>
      <c r="C2033" t="s">
        <v>267</v>
      </c>
      <c r="D2033" t="s">
        <v>268</v>
      </c>
      <c r="E2033" t="s">
        <v>203</v>
      </c>
      <c r="F2033" t="s">
        <v>208</v>
      </c>
      <c r="G2033" t="s">
        <v>202</v>
      </c>
      <c r="H2033">
        <v>0</v>
      </c>
    </row>
    <row r="2034" spans="1:8" x14ac:dyDescent="0.3">
      <c r="A2034">
        <v>2019</v>
      </c>
      <c r="B2034" t="s">
        <v>9</v>
      </c>
      <c r="C2034" t="s">
        <v>267</v>
      </c>
      <c r="D2034" t="s">
        <v>268</v>
      </c>
      <c r="E2034" t="s">
        <v>204</v>
      </c>
      <c r="F2034" t="s">
        <v>208</v>
      </c>
      <c r="G2034" t="s">
        <v>202</v>
      </c>
      <c r="H2034">
        <v>0</v>
      </c>
    </row>
    <row r="2035" spans="1:8" x14ac:dyDescent="0.3">
      <c r="A2035">
        <v>2019</v>
      </c>
      <c r="B2035" t="s">
        <v>9</v>
      </c>
      <c r="C2035" t="s">
        <v>267</v>
      </c>
      <c r="D2035" t="s">
        <v>268</v>
      </c>
      <c r="E2035" t="s">
        <v>205</v>
      </c>
      <c r="F2035" t="s">
        <v>208</v>
      </c>
      <c r="G2035" t="s">
        <v>202</v>
      </c>
    </row>
    <row r="2036" spans="1:8" x14ac:dyDescent="0.3">
      <c r="A2036">
        <v>2019</v>
      </c>
      <c r="B2036" t="s">
        <v>9</v>
      </c>
      <c r="C2036" t="s">
        <v>267</v>
      </c>
      <c r="D2036" t="s">
        <v>268</v>
      </c>
      <c r="E2036" t="s">
        <v>206</v>
      </c>
      <c r="F2036" t="s">
        <v>208</v>
      </c>
      <c r="G2036" t="s">
        <v>202</v>
      </c>
      <c r="H2036">
        <v>0</v>
      </c>
    </row>
    <row r="2037" spans="1:8" x14ac:dyDescent="0.3">
      <c r="A2037">
        <v>2019</v>
      </c>
      <c r="B2037" t="s">
        <v>10</v>
      </c>
      <c r="C2037" t="s">
        <v>267</v>
      </c>
      <c r="D2037" t="s">
        <v>268</v>
      </c>
      <c r="E2037" t="s">
        <v>1</v>
      </c>
      <c r="F2037" t="s">
        <v>208</v>
      </c>
      <c r="G2037" t="s">
        <v>202</v>
      </c>
      <c r="H2037">
        <v>0</v>
      </c>
    </row>
    <row r="2038" spans="1:8" x14ac:dyDescent="0.3">
      <c r="A2038">
        <v>2019</v>
      </c>
      <c r="B2038" t="s">
        <v>10</v>
      </c>
      <c r="C2038" t="s">
        <v>267</v>
      </c>
      <c r="D2038" t="s">
        <v>268</v>
      </c>
      <c r="E2038" t="s">
        <v>203</v>
      </c>
      <c r="F2038" t="s">
        <v>208</v>
      </c>
      <c r="G2038" t="s">
        <v>202</v>
      </c>
      <c r="H2038">
        <v>0</v>
      </c>
    </row>
    <row r="2039" spans="1:8" x14ac:dyDescent="0.3">
      <c r="A2039">
        <v>2019</v>
      </c>
      <c r="B2039" t="s">
        <v>10</v>
      </c>
      <c r="C2039" t="s">
        <v>267</v>
      </c>
      <c r="D2039" t="s">
        <v>268</v>
      </c>
      <c r="E2039" t="s">
        <v>204</v>
      </c>
      <c r="F2039" t="s">
        <v>208</v>
      </c>
      <c r="G2039" t="s">
        <v>202</v>
      </c>
      <c r="H2039">
        <v>0</v>
      </c>
    </row>
    <row r="2040" spans="1:8" x14ac:dyDescent="0.3">
      <c r="A2040">
        <v>2019</v>
      </c>
      <c r="B2040" t="s">
        <v>10</v>
      </c>
      <c r="C2040" t="s">
        <v>267</v>
      </c>
      <c r="D2040" t="s">
        <v>268</v>
      </c>
      <c r="E2040" t="s">
        <v>205</v>
      </c>
      <c r="F2040" t="s">
        <v>208</v>
      </c>
      <c r="G2040" t="s">
        <v>202</v>
      </c>
      <c r="H2040">
        <v>0</v>
      </c>
    </row>
    <row r="2041" spans="1:8" x14ac:dyDescent="0.3">
      <c r="A2041">
        <v>2019</v>
      </c>
      <c r="B2041" t="s">
        <v>10</v>
      </c>
      <c r="C2041" t="s">
        <v>267</v>
      </c>
      <c r="D2041" t="s">
        <v>268</v>
      </c>
      <c r="E2041" t="s">
        <v>206</v>
      </c>
      <c r="F2041" t="s">
        <v>208</v>
      </c>
      <c r="G2041" t="s">
        <v>202</v>
      </c>
      <c r="H2041">
        <v>0</v>
      </c>
    </row>
    <row r="2042" spans="1:8" x14ac:dyDescent="0.3">
      <c r="A2042">
        <v>2019</v>
      </c>
      <c r="B2042" t="s">
        <v>11</v>
      </c>
      <c r="C2042" t="s">
        <v>267</v>
      </c>
      <c r="D2042" t="s">
        <v>268</v>
      </c>
      <c r="E2042" t="s">
        <v>1</v>
      </c>
      <c r="F2042" t="s">
        <v>208</v>
      </c>
      <c r="G2042" t="s">
        <v>202</v>
      </c>
      <c r="H2042">
        <v>0</v>
      </c>
    </row>
    <row r="2043" spans="1:8" x14ac:dyDescent="0.3">
      <c r="A2043">
        <v>2019</v>
      </c>
      <c r="B2043" t="s">
        <v>11</v>
      </c>
      <c r="C2043" t="s">
        <v>267</v>
      </c>
      <c r="D2043" t="s">
        <v>268</v>
      </c>
      <c r="E2043" t="s">
        <v>203</v>
      </c>
      <c r="F2043" t="s">
        <v>208</v>
      </c>
      <c r="G2043" t="s">
        <v>202</v>
      </c>
      <c r="H2043">
        <v>0</v>
      </c>
    </row>
    <row r="2044" spans="1:8" x14ac:dyDescent="0.3">
      <c r="A2044">
        <v>2019</v>
      </c>
      <c r="B2044" t="s">
        <v>11</v>
      </c>
      <c r="C2044" t="s">
        <v>267</v>
      </c>
      <c r="D2044" t="s">
        <v>268</v>
      </c>
      <c r="E2044" t="s">
        <v>204</v>
      </c>
      <c r="F2044" t="s">
        <v>208</v>
      </c>
      <c r="G2044" t="s">
        <v>202</v>
      </c>
      <c r="H2044">
        <v>0</v>
      </c>
    </row>
    <row r="2045" spans="1:8" x14ac:dyDescent="0.3">
      <c r="A2045">
        <v>2019</v>
      </c>
      <c r="B2045" t="s">
        <v>11</v>
      </c>
      <c r="C2045" t="s">
        <v>267</v>
      </c>
      <c r="D2045" t="s">
        <v>268</v>
      </c>
      <c r="E2045" t="s">
        <v>205</v>
      </c>
      <c r="F2045" t="s">
        <v>208</v>
      </c>
      <c r="G2045" t="s">
        <v>202</v>
      </c>
      <c r="H2045">
        <v>0</v>
      </c>
    </row>
    <row r="2046" spans="1:8" x14ac:dyDescent="0.3">
      <c r="A2046">
        <v>2019</v>
      </c>
      <c r="B2046" t="s">
        <v>11</v>
      </c>
      <c r="C2046" t="s">
        <v>267</v>
      </c>
      <c r="D2046" t="s">
        <v>268</v>
      </c>
      <c r="E2046" t="s">
        <v>206</v>
      </c>
      <c r="F2046" t="s">
        <v>208</v>
      </c>
      <c r="G2046" t="s">
        <v>202</v>
      </c>
      <c r="H2046">
        <v>0</v>
      </c>
    </row>
    <row r="2047" spans="1:8" x14ac:dyDescent="0.3">
      <c r="A2047">
        <v>2019</v>
      </c>
      <c r="B2047" t="s">
        <v>12</v>
      </c>
      <c r="C2047" t="s">
        <v>267</v>
      </c>
      <c r="D2047" t="s">
        <v>268</v>
      </c>
      <c r="E2047" t="s">
        <v>1</v>
      </c>
      <c r="F2047" t="s">
        <v>208</v>
      </c>
      <c r="G2047" t="s">
        <v>202</v>
      </c>
    </row>
    <row r="2048" spans="1:8" x14ac:dyDescent="0.3">
      <c r="A2048">
        <v>2019</v>
      </c>
      <c r="B2048" t="s">
        <v>12</v>
      </c>
      <c r="C2048" t="s">
        <v>267</v>
      </c>
      <c r="D2048" t="s">
        <v>268</v>
      </c>
      <c r="E2048" t="s">
        <v>203</v>
      </c>
      <c r="F2048" t="s">
        <v>208</v>
      </c>
      <c r="G2048" t="s">
        <v>202</v>
      </c>
    </row>
    <row r="2049" spans="1:8" x14ac:dyDescent="0.3">
      <c r="A2049">
        <v>2019</v>
      </c>
      <c r="B2049" t="s">
        <v>12</v>
      </c>
      <c r="C2049" t="s">
        <v>267</v>
      </c>
      <c r="D2049" t="s">
        <v>268</v>
      </c>
      <c r="E2049" t="s">
        <v>204</v>
      </c>
      <c r="F2049" t="s">
        <v>208</v>
      </c>
      <c r="G2049" t="s">
        <v>202</v>
      </c>
    </row>
    <row r="2050" spans="1:8" x14ac:dyDescent="0.3">
      <c r="A2050">
        <v>2019</v>
      </c>
      <c r="B2050" t="s">
        <v>12</v>
      </c>
      <c r="C2050" t="s">
        <v>267</v>
      </c>
      <c r="D2050" t="s">
        <v>268</v>
      </c>
      <c r="E2050" t="s">
        <v>205</v>
      </c>
      <c r="F2050" t="s">
        <v>208</v>
      </c>
      <c r="G2050" t="s">
        <v>202</v>
      </c>
    </row>
    <row r="2051" spans="1:8" x14ac:dyDescent="0.3">
      <c r="A2051">
        <v>2019</v>
      </c>
      <c r="B2051" t="s">
        <v>12</v>
      </c>
      <c r="C2051" t="s">
        <v>267</v>
      </c>
      <c r="D2051" t="s">
        <v>268</v>
      </c>
      <c r="E2051" t="s">
        <v>206</v>
      </c>
      <c r="F2051" t="s">
        <v>208</v>
      </c>
      <c r="G2051" t="s">
        <v>202</v>
      </c>
    </row>
    <row r="2052" spans="1:8" x14ac:dyDescent="0.3">
      <c r="A2052">
        <v>2019</v>
      </c>
      <c r="B2052" t="s">
        <v>13</v>
      </c>
      <c r="C2052" t="s">
        <v>267</v>
      </c>
      <c r="D2052" t="s">
        <v>268</v>
      </c>
      <c r="E2052" t="s">
        <v>1</v>
      </c>
      <c r="F2052" t="s">
        <v>208</v>
      </c>
      <c r="G2052" t="s">
        <v>202</v>
      </c>
      <c r="H2052">
        <v>0</v>
      </c>
    </row>
    <row r="2053" spans="1:8" x14ac:dyDescent="0.3">
      <c r="A2053">
        <v>2019</v>
      </c>
      <c r="B2053" t="s">
        <v>13</v>
      </c>
      <c r="C2053" t="s">
        <v>267</v>
      </c>
      <c r="D2053" t="s">
        <v>268</v>
      </c>
      <c r="E2053" t="s">
        <v>203</v>
      </c>
      <c r="F2053" t="s">
        <v>208</v>
      </c>
      <c r="G2053" t="s">
        <v>202</v>
      </c>
      <c r="H2053">
        <v>0</v>
      </c>
    </row>
    <row r="2054" spans="1:8" x14ac:dyDescent="0.3">
      <c r="A2054">
        <v>2019</v>
      </c>
      <c r="B2054" t="s">
        <v>13</v>
      </c>
      <c r="C2054" t="s">
        <v>267</v>
      </c>
      <c r="D2054" t="s">
        <v>268</v>
      </c>
      <c r="E2054" t="s">
        <v>204</v>
      </c>
      <c r="F2054" t="s">
        <v>208</v>
      </c>
      <c r="G2054" t="s">
        <v>202</v>
      </c>
      <c r="H2054">
        <v>0</v>
      </c>
    </row>
    <row r="2055" spans="1:8" x14ac:dyDescent="0.3">
      <c r="A2055">
        <v>2019</v>
      </c>
      <c r="B2055" t="s">
        <v>13</v>
      </c>
      <c r="C2055" t="s">
        <v>267</v>
      </c>
      <c r="D2055" t="s">
        <v>268</v>
      </c>
      <c r="E2055" t="s">
        <v>205</v>
      </c>
      <c r="F2055" t="s">
        <v>208</v>
      </c>
      <c r="G2055" t="s">
        <v>202</v>
      </c>
      <c r="H2055">
        <v>0</v>
      </c>
    </row>
    <row r="2056" spans="1:8" x14ac:dyDescent="0.3">
      <c r="A2056">
        <v>2019</v>
      </c>
      <c r="B2056" t="s">
        <v>13</v>
      </c>
      <c r="C2056" t="s">
        <v>267</v>
      </c>
      <c r="D2056" t="s">
        <v>268</v>
      </c>
      <c r="E2056" t="s">
        <v>206</v>
      </c>
      <c r="F2056" t="s">
        <v>208</v>
      </c>
      <c r="G2056" t="s">
        <v>202</v>
      </c>
      <c r="H2056">
        <v>0</v>
      </c>
    </row>
    <row r="2057" spans="1:8" x14ac:dyDescent="0.3">
      <c r="A2057">
        <v>2019</v>
      </c>
      <c r="B2057" t="s">
        <v>14</v>
      </c>
      <c r="C2057" t="s">
        <v>267</v>
      </c>
      <c r="D2057" t="s">
        <v>268</v>
      </c>
      <c r="E2057" t="s">
        <v>1</v>
      </c>
      <c r="F2057" t="s">
        <v>208</v>
      </c>
      <c r="G2057" t="s">
        <v>202</v>
      </c>
      <c r="H2057">
        <v>0</v>
      </c>
    </row>
    <row r="2058" spans="1:8" x14ac:dyDescent="0.3">
      <c r="A2058">
        <v>2019</v>
      </c>
      <c r="B2058" t="s">
        <v>14</v>
      </c>
      <c r="C2058" t="s">
        <v>267</v>
      </c>
      <c r="D2058" t="s">
        <v>268</v>
      </c>
      <c r="E2058" t="s">
        <v>203</v>
      </c>
      <c r="F2058" t="s">
        <v>208</v>
      </c>
      <c r="G2058" t="s">
        <v>202</v>
      </c>
      <c r="H2058">
        <v>0</v>
      </c>
    </row>
    <row r="2059" spans="1:8" x14ac:dyDescent="0.3">
      <c r="A2059">
        <v>2019</v>
      </c>
      <c r="B2059" t="s">
        <v>14</v>
      </c>
      <c r="C2059" t="s">
        <v>267</v>
      </c>
      <c r="D2059" t="s">
        <v>268</v>
      </c>
      <c r="E2059" t="s">
        <v>204</v>
      </c>
      <c r="F2059" t="s">
        <v>208</v>
      </c>
      <c r="G2059" t="s">
        <v>202</v>
      </c>
      <c r="H2059">
        <v>0</v>
      </c>
    </row>
    <row r="2060" spans="1:8" x14ac:dyDescent="0.3">
      <c r="A2060">
        <v>2019</v>
      </c>
      <c r="B2060" t="s">
        <v>14</v>
      </c>
      <c r="C2060" t="s">
        <v>267</v>
      </c>
      <c r="D2060" t="s">
        <v>268</v>
      </c>
      <c r="E2060" t="s">
        <v>205</v>
      </c>
      <c r="F2060" t="s">
        <v>208</v>
      </c>
      <c r="G2060" t="s">
        <v>202</v>
      </c>
      <c r="H2060">
        <v>0</v>
      </c>
    </row>
    <row r="2061" spans="1:8" x14ac:dyDescent="0.3">
      <c r="A2061">
        <v>2019</v>
      </c>
      <c r="B2061" t="s">
        <v>14</v>
      </c>
      <c r="C2061" t="s">
        <v>267</v>
      </c>
      <c r="D2061" t="s">
        <v>268</v>
      </c>
      <c r="E2061" t="s">
        <v>206</v>
      </c>
      <c r="F2061" t="s">
        <v>208</v>
      </c>
      <c r="G2061" t="s">
        <v>202</v>
      </c>
      <c r="H2061">
        <v>0</v>
      </c>
    </row>
    <row r="2062" spans="1:8" x14ac:dyDescent="0.3">
      <c r="A2062">
        <v>2019</v>
      </c>
      <c r="B2062" t="s">
        <v>15</v>
      </c>
      <c r="C2062" t="s">
        <v>267</v>
      </c>
      <c r="D2062" t="s">
        <v>268</v>
      </c>
      <c r="E2062" t="s">
        <v>1</v>
      </c>
      <c r="F2062" t="s">
        <v>208</v>
      </c>
      <c r="G2062" t="s">
        <v>202</v>
      </c>
      <c r="H2062">
        <v>1</v>
      </c>
    </row>
    <row r="2063" spans="1:8" x14ac:dyDescent="0.3">
      <c r="A2063">
        <v>2019</v>
      </c>
      <c r="B2063" t="s">
        <v>15</v>
      </c>
      <c r="C2063" t="s">
        <v>267</v>
      </c>
      <c r="D2063" t="s">
        <v>268</v>
      </c>
      <c r="E2063" t="s">
        <v>203</v>
      </c>
      <c r="F2063" t="s">
        <v>208</v>
      </c>
      <c r="G2063" t="s">
        <v>202</v>
      </c>
      <c r="H2063">
        <v>0</v>
      </c>
    </row>
    <row r="2064" spans="1:8" x14ac:dyDescent="0.3">
      <c r="A2064">
        <v>2019</v>
      </c>
      <c r="B2064" t="s">
        <v>15</v>
      </c>
      <c r="C2064" t="s">
        <v>267</v>
      </c>
      <c r="D2064" t="s">
        <v>268</v>
      </c>
      <c r="E2064" t="s">
        <v>204</v>
      </c>
      <c r="F2064" t="s">
        <v>208</v>
      </c>
      <c r="G2064" t="s">
        <v>202</v>
      </c>
      <c r="H2064">
        <v>0</v>
      </c>
    </row>
    <row r="2065" spans="1:8" x14ac:dyDescent="0.3">
      <c r="A2065">
        <v>2019</v>
      </c>
      <c r="B2065" t="s">
        <v>15</v>
      </c>
      <c r="C2065" t="s">
        <v>267</v>
      </c>
      <c r="D2065" t="s">
        <v>268</v>
      </c>
      <c r="E2065" t="s">
        <v>205</v>
      </c>
      <c r="F2065" t="s">
        <v>208</v>
      </c>
      <c r="G2065" t="s">
        <v>202</v>
      </c>
      <c r="H2065">
        <v>0</v>
      </c>
    </row>
    <row r="2066" spans="1:8" x14ac:dyDescent="0.3">
      <c r="A2066">
        <v>2019</v>
      </c>
      <c r="B2066" t="s">
        <v>15</v>
      </c>
      <c r="C2066" t="s">
        <v>267</v>
      </c>
      <c r="D2066" t="s">
        <v>268</v>
      </c>
      <c r="E2066" t="s">
        <v>206</v>
      </c>
      <c r="F2066" t="s">
        <v>208</v>
      </c>
      <c r="G2066" t="s">
        <v>202</v>
      </c>
    </row>
    <row r="2067" spans="1:8" x14ac:dyDescent="0.3">
      <c r="A2067">
        <v>2019</v>
      </c>
      <c r="B2067" t="s">
        <v>16</v>
      </c>
      <c r="C2067" t="s">
        <v>267</v>
      </c>
      <c r="D2067" t="s">
        <v>268</v>
      </c>
      <c r="E2067" t="s">
        <v>1</v>
      </c>
      <c r="F2067" t="s">
        <v>208</v>
      </c>
      <c r="G2067" t="s">
        <v>202</v>
      </c>
      <c r="H2067">
        <v>0</v>
      </c>
    </row>
    <row r="2068" spans="1:8" x14ac:dyDescent="0.3">
      <c r="A2068">
        <v>2019</v>
      </c>
      <c r="B2068" t="s">
        <v>16</v>
      </c>
      <c r="C2068" t="s">
        <v>267</v>
      </c>
      <c r="D2068" t="s">
        <v>268</v>
      </c>
      <c r="E2068" t="s">
        <v>203</v>
      </c>
      <c r="F2068" t="s">
        <v>208</v>
      </c>
      <c r="G2068" t="s">
        <v>202</v>
      </c>
      <c r="H2068">
        <v>0</v>
      </c>
    </row>
    <row r="2069" spans="1:8" x14ac:dyDescent="0.3">
      <c r="A2069">
        <v>2019</v>
      </c>
      <c r="B2069" t="s">
        <v>16</v>
      </c>
      <c r="C2069" t="s">
        <v>267</v>
      </c>
      <c r="D2069" t="s">
        <v>268</v>
      </c>
      <c r="E2069" t="s">
        <v>204</v>
      </c>
      <c r="F2069" t="s">
        <v>208</v>
      </c>
      <c r="G2069" t="s">
        <v>202</v>
      </c>
      <c r="H2069">
        <v>0</v>
      </c>
    </row>
    <row r="2070" spans="1:8" x14ac:dyDescent="0.3">
      <c r="A2070">
        <v>2019</v>
      </c>
      <c r="B2070" t="s">
        <v>16</v>
      </c>
      <c r="C2070" t="s">
        <v>267</v>
      </c>
      <c r="D2070" t="s">
        <v>268</v>
      </c>
      <c r="E2070" t="s">
        <v>205</v>
      </c>
      <c r="F2070" t="s">
        <v>208</v>
      </c>
      <c r="G2070" t="s">
        <v>202</v>
      </c>
      <c r="H2070">
        <v>0</v>
      </c>
    </row>
    <row r="2071" spans="1:8" x14ac:dyDescent="0.3">
      <c r="A2071">
        <v>2019</v>
      </c>
      <c r="B2071" t="s">
        <v>16</v>
      </c>
      <c r="C2071" t="s">
        <v>267</v>
      </c>
      <c r="D2071" t="s">
        <v>268</v>
      </c>
      <c r="E2071" t="s">
        <v>206</v>
      </c>
      <c r="F2071" t="s">
        <v>208</v>
      </c>
      <c r="G2071" t="s">
        <v>202</v>
      </c>
      <c r="H2071">
        <v>0</v>
      </c>
    </row>
    <row r="2072" spans="1:8" x14ac:dyDescent="0.3">
      <c r="A2072">
        <v>2019</v>
      </c>
      <c r="B2072" t="s">
        <v>17</v>
      </c>
      <c r="C2072" t="s">
        <v>267</v>
      </c>
      <c r="D2072" t="s">
        <v>268</v>
      </c>
      <c r="E2072" t="s">
        <v>1</v>
      </c>
      <c r="F2072" t="s">
        <v>208</v>
      </c>
      <c r="G2072" t="s">
        <v>202</v>
      </c>
      <c r="H2072">
        <v>1</v>
      </c>
    </row>
    <row r="2073" spans="1:8" x14ac:dyDescent="0.3">
      <c r="A2073">
        <v>2019</v>
      </c>
      <c r="B2073" t="s">
        <v>17</v>
      </c>
      <c r="C2073" t="s">
        <v>267</v>
      </c>
      <c r="D2073" t="s">
        <v>268</v>
      </c>
      <c r="E2073" t="s">
        <v>203</v>
      </c>
      <c r="F2073" t="s">
        <v>208</v>
      </c>
      <c r="G2073" t="s">
        <v>202</v>
      </c>
      <c r="H2073">
        <v>1</v>
      </c>
    </row>
    <row r="2074" spans="1:8" x14ac:dyDescent="0.3">
      <c r="A2074">
        <v>2019</v>
      </c>
      <c r="B2074" t="s">
        <v>17</v>
      </c>
      <c r="C2074" t="s">
        <v>267</v>
      </c>
      <c r="D2074" t="s">
        <v>268</v>
      </c>
      <c r="E2074" t="s">
        <v>204</v>
      </c>
      <c r="F2074" t="s">
        <v>208</v>
      </c>
      <c r="G2074" t="s">
        <v>202</v>
      </c>
      <c r="H2074">
        <v>1</v>
      </c>
    </row>
    <row r="2075" spans="1:8" x14ac:dyDescent="0.3">
      <c r="A2075">
        <v>2019</v>
      </c>
      <c r="B2075" t="s">
        <v>17</v>
      </c>
      <c r="C2075" t="s">
        <v>267</v>
      </c>
      <c r="D2075" t="s">
        <v>268</v>
      </c>
      <c r="E2075" t="s">
        <v>205</v>
      </c>
      <c r="F2075" t="s">
        <v>208</v>
      </c>
      <c r="G2075" t="s">
        <v>202</v>
      </c>
      <c r="H2075">
        <v>0</v>
      </c>
    </row>
    <row r="2076" spans="1:8" x14ac:dyDescent="0.3">
      <c r="A2076">
        <v>2019</v>
      </c>
      <c r="B2076" t="s">
        <v>17</v>
      </c>
      <c r="C2076" t="s">
        <v>267</v>
      </c>
      <c r="D2076" t="s">
        <v>268</v>
      </c>
      <c r="E2076" t="s">
        <v>206</v>
      </c>
      <c r="F2076" t="s">
        <v>208</v>
      </c>
      <c r="G2076" t="s">
        <v>202</v>
      </c>
      <c r="H2076">
        <v>14</v>
      </c>
    </row>
    <row r="2077" spans="1:8" x14ac:dyDescent="0.3">
      <c r="A2077">
        <v>2019</v>
      </c>
      <c r="B2077" t="s">
        <v>163</v>
      </c>
      <c r="C2077" t="s">
        <v>267</v>
      </c>
      <c r="D2077" t="s">
        <v>268</v>
      </c>
      <c r="E2077" t="s">
        <v>1</v>
      </c>
      <c r="F2077" t="s">
        <v>208</v>
      </c>
      <c r="G2077" t="s">
        <v>202</v>
      </c>
      <c r="H2077">
        <v>0</v>
      </c>
    </row>
    <row r="2078" spans="1:8" x14ac:dyDescent="0.3">
      <c r="A2078">
        <v>2019</v>
      </c>
      <c r="B2078" t="s">
        <v>163</v>
      </c>
      <c r="C2078" t="s">
        <v>267</v>
      </c>
      <c r="D2078" t="s">
        <v>268</v>
      </c>
      <c r="E2078" t="s">
        <v>203</v>
      </c>
      <c r="F2078" t="s">
        <v>208</v>
      </c>
      <c r="G2078" t="s">
        <v>202</v>
      </c>
      <c r="H2078">
        <v>0</v>
      </c>
    </row>
    <row r="2079" spans="1:8" x14ac:dyDescent="0.3">
      <c r="A2079">
        <v>2019</v>
      </c>
      <c r="B2079" t="s">
        <v>163</v>
      </c>
      <c r="C2079" t="s">
        <v>267</v>
      </c>
      <c r="D2079" t="s">
        <v>268</v>
      </c>
      <c r="E2079" t="s">
        <v>204</v>
      </c>
      <c r="F2079" t="s">
        <v>208</v>
      </c>
      <c r="G2079" t="s">
        <v>202</v>
      </c>
      <c r="H2079">
        <v>0</v>
      </c>
    </row>
    <row r="2080" spans="1:8" x14ac:dyDescent="0.3">
      <c r="A2080">
        <v>2019</v>
      </c>
      <c r="B2080" t="s">
        <v>163</v>
      </c>
      <c r="C2080" t="s">
        <v>267</v>
      </c>
      <c r="D2080" t="s">
        <v>268</v>
      </c>
      <c r="E2080" t="s">
        <v>205</v>
      </c>
      <c r="F2080" t="s">
        <v>208</v>
      </c>
      <c r="G2080" t="s">
        <v>202</v>
      </c>
      <c r="H2080">
        <v>0</v>
      </c>
    </row>
    <row r="2081" spans="1:8" x14ac:dyDescent="0.3">
      <c r="A2081">
        <v>2019</v>
      </c>
      <c r="B2081" t="s">
        <v>163</v>
      </c>
      <c r="C2081" t="s">
        <v>267</v>
      </c>
      <c r="D2081" t="s">
        <v>268</v>
      </c>
      <c r="E2081" t="s">
        <v>206</v>
      </c>
      <c r="F2081" t="s">
        <v>208</v>
      </c>
      <c r="G2081" t="s">
        <v>202</v>
      </c>
      <c r="H2081">
        <v>0</v>
      </c>
    </row>
    <row r="2082" spans="1:8" x14ac:dyDescent="0.3">
      <c r="A2082">
        <v>2019</v>
      </c>
      <c r="B2082" t="s">
        <v>20</v>
      </c>
      <c r="C2082" t="s">
        <v>267</v>
      </c>
      <c r="D2082" t="s">
        <v>268</v>
      </c>
      <c r="E2082" t="s">
        <v>1</v>
      </c>
      <c r="F2082" t="s">
        <v>208</v>
      </c>
      <c r="G2082" t="s">
        <v>202</v>
      </c>
      <c r="H2082">
        <v>1</v>
      </c>
    </row>
    <row r="2083" spans="1:8" x14ac:dyDescent="0.3">
      <c r="A2083">
        <v>2019</v>
      </c>
      <c r="B2083" t="s">
        <v>20</v>
      </c>
      <c r="C2083" t="s">
        <v>267</v>
      </c>
      <c r="D2083" t="s">
        <v>268</v>
      </c>
      <c r="E2083" t="s">
        <v>203</v>
      </c>
      <c r="F2083" t="s">
        <v>208</v>
      </c>
      <c r="G2083" t="s">
        <v>202</v>
      </c>
      <c r="H2083">
        <v>1</v>
      </c>
    </row>
    <row r="2084" spans="1:8" x14ac:dyDescent="0.3">
      <c r="A2084">
        <v>2019</v>
      </c>
      <c r="B2084" t="s">
        <v>20</v>
      </c>
      <c r="C2084" t="s">
        <v>267</v>
      </c>
      <c r="D2084" t="s">
        <v>268</v>
      </c>
      <c r="E2084" t="s">
        <v>204</v>
      </c>
      <c r="F2084" t="s">
        <v>208</v>
      </c>
      <c r="G2084" t="s">
        <v>202</v>
      </c>
      <c r="H2084">
        <v>0</v>
      </c>
    </row>
    <row r="2085" spans="1:8" x14ac:dyDescent="0.3">
      <c r="A2085">
        <v>2019</v>
      </c>
      <c r="B2085" t="s">
        <v>20</v>
      </c>
      <c r="C2085" t="s">
        <v>267</v>
      </c>
      <c r="D2085" t="s">
        <v>268</v>
      </c>
      <c r="E2085" t="s">
        <v>205</v>
      </c>
      <c r="F2085" t="s">
        <v>208</v>
      </c>
      <c r="G2085" t="s">
        <v>202</v>
      </c>
      <c r="H2085">
        <v>0</v>
      </c>
    </row>
    <row r="2086" spans="1:8" x14ac:dyDescent="0.3">
      <c r="A2086">
        <v>2019</v>
      </c>
      <c r="B2086" t="s">
        <v>20</v>
      </c>
      <c r="C2086" t="s">
        <v>267</v>
      </c>
      <c r="D2086" t="s">
        <v>268</v>
      </c>
      <c r="E2086" t="s">
        <v>206</v>
      </c>
      <c r="F2086" t="s">
        <v>208</v>
      </c>
      <c r="G2086" t="s">
        <v>202</v>
      </c>
      <c r="H2086">
        <v>8</v>
      </c>
    </row>
    <row r="2087" spans="1:8" x14ac:dyDescent="0.3">
      <c r="A2087">
        <v>2019</v>
      </c>
      <c r="B2087" t="s">
        <v>21</v>
      </c>
      <c r="C2087" t="s">
        <v>267</v>
      </c>
      <c r="D2087" t="s">
        <v>268</v>
      </c>
      <c r="E2087" t="s">
        <v>1</v>
      </c>
      <c r="F2087" t="s">
        <v>208</v>
      </c>
      <c r="G2087" t="s">
        <v>202</v>
      </c>
      <c r="H2087">
        <v>1</v>
      </c>
    </row>
    <row r="2088" spans="1:8" x14ac:dyDescent="0.3">
      <c r="A2088">
        <v>2019</v>
      </c>
      <c r="B2088" t="s">
        <v>21</v>
      </c>
      <c r="C2088" t="s">
        <v>267</v>
      </c>
      <c r="D2088" t="s">
        <v>268</v>
      </c>
      <c r="E2088" t="s">
        <v>203</v>
      </c>
      <c r="F2088" t="s">
        <v>208</v>
      </c>
      <c r="G2088" t="s">
        <v>202</v>
      </c>
      <c r="H2088">
        <v>0</v>
      </c>
    </row>
    <row r="2089" spans="1:8" x14ac:dyDescent="0.3">
      <c r="A2089">
        <v>2019</v>
      </c>
      <c r="B2089" t="s">
        <v>21</v>
      </c>
      <c r="C2089" t="s">
        <v>267</v>
      </c>
      <c r="D2089" t="s">
        <v>268</v>
      </c>
      <c r="E2089" t="s">
        <v>204</v>
      </c>
      <c r="F2089" t="s">
        <v>208</v>
      </c>
      <c r="G2089" t="s">
        <v>202</v>
      </c>
      <c r="H2089">
        <v>0</v>
      </c>
    </row>
    <row r="2090" spans="1:8" x14ac:dyDescent="0.3">
      <c r="A2090">
        <v>2019</v>
      </c>
      <c r="B2090" t="s">
        <v>21</v>
      </c>
      <c r="C2090" t="s">
        <v>267</v>
      </c>
      <c r="D2090" t="s">
        <v>268</v>
      </c>
      <c r="E2090" t="s">
        <v>205</v>
      </c>
      <c r="F2090" t="s">
        <v>208</v>
      </c>
      <c r="G2090" t="s">
        <v>202</v>
      </c>
      <c r="H2090">
        <v>0</v>
      </c>
    </row>
    <row r="2091" spans="1:8" x14ac:dyDescent="0.3">
      <c r="A2091">
        <v>2019</v>
      </c>
      <c r="B2091" t="s">
        <v>21</v>
      </c>
      <c r="C2091" t="s">
        <v>267</v>
      </c>
      <c r="D2091" t="s">
        <v>268</v>
      </c>
      <c r="E2091" t="s">
        <v>206</v>
      </c>
      <c r="F2091" t="s">
        <v>208</v>
      </c>
      <c r="G2091" t="s">
        <v>202</v>
      </c>
      <c r="H2091">
        <v>0</v>
      </c>
    </row>
    <row r="2092" spans="1:8" x14ac:dyDescent="0.3">
      <c r="A2092">
        <v>2019</v>
      </c>
      <c r="B2092" t="s">
        <v>22</v>
      </c>
      <c r="C2092" t="s">
        <v>267</v>
      </c>
      <c r="D2092" t="s">
        <v>268</v>
      </c>
      <c r="E2092" t="s">
        <v>1</v>
      </c>
      <c r="F2092" t="s">
        <v>208</v>
      </c>
      <c r="G2092" t="s">
        <v>202</v>
      </c>
      <c r="H2092">
        <v>0</v>
      </c>
    </row>
    <row r="2093" spans="1:8" x14ac:dyDescent="0.3">
      <c r="A2093">
        <v>2019</v>
      </c>
      <c r="B2093" t="s">
        <v>22</v>
      </c>
      <c r="C2093" t="s">
        <v>267</v>
      </c>
      <c r="D2093" t="s">
        <v>268</v>
      </c>
      <c r="E2093" t="s">
        <v>203</v>
      </c>
      <c r="F2093" t="s">
        <v>208</v>
      </c>
      <c r="G2093" t="s">
        <v>202</v>
      </c>
      <c r="H2093">
        <v>0</v>
      </c>
    </row>
    <row r="2094" spans="1:8" x14ac:dyDescent="0.3">
      <c r="A2094">
        <v>2019</v>
      </c>
      <c r="B2094" t="s">
        <v>22</v>
      </c>
      <c r="C2094" t="s">
        <v>267</v>
      </c>
      <c r="D2094" t="s">
        <v>268</v>
      </c>
      <c r="E2094" t="s">
        <v>204</v>
      </c>
      <c r="F2094" t="s">
        <v>208</v>
      </c>
      <c r="G2094" t="s">
        <v>202</v>
      </c>
      <c r="H2094">
        <v>0</v>
      </c>
    </row>
    <row r="2095" spans="1:8" x14ac:dyDescent="0.3">
      <c r="A2095">
        <v>2019</v>
      </c>
      <c r="B2095" t="s">
        <v>22</v>
      </c>
      <c r="C2095" t="s">
        <v>267</v>
      </c>
      <c r="D2095" t="s">
        <v>268</v>
      </c>
      <c r="E2095" t="s">
        <v>205</v>
      </c>
      <c r="F2095" t="s">
        <v>208</v>
      </c>
      <c r="G2095" t="s">
        <v>202</v>
      </c>
      <c r="H2095">
        <v>0</v>
      </c>
    </row>
    <row r="2096" spans="1:8" x14ac:dyDescent="0.3">
      <c r="A2096">
        <v>2019</v>
      </c>
      <c r="B2096" t="s">
        <v>22</v>
      </c>
      <c r="C2096" t="s">
        <v>267</v>
      </c>
      <c r="D2096" t="s">
        <v>268</v>
      </c>
      <c r="E2096" t="s">
        <v>206</v>
      </c>
      <c r="F2096" t="s">
        <v>208</v>
      </c>
      <c r="G2096" t="s">
        <v>202</v>
      </c>
      <c r="H2096">
        <v>0</v>
      </c>
    </row>
    <row r="2097" spans="1:8" x14ac:dyDescent="0.3">
      <c r="A2097">
        <v>2019</v>
      </c>
      <c r="B2097" t="s">
        <v>23</v>
      </c>
      <c r="C2097" t="s">
        <v>267</v>
      </c>
      <c r="D2097" t="s">
        <v>268</v>
      </c>
      <c r="E2097" t="s">
        <v>1</v>
      </c>
      <c r="F2097" t="s">
        <v>208</v>
      </c>
      <c r="G2097" t="s">
        <v>202</v>
      </c>
      <c r="H2097">
        <v>0</v>
      </c>
    </row>
    <row r="2098" spans="1:8" x14ac:dyDescent="0.3">
      <c r="A2098">
        <v>2019</v>
      </c>
      <c r="B2098" t="s">
        <v>23</v>
      </c>
      <c r="C2098" t="s">
        <v>267</v>
      </c>
      <c r="D2098" t="s">
        <v>268</v>
      </c>
      <c r="E2098" t="s">
        <v>203</v>
      </c>
      <c r="F2098" t="s">
        <v>208</v>
      </c>
      <c r="G2098" t="s">
        <v>202</v>
      </c>
      <c r="H2098">
        <v>0</v>
      </c>
    </row>
    <row r="2099" spans="1:8" x14ac:dyDescent="0.3">
      <c r="A2099">
        <v>2019</v>
      </c>
      <c r="B2099" t="s">
        <v>23</v>
      </c>
      <c r="C2099" t="s">
        <v>267</v>
      </c>
      <c r="D2099" t="s">
        <v>268</v>
      </c>
      <c r="E2099" t="s">
        <v>204</v>
      </c>
      <c r="F2099" t="s">
        <v>208</v>
      </c>
      <c r="G2099" t="s">
        <v>202</v>
      </c>
      <c r="H2099">
        <v>0</v>
      </c>
    </row>
    <row r="2100" spans="1:8" x14ac:dyDescent="0.3">
      <c r="A2100">
        <v>2019</v>
      </c>
      <c r="B2100" t="s">
        <v>23</v>
      </c>
      <c r="C2100" t="s">
        <v>267</v>
      </c>
      <c r="D2100" t="s">
        <v>268</v>
      </c>
      <c r="E2100" t="s">
        <v>205</v>
      </c>
      <c r="F2100" t="s">
        <v>208</v>
      </c>
      <c r="G2100" t="s">
        <v>202</v>
      </c>
      <c r="H2100">
        <v>0</v>
      </c>
    </row>
    <row r="2101" spans="1:8" x14ac:dyDescent="0.3">
      <c r="A2101">
        <v>2019</v>
      </c>
      <c r="B2101" t="s">
        <v>23</v>
      </c>
      <c r="C2101" t="s">
        <v>267</v>
      </c>
      <c r="D2101" t="s">
        <v>268</v>
      </c>
      <c r="E2101" t="s">
        <v>206</v>
      </c>
      <c r="F2101" t="s">
        <v>208</v>
      </c>
      <c r="G2101" t="s">
        <v>202</v>
      </c>
      <c r="H2101">
        <v>0</v>
      </c>
    </row>
    <row r="2102" spans="1:8" x14ac:dyDescent="0.3">
      <c r="A2102">
        <v>2019</v>
      </c>
      <c r="B2102" t="s">
        <v>54</v>
      </c>
      <c r="C2102" t="s">
        <v>267</v>
      </c>
      <c r="D2102" t="s">
        <v>268</v>
      </c>
      <c r="E2102" t="s">
        <v>1</v>
      </c>
      <c r="F2102" t="s">
        <v>208</v>
      </c>
      <c r="G2102" t="s">
        <v>202</v>
      </c>
      <c r="H2102" t="s">
        <v>274</v>
      </c>
    </row>
    <row r="2103" spans="1:8" x14ac:dyDescent="0.3">
      <c r="A2103">
        <v>2019</v>
      </c>
      <c r="B2103" t="s">
        <v>54</v>
      </c>
      <c r="C2103" t="s">
        <v>267</v>
      </c>
      <c r="D2103" t="s">
        <v>268</v>
      </c>
      <c r="E2103" t="s">
        <v>203</v>
      </c>
      <c r="F2103" t="s">
        <v>208</v>
      </c>
      <c r="G2103" t="s">
        <v>202</v>
      </c>
      <c r="H2103" t="s">
        <v>274</v>
      </c>
    </row>
    <row r="2104" spans="1:8" x14ac:dyDescent="0.3">
      <c r="A2104">
        <v>2019</v>
      </c>
      <c r="B2104" t="s">
        <v>54</v>
      </c>
      <c r="C2104" t="s">
        <v>267</v>
      </c>
      <c r="D2104" t="s">
        <v>268</v>
      </c>
      <c r="E2104" t="s">
        <v>204</v>
      </c>
      <c r="F2104" t="s">
        <v>208</v>
      </c>
      <c r="G2104" t="s">
        <v>202</v>
      </c>
      <c r="H2104" t="s">
        <v>274</v>
      </c>
    </row>
    <row r="2105" spans="1:8" x14ac:dyDescent="0.3">
      <c r="A2105">
        <v>2019</v>
      </c>
      <c r="B2105" t="s">
        <v>54</v>
      </c>
      <c r="C2105" t="s">
        <v>267</v>
      </c>
      <c r="D2105" t="s">
        <v>268</v>
      </c>
      <c r="E2105" t="s">
        <v>205</v>
      </c>
      <c r="F2105" t="s">
        <v>208</v>
      </c>
      <c r="G2105" t="s">
        <v>202</v>
      </c>
      <c r="H2105" t="s">
        <v>274</v>
      </c>
    </row>
    <row r="2106" spans="1:8" x14ac:dyDescent="0.3">
      <c r="A2106">
        <v>2019</v>
      </c>
      <c r="B2106" t="s">
        <v>54</v>
      </c>
      <c r="C2106" t="s">
        <v>267</v>
      </c>
      <c r="D2106" t="s">
        <v>268</v>
      </c>
      <c r="E2106" t="s">
        <v>206</v>
      </c>
      <c r="F2106" t="s">
        <v>208</v>
      </c>
      <c r="G2106" t="s">
        <v>202</v>
      </c>
      <c r="H2106" t="s">
        <v>274</v>
      </c>
    </row>
    <row r="2107" spans="1:8" x14ac:dyDescent="0.3">
      <c r="A2107">
        <v>2019</v>
      </c>
      <c r="B2107" t="s">
        <v>48</v>
      </c>
      <c r="C2107" t="s">
        <v>267</v>
      </c>
      <c r="D2107" t="s">
        <v>268</v>
      </c>
      <c r="E2107" t="s">
        <v>1</v>
      </c>
      <c r="F2107" t="s">
        <v>208</v>
      </c>
      <c r="G2107" t="s">
        <v>202</v>
      </c>
      <c r="H2107">
        <v>0</v>
      </c>
    </row>
    <row r="2108" spans="1:8" x14ac:dyDescent="0.3">
      <c r="A2108">
        <v>2019</v>
      </c>
      <c r="B2108" t="s">
        <v>48</v>
      </c>
      <c r="C2108" t="s">
        <v>267</v>
      </c>
      <c r="D2108" t="s">
        <v>268</v>
      </c>
      <c r="E2108" t="s">
        <v>203</v>
      </c>
      <c r="F2108" t="s">
        <v>208</v>
      </c>
      <c r="G2108" t="s">
        <v>202</v>
      </c>
      <c r="H2108">
        <v>0</v>
      </c>
    </row>
    <row r="2109" spans="1:8" x14ac:dyDescent="0.3">
      <c r="A2109">
        <v>2019</v>
      </c>
      <c r="B2109" t="s">
        <v>48</v>
      </c>
      <c r="C2109" t="s">
        <v>267</v>
      </c>
      <c r="D2109" t="s">
        <v>268</v>
      </c>
      <c r="E2109" t="s">
        <v>204</v>
      </c>
      <c r="F2109" t="s">
        <v>208</v>
      </c>
      <c r="G2109" t="s">
        <v>202</v>
      </c>
      <c r="H2109">
        <v>0</v>
      </c>
    </row>
    <row r="2110" spans="1:8" x14ac:dyDescent="0.3">
      <c r="A2110">
        <v>2019</v>
      </c>
      <c r="B2110" t="s">
        <v>48</v>
      </c>
      <c r="C2110" t="s">
        <v>267</v>
      </c>
      <c r="D2110" t="s">
        <v>268</v>
      </c>
      <c r="E2110" t="s">
        <v>205</v>
      </c>
      <c r="F2110" t="s">
        <v>208</v>
      </c>
      <c r="G2110" t="s">
        <v>202</v>
      </c>
      <c r="H2110">
        <v>0</v>
      </c>
    </row>
    <row r="2111" spans="1:8" x14ac:dyDescent="0.3">
      <c r="A2111">
        <v>2019</v>
      </c>
      <c r="B2111" t="s">
        <v>48</v>
      </c>
      <c r="C2111" t="s">
        <v>267</v>
      </c>
      <c r="D2111" t="s">
        <v>268</v>
      </c>
      <c r="E2111" t="s">
        <v>206</v>
      </c>
      <c r="F2111" t="s">
        <v>208</v>
      </c>
      <c r="G2111" t="s">
        <v>202</v>
      </c>
      <c r="H2111">
        <v>0</v>
      </c>
    </row>
    <row r="2112" spans="1:8" x14ac:dyDescent="0.3">
      <c r="A2112">
        <v>2019</v>
      </c>
      <c r="B2112" t="s">
        <v>24</v>
      </c>
      <c r="C2112" t="s">
        <v>267</v>
      </c>
      <c r="D2112" t="s">
        <v>268</v>
      </c>
      <c r="E2112" t="s">
        <v>1</v>
      </c>
      <c r="F2112" t="s">
        <v>208</v>
      </c>
      <c r="G2112" t="s">
        <v>202</v>
      </c>
      <c r="H2112">
        <v>8</v>
      </c>
    </row>
    <row r="2113" spans="1:8" x14ac:dyDescent="0.3">
      <c r="A2113">
        <v>2019</v>
      </c>
      <c r="B2113" t="s">
        <v>24</v>
      </c>
      <c r="C2113" t="s">
        <v>267</v>
      </c>
      <c r="D2113" t="s">
        <v>268</v>
      </c>
      <c r="E2113" t="s">
        <v>203</v>
      </c>
      <c r="F2113" t="s">
        <v>208</v>
      </c>
      <c r="G2113" t="s">
        <v>202</v>
      </c>
      <c r="H2113">
        <v>0</v>
      </c>
    </row>
    <row r="2114" spans="1:8" x14ac:dyDescent="0.3">
      <c r="A2114">
        <v>2019</v>
      </c>
      <c r="B2114" t="s">
        <v>24</v>
      </c>
      <c r="C2114" t="s">
        <v>267</v>
      </c>
      <c r="D2114" t="s">
        <v>268</v>
      </c>
      <c r="E2114" t="s">
        <v>204</v>
      </c>
      <c r="F2114" t="s">
        <v>208</v>
      </c>
      <c r="G2114" t="s">
        <v>202</v>
      </c>
      <c r="H2114">
        <v>0</v>
      </c>
    </row>
    <row r="2115" spans="1:8" x14ac:dyDescent="0.3">
      <c r="A2115">
        <v>2019</v>
      </c>
      <c r="B2115" t="s">
        <v>24</v>
      </c>
      <c r="C2115" t="s">
        <v>267</v>
      </c>
      <c r="D2115" t="s">
        <v>268</v>
      </c>
      <c r="E2115" t="s">
        <v>205</v>
      </c>
      <c r="F2115" t="s">
        <v>208</v>
      </c>
      <c r="G2115" t="s">
        <v>202</v>
      </c>
      <c r="H2115">
        <v>0</v>
      </c>
    </row>
    <row r="2116" spans="1:8" x14ac:dyDescent="0.3">
      <c r="A2116">
        <v>2019</v>
      </c>
      <c r="B2116" t="s">
        <v>24</v>
      </c>
      <c r="C2116" t="s">
        <v>267</v>
      </c>
      <c r="D2116" t="s">
        <v>268</v>
      </c>
      <c r="E2116" t="s">
        <v>206</v>
      </c>
      <c r="F2116" t="s">
        <v>208</v>
      </c>
      <c r="G2116" t="s">
        <v>202</v>
      </c>
      <c r="H2116">
        <v>9</v>
      </c>
    </row>
    <row r="2117" spans="1:8" x14ac:dyDescent="0.3">
      <c r="A2117">
        <v>2019</v>
      </c>
      <c r="B2117" t="s">
        <v>214</v>
      </c>
      <c r="C2117" t="s">
        <v>267</v>
      </c>
      <c r="D2117" t="s">
        <v>268</v>
      </c>
      <c r="E2117" t="s">
        <v>1</v>
      </c>
      <c r="F2117" t="s">
        <v>208</v>
      </c>
      <c r="G2117" t="s">
        <v>202</v>
      </c>
      <c r="H2117">
        <v>0</v>
      </c>
    </row>
    <row r="2118" spans="1:8" x14ac:dyDescent="0.3">
      <c r="A2118">
        <v>2019</v>
      </c>
      <c r="B2118" t="s">
        <v>214</v>
      </c>
      <c r="C2118" t="s">
        <v>267</v>
      </c>
      <c r="D2118" t="s">
        <v>268</v>
      </c>
      <c r="E2118" t="s">
        <v>203</v>
      </c>
      <c r="F2118" t="s">
        <v>208</v>
      </c>
      <c r="G2118" t="s">
        <v>202</v>
      </c>
      <c r="H2118">
        <v>0</v>
      </c>
    </row>
    <row r="2119" spans="1:8" x14ac:dyDescent="0.3">
      <c r="A2119">
        <v>2019</v>
      </c>
      <c r="B2119" t="s">
        <v>214</v>
      </c>
      <c r="C2119" t="s">
        <v>267</v>
      </c>
      <c r="D2119" t="s">
        <v>268</v>
      </c>
      <c r="E2119" t="s">
        <v>204</v>
      </c>
      <c r="F2119" t="s">
        <v>208</v>
      </c>
      <c r="G2119" t="s">
        <v>202</v>
      </c>
      <c r="H2119">
        <v>0</v>
      </c>
    </row>
    <row r="2120" spans="1:8" x14ac:dyDescent="0.3">
      <c r="A2120">
        <v>2019</v>
      </c>
      <c r="B2120" t="s">
        <v>214</v>
      </c>
      <c r="C2120" t="s">
        <v>267</v>
      </c>
      <c r="D2120" t="s">
        <v>268</v>
      </c>
      <c r="E2120" t="s">
        <v>205</v>
      </c>
      <c r="F2120" t="s">
        <v>208</v>
      </c>
      <c r="G2120" t="s">
        <v>202</v>
      </c>
      <c r="H2120">
        <v>0</v>
      </c>
    </row>
    <row r="2121" spans="1:8" x14ac:dyDescent="0.3">
      <c r="A2121">
        <v>2019</v>
      </c>
      <c r="B2121" t="s">
        <v>214</v>
      </c>
      <c r="C2121" t="s">
        <v>267</v>
      </c>
      <c r="D2121" t="s">
        <v>268</v>
      </c>
      <c r="E2121" t="s">
        <v>206</v>
      </c>
      <c r="F2121" t="s">
        <v>208</v>
      </c>
      <c r="G2121" t="s">
        <v>202</v>
      </c>
      <c r="H2121">
        <v>0</v>
      </c>
    </row>
    <row r="2122" spans="1:8" x14ac:dyDescent="0.3">
      <c r="A2122">
        <v>2019</v>
      </c>
      <c r="B2122" t="s">
        <v>26</v>
      </c>
      <c r="C2122" t="s">
        <v>267</v>
      </c>
      <c r="D2122" t="s">
        <v>268</v>
      </c>
      <c r="E2122" t="s">
        <v>1</v>
      </c>
      <c r="F2122" t="s">
        <v>208</v>
      </c>
      <c r="G2122" t="s">
        <v>202</v>
      </c>
      <c r="H2122">
        <v>0</v>
      </c>
    </row>
    <row r="2123" spans="1:8" x14ac:dyDescent="0.3">
      <c r="A2123">
        <v>2019</v>
      </c>
      <c r="B2123" t="s">
        <v>26</v>
      </c>
      <c r="C2123" t="s">
        <v>267</v>
      </c>
      <c r="D2123" t="s">
        <v>268</v>
      </c>
      <c r="E2123" t="s">
        <v>203</v>
      </c>
      <c r="F2123" t="s">
        <v>208</v>
      </c>
      <c r="G2123" t="s">
        <v>202</v>
      </c>
      <c r="H2123">
        <v>0</v>
      </c>
    </row>
    <row r="2124" spans="1:8" x14ac:dyDescent="0.3">
      <c r="A2124">
        <v>2019</v>
      </c>
      <c r="B2124" t="s">
        <v>26</v>
      </c>
      <c r="C2124" t="s">
        <v>267</v>
      </c>
      <c r="D2124" t="s">
        <v>268</v>
      </c>
      <c r="E2124" t="s">
        <v>204</v>
      </c>
      <c r="F2124" t="s">
        <v>208</v>
      </c>
      <c r="G2124" t="s">
        <v>202</v>
      </c>
      <c r="H2124">
        <v>0</v>
      </c>
    </row>
    <row r="2125" spans="1:8" x14ac:dyDescent="0.3">
      <c r="A2125">
        <v>2019</v>
      </c>
      <c r="B2125" t="s">
        <v>26</v>
      </c>
      <c r="C2125" t="s">
        <v>267</v>
      </c>
      <c r="D2125" t="s">
        <v>268</v>
      </c>
      <c r="E2125" t="s">
        <v>205</v>
      </c>
      <c r="F2125" t="s">
        <v>208</v>
      </c>
      <c r="G2125" t="s">
        <v>202</v>
      </c>
      <c r="H2125">
        <v>0</v>
      </c>
    </row>
    <row r="2126" spans="1:8" x14ac:dyDescent="0.3">
      <c r="A2126">
        <v>2019</v>
      </c>
      <c r="B2126" t="s">
        <v>26</v>
      </c>
      <c r="C2126" t="s">
        <v>267</v>
      </c>
      <c r="D2126" t="s">
        <v>268</v>
      </c>
      <c r="E2126" t="s">
        <v>206</v>
      </c>
      <c r="F2126" t="s">
        <v>208</v>
      </c>
      <c r="G2126" t="s">
        <v>202</v>
      </c>
      <c r="H2126">
        <v>0</v>
      </c>
    </row>
    <row r="2127" spans="1:8" x14ac:dyDescent="0.3">
      <c r="A2127">
        <v>2019</v>
      </c>
      <c r="B2127" t="s">
        <v>27</v>
      </c>
      <c r="C2127" t="s">
        <v>267</v>
      </c>
      <c r="D2127" t="s">
        <v>268</v>
      </c>
      <c r="E2127" t="s">
        <v>1</v>
      </c>
      <c r="F2127" t="s">
        <v>208</v>
      </c>
      <c r="G2127" t="s">
        <v>202</v>
      </c>
      <c r="H2127">
        <v>0</v>
      </c>
    </row>
    <row r="2128" spans="1:8" x14ac:dyDescent="0.3">
      <c r="A2128">
        <v>2019</v>
      </c>
      <c r="B2128" t="s">
        <v>27</v>
      </c>
      <c r="C2128" t="s">
        <v>267</v>
      </c>
      <c r="D2128" t="s">
        <v>268</v>
      </c>
      <c r="E2128" t="s">
        <v>203</v>
      </c>
      <c r="F2128" t="s">
        <v>208</v>
      </c>
      <c r="G2128" t="s">
        <v>202</v>
      </c>
      <c r="H2128">
        <v>0</v>
      </c>
    </row>
    <row r="2129" spans="1:8" x14ac:dyDescent="0.3">
      <c r="A2129">
        <v>2019</v>
      </c>
      <c r="B2129" t="s">
        <v>27</v>
      </c>
      <c r="C2129" t="s">
        <v>267</v>
      </c>
      <c r="D2129" t="s">
        <v>268</v>
      </c>
      <c r="E2129" t="s">
        <v>204</v>
      </c>
      <c r="F2129" t="s">
        <v>208</v>
      </c>
      <c r="G2129" t="s">
        <v>202</v>
      </c>
      <c r="H2129">
        <v>0</v>
      </c>
    </row>
    <row r="2130" spans="1:8" x14ac:dyDescent="0.3">
      <c r="A2130">
        <v>2019</v>
      </c>
      <c r="B2130" t="s">
        <v>27</v>
      </c>
      <c r="C2130" t="s">
        <v>267</v>
      </c>
      <c r="D2130" t="s">
        <v>268</v>
      </c>
      <c r="E2130" t="s">
        <v>205</v>
      </c>
      <c r="F2130" t="s">
        <v>208</v>
      </c>
      <c r="G2130" t="s">
        <v>202</v>
      </c>
      <c r="H2130">
        <v>0</v>
      </c>
    </row>
    <row r="2131" spans="1:8" x14ac:dyDescent="0.3">
      <c r="A2131">
        <v>2019</v>
      </c>
      <c r="B2131" t="s">
        <v>27</v>
      </c>
      <c r="C2131" t="s">
        <v>267</v>
      </c>
      <c r="D2131" t="s">
        <v>268</v>
      </c>
      <c r="E2131" t="s">
        <v>206</v>
      </c>
      <c r="F2131" t="s">
        <v>208</v>
      </c>
      <c r="G2131" t="s">
        <v>202</v>
      </c>
      <c r="H2131">
        <v>0</v>
      </c>
    </row>
    <row r="2132" spans="1:8" x14ac:dyDescent="0.3">
      <c r="A2132">
        <v>2019</v>
      </c>
      <c r="B2132" t="s">
        <v>219</v>
      </c>
      <c r="C2132" t="s">
        <v>267</v>
      </c>
      <c r="D2132" t="s">
        <v>268</v>
      </c>
      <c r="E2132" t="s">
        <v>1</v>
      </c>
      <c r="F2132" t="s">
        <v>208</v>
      </c>
      <c r="G2132" t="s">
        <v>202</v>
      </c>
      <c r="H2132">
        <v>1</v>
      </c>
    </row>
    <row r="2133" spans="1:8" x14ac:dyDescent="0.3">
      <c r="A2133">
        <v>2019</v>
      </c>
      <c r="B2133" t="s">
        <v>219</v>
      </c>
      <c r="C2133" t="s">
        <v>267</v>
      </c>
      <c r="D2133" t="s">
        <v>268</v>
      </c>
      <c r="E2133" t="s">
        <v>203</v>
      </c>
      <c r="F2133" t="s">
        <v>208</v>
      </c>
      <c r="G2133" t="s">
        <v>202</v>
      </c>
    </row>
    <row r="2134" spans="1:8" x14ac:dyDescent="0.3">
      <c r="A2134">
        <v>2019</v>
      </c>
      <c r="B2134" t="s">
        <v>219</v>
      </c>
      <c r="C2134" t="s">
        <v>267</v>
      </c>
      <c r="D2134" t="s">
        <v>268</v>
      </c>
      <c r="E2134" t="s">
        <v>204</v>
      </c>
      <c r="F2134" t="s">
        <v>208</v>
      </c>
      <c r="G2134" t="s">
        <v>202</v>
      </c>
    </row>
    <row r="2135" spans="1:8" x14ac:dyDescent="0.3">
      <c r="A2135">
        <v>2019</v>
      </c>
      <c r="B2135" t="s">
        <v>219</v>
      </c>
      <c r="C2135" t="s">
        <v>267</v>
      </c>
      <c r="D2135" t="s">
        <v>268</v>
      </c>
      <c r="E2135" t="s">
        <v>205</v>
      </c>
      <c r="F2135" t="s">
        <v>208</v>
      </c>
      <c r="G2135" t="s">
        <v>202</v>
      </c>
    </row>
    <row r="2136" spans="1:8" x14ac:dyDescent="0.3">
      <c r="A2136">
        <v>2019</v>
      </c>
      <c r="B2136" t="s">
        <v>219</v>
      </c>
      <c r="C2136" t="s">
        <v>267</v>
      </c>
      <c r="D2136" t="s">
        <v>268</v>
      </c>
      <c r="E2136" t="s">
        <v>206</v>
      </c>
      <c r="F2136" t="s">
        <v>208</v>
      </c>
      <c r="G2136" t="s">
        <v>202</v>
      </c>
      <c r="H2136">
        <v>6</v>
      </c>
    </row>
    <row r="2137" spans="1:8" x14ac:dyDescent="0.3">
      <c r="A2137">
        <v>2019</v>
      </c>
      <c r="B2137" t="s">
        <v>46</v>
      </c>
      <c r="C2137" t="s">
        <v>267</v>
      </c>
      <c r="D2137" t="s">
        <v>268</v>
      </c>
      <c r="E2137" t="s">
        <v>1</v>
      </c>
      <c r="F2137" t="s">
        <v>208</v>
      </c>
      <c r="G2137" t="s">
        <v>202</v>
      </c>
    </row>
    <row r="2138" spans="1:8" x14ac:dyDescent="0.3">
      <c r="A2138">
        <v>2019</v>
      </c>
      <c r="B2138" t="s">
        <v>46</v>
      </c>
      <c r="C2138" t="s">
        <v>267</v>
      </c>
      <c r="D2138" t="s">
        <v>268</v>
      </c>
      <c r="E2138" t="s">
        <v>203</v>
      </c>
      <c r="F2138" t="s">
        <v>208</v>
      </c>
      <c r="G2138" t="s">
        <v>202</v>
      </c>
    </row>
    <row r="2139" spans="1:8" x14ac:dyDescent="0.3">
      <c r="A2139">
        <v>2019</v>
      </c>
      <c r="B2139" t="s">
        <v>46</v>
      </c>
      <c r="C2139" t="s">
        <v>267</v>
      </c>
      <c r="D2139" t="s">
        <v>268</v>
      </c>
      <c r="E2139" t="s">
        <v>204</v>
      </c>
      <c r="F2139" t="s">
        <v>208</v>
      </c>
      <c r="G2139" t="s">
        <v>202</v>
      </c>
    </row>
    <row r="2140" spans="1:8" x14ac:dyDescent="0.3">
      <c r="A2140">
        <v>2019</v>
      </c>
      <c r="B2140" t="s">
        <v>46</v>
      </c>
      <c r="C2140" t="s">
        <v>267</v>
      </c>
      <c r="D2140" t="s">
        <v>268</v>
      </c>
      <c r="E2140" t="s">
        <v>205</v>
      </c>
      <c r="F2140" t="s">
        <v>208</v>
      </c>
      <c r="G2140" t="s">
        <v>202</v>
      </c>
    </row>
    <row r="2141" spans="1:8" x14ac:dyDescent="0.3">
      <c r="A2141">
        <v>2019</v>
      </c>
      <c r="B2141" t="s">
        <v>46</v>
      </c>
      <c r="C2141" t="s">
        <v>267</v>
      </c>
      <c r="D2141" t="s">
        <v>268</v>
      </c>
      <c r="E2141" t="s">
        <v>206</v>
      </c>
      <c r="F2141" t="s">
        <v>208</v>
      </c>
      <c r="G2141" t="s">
        <v>202</v>
      </c>
    </row>
    <row r="2142" spans="1:8" x14ac:dyDescent="0.3">
      <c r="A2142">
        <v>2019</v>
      </c>
      <c r="B2142" t="s">
        <v>29</v>
      </c>
      <c r="C2142" t="s">
        <v>267</v>
      </c>
      <c r="D2142" t="s">
        <v>268</v>
      </c>
      <c r="E2142" t="s">
        <v>1</v>
      </c>
      <c r="F2142" t="s">
        <v>208</v>
      </c>
      <c r="G2142" t="s">
        <v>202</v>
      </c>
      <c r="H2142">
        <v>1</v>
      </c>
    </row>
    <row r="2143" spans="1:8" x14ac:dyDescent="0.3">
      <c r="A2143">
        <v>2019</v>
      </c>
      <c r="B2143" t="s">
        <v>29</v>
      </c>
      <c r="C2143" t="s">
        <v>267</v>
      </c>
      <c r="D2143" t="s">
        <v>268</v>
      </c>
      <c r="E2143" t="s">
        <v>203</v>
      </c>
      <c r="F2143" t="s">
        <v>208</v>
      </c>
      <c r="G2143" t="s">
        <v>202</v>
      </c>
      <c r="H2143">
        <v>0</v>
      </c>
    </row>
    <row r="2144" spans="1:8" x14ac:dyDescent="0.3">
      <c r="A2144">
        <v>2019</v>
      </c>
      <c r="B2144" t="s">
        <v>29</v>
      </c>
      <c r="C2144" t="s">
        <v>267</v>
      </c>
      <c r="D2144" t="s">
        <v>268</v>
      </c>
      <c r="E2144" t="s">
        <v>204</v>
      </c>
      <c r="F2144" t="s">
        <v>208</v>
      </c>
      <c r="G2144" t="s">
        <v>202</v>
      </c>
      <c r="H2144">
        <v>0</v>
      </c>
    </row>
    <row r="2145" spans="1:8" x14ac:dyDescent="0.3">
      <c r="A2145">
        <v>2019</v>
      </c>
      <c r="B2145" t="s">
        <v>29</v>
      </c>
      <c r="C2145" t="s">
        <v>267</v>
      </c>
      <c r="D2145" t="s">
        <v>268</v>
      </c>
      <c r="E2145" t="s">
        <v>205</v>
      </c>
      <c r="F2145" t="s">
        <v>208</v>
      </c>
      <c r="G2145" t="s">
        <v>202</v>
      </c>
      <c r="H2145">
        <v>0</v>
      </c>
    </row>
    <row r="2146" spans="1:8" x14ac:dyDescent="0.3">
      <c r="A2146">
        <v>2019</v>
      </c>
      <c r="B2146" t="s">
        <v>29</v>
      </c>
      <c r="C2146" t="s">
        <v>267</v>
      </c>
      <c r="D2146" t="s">
        <v>268</v>
      </c>
      <c r="E2146" t="s">
        <v>206</v>
      </c>
      <c r="F2146" t="s">
        <v>208</v>
      </c>
      <c r="G2146" t="s">
        <v>202</v>
      </c>
      <c r="H2146">
        <v>0</v>
      </c>
    </row>
    <row r="2147" spans="1:8" x14ac:dyDescent="0.3">
      <c r="A2147">
        <v>2019</v>
      </c>
      <c r="B2147" t="s">
        <v>30</v>
      </c>
      <c r="C2147" t="s">
        <v>267</v>
      </c>
      <c r="D2147" t="s">
        <v>268</v>
      </c>
      <c r="E2147" t="s">
        <v>1</v>
      </c>
      <c r="F2147" t="s">
        <v>208</v>
      </c>
      <c r="G2147" t="s">
        <v>202</v>
      </c>
      <c r="H2147">
        <v>1</v>
      </c>
    </row>
    <row r="2148" spans="1:8" x14ac:dyDescent="0.3">
      <c r="A2148">
        <v>2019</v>
      </c>
      <c r="B2148" t="s">
        <v>30</v>
      </c>
      <c r="C2148" t="s">
        <v>267</v>
      </c>
      <c r="D2148" t="s">
        <v>268</v>
      </c>
      <c r="E2148" t="s">
        <v>203</v>
      </c>
      <c r="F2148" t="s">
        <v>208</v>
      </c>
      <c r="G2148" t="s">
        <v>202</v>
      </c>
      <c r="H2148">
        <v>1</v>
      </c>
    </row>
    <row r="2149" spans="1:8" x14ac:dyDescent="0.3">
      <c r="A2149">
        <v>2019</v>
      </c>
      <c r="B2149" t="s">
        <v>30</v>
      </c>
      <c r="C2149" t="s">
        <v>267</v>
      </c>
      <c r="D2149" t="s">
        <v>268</v>
      </c>
      <c r="E2149" t="s">
        <v>204</v>
      </c>
      <c r="F2149" t="s">
        <v>208</v>
      </c>
      <c r="G2149" t="s">
        <v>202</v>
      </c>
      <c r="H2149">
        <v>0</v>
      </c>
    </row>
    <row r="2150" spans="1:8" x14ac:dyDescent="0.3">
      <c r="A2150">
        <v>2019</v>
      </c>
      <c r="B2150" t="s">
        <v>30</v>
      </c>
      <c r="C2150" t="s">
        <v>267</v>
      </c>
      <c r="D2150" t="s">
        <v>268</v>
      </c>
      <c r="E2150" t="s">
        <v>205</v>
      </c>
      <c r="F2150" t="s">
        <v>208</v>
      </c>
      <c r="G2150" t="s">
        <v>202</v>
      </c>
      <c r="H2150">
        <v>0</v>
      </c>
    </row>
    <row r="2151" spans="1:8" x14ac:dyDescent="0.3">
      <c r="A2151">
        <v>2019</v>
      </c>
      <c r="B2151" t="s">
        <v>30</v>
      </c>
      <c r="C2151" t="s">
        <v>267</v>
      </c>
      <c r="D2151" t="s">
        <v>268</v>
      </c>
      <c r="E2151" t="s">
        <v>206</v>
      </c>
      <c r="F2151" t="s">
        <v>208</v>
      </c>
      <c r="G2151" t="s">
        <v>202</v>
      </c>
      <c r="H2151">
        <v>16</v>
      </c>
    </row>
    <row r="2152" spans="1:8" x14ac:dyDescent="0.3">
      <c r="A2152">
        <v>2019</v>
      </c>
      <c r="B2152" t="s">
        <v>31</v>
      </c>
      <c r="C2152" t="s">
        <v>267</v>
      </c>
      <c r="D2152" t="s">
        <v>268</v>
      </c>
      <c r="E2152" t="s">
        <v>1</v>
      </c>
      <c r="F2152" t="s">
        <v>208</v>
      </c>
      <c r="G2152" t="s">
        <v>202</v>
      </c>
      <c r="H2152">
        <v>0</v>
      </c>
    </row>
    <row r="2153" spans="1:8" x14ac:dyDescent="0.3">
      <c r="A2153">
        <v>2019</v>
      </c>
      <c r="B2153" t="s">
        <v>31</v>
      </c>
      <c r="C2153" t="s">
        <v>267</v>
      </c>
      <c r="D2153" t="s">
        <v>268</v>
      </c>
      <c r="E2153" t="s">
        <v>203</v>
      </c>
      <c r="F2153" t="s">
        <v>208</v>
      </c>
      <c r="G2153" t="s">
        <v>202</v>
      </c>
      <c r="H2153">
        <v>0</v>
      </c>
    </row>
    <row r="2154" spans="1:8" x14ac:dyDescent="0.3">
      <c r="A2154">
        <v>2019</v>
      </c>
      <c r="B2154" t="s">
        <v>31</v>
      </c>
      <c r="C2154" t="s">
        <v>267</v>
      </c>
      <c r="D2154" t="s">
        <v>268</v>
      </c>
      <c r="E2154" t="s">
        <v>204</v>
      </c>
      <c r="F2154" t="s">
        <v>208</v>
      </c>
      <c r="G2154" t="s">
        <v>202</v>
      </c>
      <c r="H2154">
        <v>0</v>
      </c>
    </row>
    <row r="2155" spans="1:8" x14ac:dyDescent="0.3">
      <c r="A2155">
        <v>2019</v>
      </c>
      <c r="B2155" t="s">
        <v>31</v>
      </c>
      <c r="C2155" t="s">
        <v>267</v>
      </c>
      <c r="D2155" t="s">
        <v>268</v>
      </c>
      <c r="E2155" t="s">
        <v>205</v>
      </c>
      <c r="F2155" t="s">
        <v>208</v>
      </c>
      <c r="G2155" t="s">
        <v>202</v>
      </c>
      <c r="H2155">
        <v>0</v>
      </c>
    </row>
    <row r="2156" spans="1:8" x14ac:dyDescent="0.3">
      <c r="A2156">
        <v>2019</v>
      </c>
      <c r="B2156" t="s">
        <v>31</v>
      </c>
      <c r="C2156" t="s">
        <v>267</v>
      </c>
      <c r="D2156" t="s">
        <v>268</v>
      </c>
      <c r="E2156" t="s">
        <v>206</v>
      </c>
      <c r="F2156" t="s">
        <v>208</v>
      </c>
      <c r="G2156" t="s">
        <v>202</v>
      </c>
      <c r="H2156">
        <v>0</v>
      </c>
    </row>
    <row r="2157" spans="1:8" x14ac:dyDescent="0.3">
      <c r="A2157">
        <v>2019</v>
      </c>
      <c r="B2157" t="s">
        <v>32</v>
      </c>
      <c r="C2157" t="s">
        <v>267</v>
      </c>
      <c r="D2157" t="s">
        <v>268</v>
      </c>
      <c r="E2157" t="s">
        <v>1</v>
      </c>
      <c r="F2157" t="s">
        <v>208</v>
      </c>
      <c r="G2157" t="s">
        <v>202</v>
      </c>
    </row>
    <row r="2158" spans="1:8" x14ac:dyDescent="0.3">
      <c r="A2158">
        <v>2019</v>
      </c>
      <c r="B2158" t="s">
        <v>32</v>
      </c>
      <c r="C2158" t="s">
        <v>267</v>
      </c>
      <c r="D2158" t="s">
        <v>268</v>
      </c>
      <c r="E2158" t="s">
        <v>203</v>
      </c>
      <c r="F2158" t="s">
        <v>208</v>
      </c>
      <c r="G2158" t="s">
        <v>202</v>
      </c>
    </row>
    <row r="2159" spans="1:8" x14ac:dyDescent="0.3">
      <c r="A2159">
        <v>2019</v>
      </c>
      <c r="B2159" t="s">
        <v>32</v>
      </c>
      <c r="C2159" t="s">
        <v>267</v>
      </c>
      <c r="D2159" t="s">
        <v>268</v>
      </c>
      <c r="E2159" t="s">
        <v>204</v>
      </c>
      <c r="F2159" t="s">
        <v>208</v>
      </c>
      <c r="G2159" t="s">
        <v>202</v>
      </c>
    </row>
    <row r="2160" spans="1:8" x14ac:dyDescent="0.3">
      <c r="A2160">
        <v>2019</v>
      </c>
      <c r="B2160" t="s">
        <v>32</v>
      </c>
      <c r="C2160" t="s">
        <v>267</v>
      </c>
      <c r="D2160" t="s">
        <v>268</v>
      </c>
      <c r="E2160" t="s">
        <v>205</v>
      </c>
      <c r="F2160" t="s">
        <v>208</v>
      </c>
      <c r="G2160" t="s">
        <v>202</v>
      </c>
    </row>
    <row r="2161" spans="1:8" x14ac:dyDescent="0.3">
      <c r="A2161">
        <v>2019</v>
      </c>
      <c r="B2161" t="s">
        <v>32</v>
      </c>
      <c r="C2161" t="s">
        <v>267</v>
      </c>
      <c r="D2161" t="s">
        <v>268</v>
      </c>
      <c r="E2161" t="s">
        <v>206</v>
      </c>
      <c r="F2161" t="s">
        <v>208</v>
      </c>
      <c r="G2161" t="s">
        <v>202</v>
      </c>
    </row>
    <row r="2162" spans="1:8" x14ac:dyDescent="0.3">
      <c r="A2162">
        <v>2019</v>
      </c>
      <c r="B2162" t="s">
        <v>49</v>
      </c>
      <c r="C2162" t="s">
        <v>267</v>
      </c>
      <c r="D2162" t="s">
        <v>268</v>
      </c>
      <c r="E2162" t="s">
        <v>1</v>
      </c>
      <c r="F2162" t="s">
        <v>208</v>
      </c>
      <c r="G2162" t="s">
        <v>202</v>
      </c>
      <c r="H2162">
        <v>0</v>
      </c>
    </row>
    <row r="2163" spans="1:8" x14ac:dyDescent="0.3">
      <c r="A2163">
        <v>2019</v>
      </c>
      <c r="B2163" t="s">
        <v>49</v>
      </c>
      <c r="C2163" t="s">
        <v>267</v>
      </c>
      <c r="D2163" t="s">
        <v>268</v>
      </c>
      <c r="E2163" t="s">
        <v>203</v>
      </c>
      <c r="F2163" t="s">
        <v>208</v>
      </c>
      <c r="G2163" t="s">
        <v>202</v>
      </c>
      <c r="H2163">
        <v>0</v>
      </c>
    </row>
    <row r="2164" spans="1:8" x14ac:dyDescent="0.3">
      <c r="A2164">
        <v>2019</v>
      </c>
      <c r="B2164" t="s">
        <v>49</v>
      </c>
      <c r="C2164" t="s">
        <v>267</v>
      </c>
      <c r="D2164" t="s">
        <v>268</v>
      </c>
      <c r="E2164" t="s">
        <v>204</v>
      </c>
      <c r="F2164" t="s">
        <v>208</v>
      </c>
      <c r="G2164" t="s">
        <v>202</v>
      </c>
      <c r="H2164">
        <v>0</v>
      </c>
    </row>
    <row r="2165" spans="1:8" x14ac:dyDescent="0.3">
      <c r="A2165">
        <v>2019</v>
      </c>
      <c r="B2165" t="s">
        <v>49</v>
      </c>
      <c r="C2165" t="s">
        <v>267</v>
      </c>
      <c r="D2165" t="s">
        <v>268</v>
      </c>
      <c r="E2165" t="s">
        <v>205</v>
      </c>
      <c r="F2165" t="s">
        <v>208</v>
      </c>
      <c r="G2165" t="s">
        <v>202</v>
      </c>
      <c r="H2165">
        <v>0</v>
      </c>
    </row>
    <row r="2166" spans="1:8" x14ac:dyDescent="0.3">
      <c r="A2166">
        <v>2019</v>
      </c>
      <c r="B2166" t="s">
        <v>49</v>
      </c>
      <c r="C2166" t="s">
        <v>267</v>
      </c>
      <c r="D2166" t="s">
        <v>268</v>
      </c>
      <c r="E2166" t="s">
        <v>206</v>
      </c>
      <c r="F2166" t="s">
        <v>208</v>
      </c>
      <c r="G2166" t="s">
        <v>202</v>
      </c>
      <c r="H2166">
        <v>0</v>
      </c>
    </row>
    <row r="2167" spans="1:8" x14ac:dyDescent="0.3">
      <c r="A2167">
        <v>2019</v>
      </c>
      <c r="B2167" t="s">
        <v>33</v>
      </c>
      <c r="C2167" t="s">
        <v>267</v>
      </c>
      <c r="D2167" t="s">
        <v>268</v>
      </c>
      <c r="E2167" t="s">
        <v>1</v>
      </c>
      <c r="F2167" t="s">
        <v>208</v>
      </c>
      <c r="G2167" t="s">
        <v>202</v>
      </c>
      <c r="H2167">
        <v>1</v>
      </c>
    </row>
    <row r="2168" spans="1:8" x14ac:dyDescent="0.3">
      <c r="A2168">
        <v>2019</v>
      </c>
      <c r="B2168" t="s">
        <v>33</v>
      </c>
      <c r="C2168" t="s">
        <v>267</v>
      </c>
      <c r="D2168" t="s">
        <v>268</v>
      </c>
      <c r="E2168" t="s">
        <v>203</v>
      </c>
      <c r="F2168" t="s">
        <v>208</v>
      </c>
      <c r="G2168" t="s">
        <v>202</v>
      </c>
      <c r="H2168">
        <v>0</v>
      </c>
    </row>
    <row r="2169" spans="1:8" x14ac:dyDescent="0.3">
      <c r="A2169">
        <v>2019</v>
      </c>
      <c r="B2169" t="s">
        <v>33</v>
      </c>
      <c r="C2169" t="s">
        <v>267</v>
      </c>
      <c r="D2169" t="s">
        <v>268</v>
      </c>
      <c r="E2169" t="s">
        <v>204</v>
      </c>
      <c r="F2169" t="s">
        <v>208</v>
      </c>
      <c r="G2169" t="s">
        <v>202</v>
      </c>
      <c r="H2169">
        <v>0</v>
      </c>
    </row>
    <row r="2170" spans="1:8" x14ac:dyDescent="0.3">
      <c r="A2170">
        <v>2019</v>
      </c>
      <c r="B2170" t="s">
        <v>33</v>
      </c>
      <c r="C2170" t="s">
        <v>267</v>
      </c>
      <c r="D2170" t="s">
        <v>268</v>
      </c>
      <c r="E2170" t="s">
        <v>205</v>
      </c>
      <c r="F2170" t="s">
        <v>208</v>
      </c>
      <c r="G2170" t="s">
        <v>202</v>
      </c>
      <c r="H2170">
        <v>0</v>
      </c>
    </row>
    <row r="2171" spans="1:8" x14ac:dyDescent="0.3">
      <c r="A2171">
        <v>2019</v>
      </c>
      <c r="B2171" t="s">
        <v>33</v>
      </c>
      <c r="C2171" t="s">
        <v>267</v>
      </c>
      <c r="D2171" t="s">
        <v>268</v>
      </c>
      <c r="E2171" t="s">
        <v>206</v>
      </c>
      <c r="F2171" t="s">
        <v>208</v>
      </c>
      <c r="G2171" t="s">
        <v>202</v>
      </c>
      <c r="H2171">
        <v>5</v>
      </c>
    </row>
    <row r="2172" spans="1:8" x14ac:dyDescent="0.3">
      <c r="A2172">
        <v>2019</v>
      </c>
      <c r="B2172" t="s">
        <v>34</v>
      </c>
      <c r="C2172" t="s">
        <v>267</v>
      </c>
      <c r="D2172" t="s">
        <v>268</v>
      </c>
      <c r="E2172" t="s">
        <v>1</v>
      </c>
      <c r="F2172" t="s">
        <v>208</v>
      </c>
      <c r="G2172" t="s">
        <v>202</v>
      </c>
      <c r="H2172">
        <v>0</v>
      </c>
    </row>
    <row r="2173" spans="1:8" x14ac:dyDescent="0.3">
      <c r="A2173">
        <v>2019</v>
      </c>
      <c r="B2173" t="s">
        <v>34</v>
      </c>
      <c r="C2173" t="s">
        <v>267</v>
      </c>
      <c r="D2173" t="s">
        <v>268</v>
      </c>
      <c r="E2173" t="s">
        <v>203</v>
      </c>
      <c r="F2173" t="s">
        <v>208</v>
      </c>
      <c r="G2173" t="s">
        <v>202</v>
      </c>
      <c r="H2173">
        <v>0</v>
      </c>
    </row>
    <row r="2174" spans="1:8" x14ac:dyDescent="0.3">
      <c r="A2174">
        <v>2019</v>
      </c>
      <c r="B2174" t="s">
        <v>34</v>
      </c>
      <c r="C2174" t="s">
        <v>267</v>
      </c>
      <c r="D2174" t="s">
        <v>268</v>
      </c>
      <c r="E2174" t="s">
        <v>204</v>
      </c>
      <c r="F2174" t="s">
        <v>208</v>
      </c>
      <c r="G2174" t="s">
        <v>202</v>
      </c>
      <c r="H2174">
        <v>0</v>
      </c>
    </row>
    <row r="2175" spans="1:8" x14ac:dyDescent="0.3">
      <c r="A2175">
        <v>2019</v>
      </c>
      <c r="B2175" t="s">
        <v>34</v>
      </c>
      <c r="C2175" t="s">
        <v>267</v>
      </c>
      <c r="D2175" t="s">
        <v>268</v>
      </c>
      <c r="E2175" t="s">
        <v>205</v>
      </c>
      <c r="F2175" t="s">
        <v>208</v>
      </c>
      <c r="G2175" t="s">
        <v>202</v>
      </c>
      <c r="H2175">
        <v>0</v>
      </c>
    </row>
    <row r="2176" spans="1:8" x14ac:dyDescent="0.3">
      <c r="A2176">
        <v>2019</v>
      </c>
      <c r="B2176" t="s">
        <v>34</v>
      </c>
      <c r="C2176" t="s">
        <v>267</v>
      </c>
      <c r="D2176" t="s">
        <v>268</v>
      </c>
      <c r="E2176" t="s">
        <v>206</v>
      </c>
      <c r="F2176" t="s">
        <v>208</v>
      </c>
      <c r="G2176" t="s">
        <v>202</v>
      </c>
      <c r="H2176">
        <v>0</v>
      </c>
    </row>
    <row r="2177" spans="1:8" x14ac:dyDescent="0.3">
      <c r="A2177">
        <v>2019</v>
      </c>
      <c r="B2177" t="s">
        <v>35</v>
      </c>
      <c r="C2177" t="s">
        <v>267</v>
      </c>
      <c r="D2177" t="s">
        <v>268</v>
      </c>
      <c r="E2177" t="s">
        <v>1</v>
      </c>
      <c r="F2177" t="s">
        <v>208</v>
      </c>
      <c r="G2177" t="s">
        <v>202</v>
      </c>
      <c r="H2177">
        <v>0</v>
      </c>
    </row>
    <row r="2178" spans="1:8" x14ac:dyDescent="0.3">
      <c r="A2178">
        <v>2019</v>
      </c>
      <c r="B2178" t="s">
        <v>35</v>
      </c>
      <c r="C2178" t="s">
        <v>267</v>
      </c>
      <c r="D2178" t="s">
        <v>268</v>
      </c>
      <c r="E2178" t="s">
        <v>203</v>
      </c>
      <c r="F2178" t="s">
        <v>208</v>
      </c>
      <c r="G2178" t="s">
        <v>202</v>
      </c>
      <c r="H2178">
        <v>0</v>
      </c>
    </row>
    <row r="2179" spans="1:8" x14ac:dyDescent="0.3">
      <c r="A2179">
        <v>2019</v>
      </c>
      <c r="B2179" t="s">
        <v>35</v>
      </c>
      <c r="C2179" t="s">
        <v>267</v>
      </c>
      <c r="D2179" t="s">
        <v>268</v>
      </c>
      <c r="E2179" t="s">
        <v>204</v>
      </c>
      <c r="F2179" t="s">
        <v>208</v>
      </c>
      <c r="G2179" t="s">
        <v>202</v>
      </c>
      <c r="H2179">
        <v>0</v>
      </c>
    </row>
    <row r="2180" spans="1:8" x14ac:dyDescent="0.3">
      <c r="A2180">
        <v>2019</v>
      </c>
      <c r="B2180" t="s">
        <v>35</v>
      </c>
      <c r="C2180" t="s">
        <v>267</v>
      </c>
      <c r="D2180" t="s">
        <v>268</v>
      </c>
      <c r="E2180" t="s">
        <v>205</v>
      </c>
      <c r="F2180" t="s">
        <v>208</v>
      </c>
      <c r="G2180" t="s">
        <v>202</v>
      </c>
      <c r="H2180">
        <v>0</v>
      </c>
    </row>
    <row r="2181" spans="1:8" x14ac:dyDescent="0.3">
      <c r="A2181">
        <v>2019</v>
      </c>
      <c r="B2181" t="s">
        <v>35</v>
      </c>
      <c r="C2181" t="s">
        <v>267</v>
      </c>
      <c r="D2181" t="s">
        <v>268</v>
      </c>
      <c r="E2181" t="s">
        <v>206</v>
      </c>
      <c r="F2181" t="s">
        <v>208</v>
      </c>
      <c r="G2181" t="s">
        <v>202</v>
      </c>
    </row>
    <row r="2182" spans="1:8" x14ac:dyDescent="0.3">
      <c r="A2182">
        <v>2019</v>
      </c>
      <c r="B2182" t="s">
        <v>36</v>
      </c>
      <c r="C2182" t="s">
        <v>267</v>
      </c>
      <c r="D2182" t="s">
        <v>268</v>
      </c>
      <c r="E2182" t="s">
        <v>1</v>
      </c>
      <c r="F2182" t="s">
        <v>208</v>
      </c>
      <c r="G2182" t="s">
        <v>202</v>
      </c>
      <c r="H2182">
        <v>0</v>
      </c>
    </row>
    <row r="2183" spans="1:8" x14ac:dyDescent="0.3">
      <c r="A2183">
        <v>2019</v>
      </c>
      <c r="B2183" t="s">
        <v>36</v>
      </c>
      <c r="C2183" t="s">
        <v>267</v>
      </c>
      <c r="D2183" t="s">
        <v>268</v>
      </c>
      <c r="E2183" t="s">
        <v>203</v>
      </c>
      <c r="F2183" t="s">
        <v>208</v>
      </c>
      <c r="G2183" t="s">
        <v>202</v>
      </c>
      <c r="H2183">
        <v>0</v>
      </c>
    </row>
    <row r="2184" spans="1:8" x14ac:dyDescent="0.3">
      <c r="A2184">
        <v>2019</v>
      </c>
      <c r="B2184" t="s">
        <v>36</v>
      </c>
      <c r="C2184" t="s">
        <v>267</v>
      </c>
      <c r="D2184" t="s">
        <v>268</v>
      </c>
      <c r="E2184" t="s">
        <v>204</v>
      </c>
      <c r="F2184" t="s">
        <v>208</v>
      </c>
      <c r="G2184" t="s">
        <v>202</v>
      </c>
      <c r="H2184">
        <v>0</v>
      </c>
    </row>
    <row r="2185" spans="1:8" x14ac:dyDescent="0.3">
      <c r="A2185">
        <v>2019</v>
      </c>
      <c r="B2185" t="s">
        <v>36</v>
      </c>
      <c r="C2185" t="s">
        <v>267</v>
      </c>
      <c r="D2185" t="s">
        <v>268</v>
      </c>
      <c r="E2185" t="s">
        <v>205</v>
      </c>
      <c r="F2185" t="s">
        <v>208</v>
      </c>
      <c r="G2185" t="s">
        <v>202</v>
      </c>
      <c r="H2185">
        <v>0</v>
      </c>
    </row>
    <row r="2186" spans="1:8" x14ac:dyDescent="0.3">
      <c r="A2186">
        <v>2019</v>
      </c>
      <c r="B2186" t="s">
        <v>36</v>
      </c>
      <c r="C2186" t="s">
        <v>267</v>
      </c>
      <c r="D2186" t="s">
        <v>268</v>
      </c>
      <c r="E2186" t="s">
        <v>206</v>
      </c>
      <c r="F2186" t="s">
        <v>208</v>
      </c>
      <c r="G2186" t="s">
        <v>202</v>
      </c>
      <c r="H2186">
        <v>0</v>
      </c>
    </row>
    <row r="2187" spans="1:8" x14ac:dyDescent="0.3">
      <c r="A2187">
        <v>2019</v>
      </c>
      <c r="B2187" t="s">
        <v>37</v>
      </c>
      <c r="C2187" t="s">
        <v>267</v>
      </c>
      <c r="D2187" t="s">
        <v>268</v>
      </c>
      <c r="E2187" t="s">
        <v>1</v>
      </c>
      <c r="F2187" t="s">
        <v>208</v>
      </c>
      <c r="G2187" t="s">
        <v>202</v>
      </c>
      <c r="H2187">
        <v>0</v>
      </c>
    </row>
    <row r="2188" spans="1:8" x14ac:dyDescent="0.3">
      <c r="A2188">
        <v>2019</v>
      </c>
      <c r="B2188" t="s">
        <v>37</v>
      </c>
      <c r="C2188" t="s">
        <v>267</v>
      </c>
      <c r="D2188" t="s">
        <v>268</v>
      </c>
      <c r="E2188" t="s">
        <v>203</v>
      </c>
      <c r="F2188" t="s">
        <v>208</v>
      </c>
      <c r="G2188" t="s">
        <v>202</v>
      </c>
      <c r="H2188">
        <v>0</v>
      </c>
    </row>
    <row r="2189" spans="1:8" x14ac:dyDescent="0.3">
      <c r="A2189">
        <v>2019</v>
      </c>
      <c r="B2189" t="s">
        <v>37</v>
      </c>
      <c r="C2189" t="s">
        <v>267</v>
      </c>
      <c r="D2189" t="s">
        <v>268</v>
      </c>
      <c r="E2189" t="s">
        <v>204</v>
      </c>
      <c r="F2189" t="s">
        <v>208</v>
      </c>
      <c r="G2189" t="s">
        <v>202</v>
      </c>
      <c r="H2189">
        <v>0</v>
      </c>
    </row>
    <row r="2190" spans="1:8" x14ac:dyDescent="0.3">
      <c r="A2190">
        <v>2019</v>
      </c>
      <c r="B2190" t="s">
        <v>37</v>
      </c>
      <c r="C2190" t="s">
        <v>267</v>
      </c>
      <c r="D2190" t="s">
        <v>268</v>
      </c>
      <c r="E2190" t="s">
        <v>205</v>
      </c>
      <c r="F2190" t="s">
        <v>208</v>
      </c>
      <c r="G2190" t="s">
        <v>202</v>
      </c>
      <c r="H2190">
        <v>0</v>
      </c>
    </row>
    <row r="2191" spans="1:8" x14ac:dyDescent="0.3">
      <c r="A2191">
        <v>2019</v>
      </c>
      <c r="B2191" t="s">
        <v>37</v>
      </c>
      <c r="C2191" t="s">
        <v>267</v>
      </c>
      <c r="D2191" t="s">
        <v>268</v>
      </c>
      <c r="E2191" t="s">
        <v>206</v>
      </c>
      <c r="F2191" t="s">
        <v>208</v>
      </c>
      <c r="G2191" t="s">
        <v>202</v>
      </c>
      <c r="H2191">
        <v>0</v>
      </c>
    </row>
    <row r="2192" spans="1:8" x14ac:dyDescent="0.3">
      <c r="A2192">
        <v>2019</v>
      </c>
      <c r="B2192" t="s">
        <v>38</v>
      </c>
      <c r="C2192" t="s">
        <v>267</v>
      </c>
      <c r="D2192" t="s">
        <v>268</v>
      </c>
      <c r="E2192" t="s">
        <v>1</v>
      </c>
      <c r="F2192" t="s">
        <v>208</v>
      </c>
      <c r="G2192" t="s">
        <v>202</v>
      </c>
      <c r="H2192">
        <v>0</v>
      </c>
    </row>
    <row r="2193" spans="1:8" x14ac:dyDescent="0.3">
      <c r="A2193">
        <v>2019</v>
      </c>
      <c r="B2193" t="s">
        <v>38</v>
      </c>
      <c r="C2193" t="s">
        <v>267</v>
      </c>
      <c r="D2193" t="s">
        <v>268</v>
      </c>
      <c r="E2193" t="s">
        <v>203</v>
      </c>
      <c r="F2193" t="s">
        <v>208</v>
      </c>
      <c r="G2193" t="s">
        <v>202</v>
      </c>
      <c r="H2193">
        <v>0</v>
      </c>
    </row>
    <row r="2194" spans="1:8" x14ac:dyDescent="0.3">
      <c r="A2194">
        <v>2019</v>
      </c>
      <c r="B2194" t="s">
        <v>38</v>
      </c>
      <c r="C2194" t="s">
        <v>267</v>
      </c>
      <c r="D2194" t="s">
        <v>268</v>
      </c>
      <c r="E2194" t="s">
        <v>204</v>
      </c>
      <c r="F2194" t="s">
        <v>208</v>
      </c>
      <c r="G2194" t="s">
        <v>202</v>
      </c>
      <c r="H2194">
        <v>0</v>
      </c>
    </row>
    <row r="2195" spans="1:8" x14ac:dyDescent="0.3">
      <c r="A2195">
        <v>2019</v>
      </c>
      <c r="B2195" t="s">
        <v>38</v>
      </c>
      <c r="C2195" t="s">
        <v>267</v>
      </c>
      <c r="D2195" t="s">
        <v>268</v>
      </c>
      <c r="E2195" t="s">
        <v>205</v>
      </c>
      <c r="F2195" t="s">
        <v>208</v>
      </c>
      <c r="G2195" t="s">
        <v>202</v>
      </c>
      <c r="H2195">
        <v>0</v>
      </c>
    </row>
    <row r="2196" spans="1:8" x14ac:dyDescent="0.3">
      <c r="A2196">
        <v>2019</v>
      </c>
      <c r="B2196" t="s">
        <v>38</v>
      </c>
      <c r="C2196" t="s">
        <v>267</v>
      </c>
      <c r="D2196" t="s">
        <v>268</v>
      </c>
      <c r="E2196" t="s">
        <v>206</v>
      </c>
      <c r="F2196" t="s">
        <v>208</v>
      </c>
      <c r="G2196" t="s">
        <v>202</v>
      </c>
      <c r="H2196">
        <v>0</v>
      </c>
    </row>
    <row r="2197" spans="1:8" x14ac:dyDescent="0.3">
      <c r="A2197">
        <v>2019</v>
      </c>
      <c r="B2197" t="s">
        <v>39</v>
      </c>
      <c r="C2197" t="s">
        <v>267</v>
      </c>
      <c r="D2197" t="s">
        <v>268</v>
      </c>
      <c r="E2197" t="s">
        <v>1</v>
      </c>
      <c r="F2197" t="s">
        <v>208</v>
      </c>
      <c r="G2197" t="s">
        <v>202</v>
      </c>
      <c r="H2197">
        <v>0</v>
      </c>
    </row>
    <row r="2198" spans="1:8" x14ac:dyDescent="0.3">
      <c r="A2198">
        <v>2019</v>
      </c>
      <c r="B2198" t="s">
        <v>39</v>
      </c>
      <c r="C2198" t="s">
        <v>267</v>
      </c>
      <c r="D2198" t="s">
        <v>268</v>
      </c>
      <c r="E2198" t="s">
        <v>203</v>
      </c>
      <c r="F2198" t="s">
        <v>208</v>
      </c>
      <c r="G2198" t="s">
        <v>202</v>
      </c>
      <c r="H2198">
        <v>0</v>
      </c>
    </row>
    <row r="2199" spans="1:8" x14ac:dyDescent="0.3">
      <c r="A2199">
        <v>2019</v>
      </c>
      <c r="B2199" t="s">
        <v>39</v>
      </c>
      <c r="C2199" t="s">
        <v>267</v>
      </c>
      <c r="D2199" t="s">
        <v>268</v>
      </c>
      <c r="E2199" t="s">
        <v>204</v>
      </c>
      <c r="F2199" t="s">
        <v>208</v>
      </c>
      <c r="G2199" t="s">
        <v>202</v>
      </c>
      <c r="H2199">
        <v>0</v>
      </c>
    </row>
    <row r="2200" spans="1:8" x14ac:dyDescent="0.3">
      <c r="A2200">
        <v>2019</v>
      </c>
      <c r="B2200" t="s">
        <v>39</v>
      </c>
      <c r="C2200" t="s">
        <v>267</v>
      </c>
      <c r="D2200" t="s">
        <v>268</v>
      </c>
      <c r="E2200" t="s">
        <v>205</v>
      </c>
      <c r="F2200" t="s">
        <v>208</v>
      </c>
      <c r="G2200" t="s">
        <v>202</v>
      </c>
      <c r="H2200">
        <v>0</v>
      </c>
    </row>
    <row r="2201" spans="1:8" x14ac:dyDescent="0.3">
      <c r="A2201">
        <v>2019</v>
      </c>
      <c r="B2201" t="s">
        <v>39</v>
      </c>
      <c r="C2201" t="s">
        <v>267</v>
      </c>
      <c r="D2201" t="s">
        <v>268</v>
      </c>
      <c r="E2201" t="s">
        <v>206</v>
      </c>
      <c r="F2201" t="s">
        <v>208</v>
      </c>
      <c r="G2201" t="s">
        <v>202</v>
      </c>
      <c r="H2201">
        <v>0</v>
      </c>
    </row>
    <row r="2202" spans="1:8" x14ac:dyDescent="0.3">
      <c r="A2202">
        <v>2019</v>
      </c>
      <c r="B2202" t="s">
        <v>50</v>
      </c>
      <c r="C2202" t="s">
        <v>267</v>
      </c>
      <c r="D2202" t="s">
        <v>268</v>
      </c>
      <c r="E2202" t="s">
        <v>1</v>
      </c>
      <c r="F2202" t="s">
        <v>208</v>
      </c>
      <c r="G2202" t="s">
        <v>202</v>
      </c>
      <c r="H2202">
        <v>0</v>
      </c>
    </row>
    <row r="2203" spans="1:8" x14ac:dyDescent="0.3">
      <c r="A2203">
        <v>2019</v>
      </c>
      <c r="B2203" t="s">
        <v>50</v>
      </c>
      <c r="C2203" t="s">
        <v>267</v>
      </c>
      <c r="D2203" t="s">
        <v>268</v>
      </c>
      <c r="E2203" t="s">
        <v>203</v>
      </c>
      <c r="F2203" t="s">
        <v>208</v>
      </c>
      <c r="G2203" t="s">
        <v>202</v>
      </c>
      <c r="H2203">
        <v>0</v>
      </c>
    </row>
    <row r="2204" spans="1:8" x14ac:dyDescent="0.3">
      <c r="A2204">
        <v>2019</v>
      </c>
      <c r="B2204" t="s">
        <v>50</v>
      </c>
      <c r="C2204" t="s">
        <v>267</v>
      </c>
      <c r="D2204" t="s">
        <v>268</v>
      </c>
      <c r="E2204" t="s">
        <v>204</v>
      </c>
      <c r="F2204" t="s">
        <v>208</v>
      </c>
      <c r="G2204" t="s">
        <v>202</v>
      </c>
      <c r="H2204">
        <v>0</v>
      </c>
    </row>
    <row r="2205" spans="1:8" x14ac:dyDescent="0.3">
      <c r="A2205">
        <v>2019</v>
      </c>
      <c r="B2205" t="s">
        <v>50</v>
      </c>
      <c r="C2205" t="s">
        <v>267</v>
      </c>
      <c r="D2205" t="s">
        <v>268</v>
      </c>
      <c r="E2205" t="s">
        <v>205</v>
      </c>
      <c r="F2205" t="s">
        <v>208</v>
      </c>
      <c r="G2205" t="s">
        <v>202</v>
      </c>
      <c r="H2205">
        <v>0</v>
      </c>
    </row>
    <row r="2206" spans="1:8" x14ac:dyDescent="0.3">
      <c r="A2206">
        <v>2019</v>
      </c>
      <c r="B2206" t="s">
        <v>50</v>
      </c>
      <c r="C2206" t="s">
        <v>267</v>
      </c>
      <c r="D2206" t="s">
        <v>268</v>
      </c>
      <c r="E2206" t="s">
        <v>206</v>
      </c>
      <c r="F2206" t="s">
        <v>208</v>
      </c>
      <c r="G2206" t="s">
        <v>202</v>
      </c>
      <c r="H2206">
        <v>0</v>
      </c>
    </row>
    <row r="2207" spans="1:8" x14ac:dyDescent="0.3">
      <c r="A2207">
        <v>2019</v>
      </c>
      <c r="B2207" t="s">
        <v>40</v>
      </c>
      <c r="C2207" t="s">
        <v>267</v>
      </c>
      <c r="D2207" t="s">
        <v>268</v>
      </c>
      <c r="E2207" t="s">
        <v>1</v>
      </c>
      <c r="F2207" t="s">
        <v>208</v>
      </c>
      <c r="G2207" t="s">
        <v>202</v>
      </c>
      <c r="H2207">
        <v>2</v>
      </c>
    </row>
    <row r="2208" spans="1:8" x14ac:dyDescent="0.3">
      <c r="A2208">
        <v>2019</v>
      </c>
      <c r="B2208" t="s">
        <v>40</v>
      </c>
      <c r="C2208" t="s">
        <v>267</v>
      </c>
      <c r="D2208" t="s">
        <v>268</v>
      </c>
      <c r="E2208" t="s">
        <v>203</v>
      </c>
      <c r="F2208" t="s">
        <v>208</v>
      </c>
      <c r="G2208" t="s">
        <v>202</v>
      </c>
      <c r="H2208">
        <v>1</v>
      </c>
    </row>
    <row r="2209" spans="1:8" x14ac:dyDescent="0.3">
      <c r="A2209">
        <v>2019</v>
      </c>
      <c r="B2209" t="s">
        <v>40</v>
      </c>
      <c r="C2209" t="s">
        <v>267</v>
      </c>
      <c r="D2209" t="s">
        <v>268</v>
      </c>
      <c r="E2209" t="s">
        <v>204</v>
      </c>
      <c r="F2209" t="s">
        <v>208</v>
      </c>
      <c r="G2209" t="s">
        <v>202</v>
      </c>
      <c r="H2209">
        <v>0</v>
      </c>
    </row>
    <row r="2210" spans="1:8" x14ac:dyDescent="0.3">
      <c r="A2210">
        <v>2019</v>
      </c>
      <c r="B2210" t="s">
        <v>40</v>
      </c>
      <c r="C2210" t="s">
        <v>267</v>
      </c>
      <c r="D2210" t="s">
        <v>268</v>
      </c>
      <c r="E2210" t="s">
        <v>205</v>
      </c>
      <c r="F2210" t="s">
        <v>208</v>
      </c>
      <c r="G2210" t="s">
        <v>202</v>
      </c>
      <c r="H2210">
        <v>0</v>
      </c>
    </row>
    <row r="2211" spans="1:8" x14ac:dyDescent="0.3">
      <c r="A2211">
        <v>2019</v>
      </c>
      <c r="B2211" t="s">
        <v>40</v>
      </c>
      <c r="C2211" t="s">
        <v>267</v>
      </c>
      <c r="D2211" t="s">
        <v>268</v>
      </c>
      <c r="E2211" t="s">
        <v>206</v>
      </c>
      <c r="F2211" t="s">
        <v>208</v>
      </c>
      <c r="G2211" t="s">
        <v>202</v>
      </c>
      <c r="H2211">
        <v>24</v>
      </c>
    </row>
    <row r="2212" spans="1:8" x14ac:dyDescent="0.3">
      <c r="A2212">
        <v>2019</v>
      </c>
      <c r="B2212" t="s">
        <v>41</v>
      </c>
      <c r="C2212" t="s">
        <v>267</v>
      </c>
      <c r="D2212" t="s">
        <v>268</v>
      </c>
      <c r="E2212" t="s">
        <v>1</v>
      </c>
      <c r="F2212" t="s">
        <v>208</v>
      </c>
      <c r="G2212" t="s">
        <v>202</v>
      </c>
      <c r="H2212">
        <v>0</v>
      </c>
    </row>
    <row r="2213" spans="1:8" x14ac:dyDescent="0.3">
      <c r="A2213">
        <v>2019</v>
      </c>
      <c r="B2213" t="s">
        <v>41</v>
      </c>
      <c r="C2213" t="s">
        <v>267</v>
      </c>
      <c r="D2213" t="s">
        <v>268</v>
      </c>
      <c r="E2213" t="s">
        <v>203</v>
      </c>
      <c r="F2213" t="s">
        <v>208</v>
      </c>
      <c r="G2213" t="s">
        <v>202</v>
      </c>
      <c r="H2213">
        <v>0</v>
      </c>
    </row>
    <row r="2214" spans="1:8" x14ac:dyDescent="0.3">
      <c r="A2214">
        <v>2019</v>
      </c>
      <c r="B2214" t="s">
        <v>41</v>
      </c>
      <c r="C2214" t="s">
        <v>267</v>
      </c>
      <c r="D2214" t="s">
        <v>268</v>
      </c>
      <c r="E2214" t="s">
        <v>204</v>
      </c>
      <c r="F2214" t="s">
        <v>208</v>
      </c>
      <c r="G2214" t="s">
        <v>202</v>
      </c>
      <c r="H2214">
        <v>0</v>
      </c>
    </row>
    <row r="2215" spans="1:8" x14ac:dyDescent="0.3">
      <c r="A2215">
        <v>2019</v>
      </c>
      <c r="B2215" t="s">
        <v>41</v>
      </c>
      <c r="C2215" t="s">
        <v>267</v>
      </c>
      <c r="D2215" t="s">
        <v>268</v>
      </c>
      <c r="E2215" t="s">
        <v>205</v>
      </c>
      <c r="F2215" t="s">
        <v>208</v>
      </c>
      <c r="G2215" t="s">
        <v>202</v>
      </c>
      <c r="H2215">
        <v>0</v>
      </c>
    </row>
    <row r="2216" spans="1:8" x14ac:dyDescent="0.3">
      <c r="A2216">
        <v>2019</v>
      </c>
      <c r="B2216" t="s">
        <v>41</v>
      </c>
      <c r="C2216" t="s">
        <v>267</v>
      </c>
      <c r="D2216" t="s">
        <v>268</v>
      </c>
      <c r="E2216" t="s">
        <v>206</v>
      </c>
      <c r="F2216" t="s">
        <v>208</v>
      </c>
      <c r="G2216" t="s">
        <v>202</v>
      </c>
      <c r="H2216">
        <v>0</v>
      </c>
    </row>
    <row r="2217" spans="1:8" x14ac:dyDescent="0.3">
      <c r="A2217">
        <v>2019</v>
      </c>
      <c r="B2217" t="s">
        <v>42</v>
      </c>
      <c r="C2217" t="s">
        <v>267</v>
      </c>
      <c r="D2217" t="s">
        <v>268</v>
      </c>
      <c r="E2217" t="s">
        <v>1</v>
      </c>
      <c r="F2217" t="s">
        <v>208</v>
      </c>
      <c r="G2217" t="s">
        <v>202</v>
      </c>
      <c r="H2217">
        <v>1</v>
      </c>
    </row>
    <row r="2218" spans="1:8" x14ac:dyDescent="0.3">
      <c r="A2218">
        <v>2019</v>
      </c>
      <c r="B2218" t="s">
        <v>42</v>
      </c>
      <c r="C2218" t="s">
        <v>267</v>
      </c>
      <c r="D2218" t="s">
        <v>268</v>
      </c>
      <c r="E2218" t="s">
        <v>203</v>
      </c>
      <c r="F2218" t="s">
        <v>208</v>
      </c>
      <c r="G2218" t="s">
        <v>202</v>
      </c>
      <c r="H2218">
        <v>0</v>
      </c>
    </row>
    <row r="2219" spans="1:8" x14ac:dyDescent="0.3">
      <c r="A2219">
        <v>2019</v>
      </c>
      <c r="B2219" t="s">
        <v>42</v>
      </c>
      <c r="C2219" t="s">
        <v>267</v>
      </c>
      <c r="D2219" t="s">
        <v>268</v>
      </c>
      <c r="E2219" t="s">
        <v>204</v>
      </c>
      <c r="F2219" t="s">
        <v>208</v>
      </c>
      <c r="G2219" t="s">
        <v>202</v>
      </c>
      <c r="H2219">
        <v>0</v>
      </c>
    </row>
    <row r="2220" spans="1:8" x14ac:dyDescent="0.3">
      <c r="A2220">
        <v>2019</v>
      </c>
      <c r="B2220" t="s">
        <v>42</v>
      </c>
      <c r="C2220" t="s">
        <v>267</v>
      </c>
      <c r="D2220" t="s">
        <v>268</v>
      </c>
      <c r="E2220" t="s">
        <v>205</v>
      </c>
      <c r="F2220" t="s">
        <v>208</v>
      </c>
      <c r="G2220" t="s">
        <v>202</v>
      </c>
      <c r="H2220">
        <v>0</v>
      </c>
    </row>
    <row r="2221" spans="1:8" x14ac:dyDescent="0.3">
      <c r="A2221">
        <v>2019</v>
      </c>
      <c r="B2221" t="s">
        <v>42</v>
      </c>
      <c r="C2221" t="s">
        <v>267</v>
      </c>
      <c r="D2221" t="s">
        <v>268</v>
      </c>
      <c r="E2221" t="s">
        <v>206</v>
      </c>
      <c r="F2221" t="s">
        <v>208</v>
      </c>
      <c r="G2221" t="s">
        <v>202</v>
      </c>
      <c r="H2221">
        <v>0</v>
      </c>
    </row>
    <row r="2222" spans="1:8" x14ac:dyDescent="0.3">
      <c r="A2222">
        <v>2019</v>
      </c>
      <c r="B2222" t="s">
        <v>215</v>
      </c>
      <c r="C2222" t="s">
        <v>267</v>
      </c>
      <c r="D2222" t="s">
        <v>268</v>
      </c>
      <c r="E2222" t="s">
        <v>1</v>
      </c>
      <c r="F2222" t="s">
        <v>208</v>
      </c>
      <c r="G2222" t="s">
        <v>202</v>
      </c>
      <c r="H2222">
        <v>0</v>
      </c>
    </row>
    <row r="2223" spans="1:8" x14ac:dyDescent="0.3">
      <c r="A2223">
        <v>2019</v>
      </c>
      <c r="B2223" t="s">
        <v>215</v>
      </c>
      <c r="C2223" t="s">
        <v>267</v>
      </c>
      <c r="D2223" t="s">
        <v>268</v>
      </c>
      <c r="E2223" t="s">
        <v>203</v>
      </c>
      <c r="F2223" t="s">
        <v>208</v>
      </c>
      <c r="G2223" t="s">
        <v>202</v>
      </c>
      <c r="H2223">
        <v>0</v>
      </c>
    </row>
    <row r="2224" spans="1:8" x14ac:dyDescent="0.3">
      <c r="A2224">
        <v>2019</v>
      </c>
      <c r="B2224" t="s">
        <v>215</v>
      </c>
      <c r="C2224" t="s">
        <v>267</v>
      </c>
      <c r="D2224" t="s">
        <v>268</v>
      </c>
      <c r="E2224" t="s">
        <v>204</v>
      </c>
      <c r="F2224" t="s">
        <v>208</v>
      </c>
      <c r="G2224" t="s">
        <v>202</v>
      </c>
      <c r="H2224">
        <v>0</v>
      </c>
    </row>
    <row r="2225" spans="1:8" x14ac:dyDescent="0.3">
      <c r="A2225">
        <v>2019</v>
      </c>
      <c r="B2225" t="s">
        <v>215</v>
      </c>
      <c r="C2225" t="s">
        <v>267</v>
      </c>
      <c r="D2225" t="s">
        <v>268</v>
      </c>
      <c r="E2225" t="s">
        <v>205</v>
      </c>
      <c r="F2225" t="s">
        <v>208</v>
      </c>
      <c r="G2225" t="s">
        <v>202</v>
      </c>
      <c r="H2225">
        <v>0</v>
      </c>
    </row>
    <row r="2226" spans="1:8" x14ac:dyDescent="0.3">
      <c r="A2226">
        <v>2019</v>
      </c>
      <c r="B2226" t="s">
        <v>215</v>
      </c>
      <c r="C2226" t="s">
        <v>267</v>
      </c>
      <c r="D2226" t="s">
        <v>268</v>
      </c>
      <c r="E2226" t="s">
        <v>206</v>
      </c>
      <c r="F2226" t="s">
        <v>208</v>
      </c>
      <c r="G2226" t="s">
        <v>202</v>
      </c>
      <c r="H2226">
        <v>0</v>
      </c>
    </row>
    <row r="2227" spans="1:8" x14ac:dyDescent="0.3">
      <c r="A2227">
        <v>2019</v>
      </c>
      <c r="B2227" t="s">
        <v>43</v>
      </c>
      <c r="C2227" t="s">
        <v>267</v>
      </c>
      <c r="D2227" t="s">
        <v>268</v>
      </c>
      <c r="E2227" t="s">
        <v>1</v>
      </c>
      <c r="F2227" t="s">
        <v>208</v>
      </c>
      <c r="G2227" t="s">
        <v>202</v>
      </c>
      <c r="H2227">
        <v>0</v>
      </c>
    </row>
    <row r="2228" spans="1:8" x14ac:dyDescent="0.3">
      <c r="A2228">
        <v>2019</v>
      </c>
      <c r="B2228" t="s">
        <v>43</v>
      </c>
      <c r="C2228" t="s">
        <v>267</v>
      </c>
      <c r="D2228" t="s">
        <v>268</v>
      </c>
      <c r="E2228" t="s">
        <v>203</v>
      </c>
      <c r="F2228" t="s">
        <v>208</v>
      </c>
      <c r="G2228" t="s">
        <v>202</v>
      </c>
      <c r="H2228">
        <v>0</v>
      </c>
    </row>
    <row r="2229" spans="1:8" x14ac:dyDescent="0.3">
      <c r="A2229">
        <v>2019</v>
      </c>
      <c r="B2229" t="s">
        <v>43</v>
      </c>
      <c r="C2229" t="s">
        <v>267</v>
      </c>
      <c r="D2229" t="s">
        <v>268</v>
      </c>
      <c r="E2229" t="s">
        <v>204</v>
      </c>
      <c r="F2229" t="s">
        <v>208</v>
      </c>
      <c r="G2229" t="s">
        <v>202</v>
      </c>
      <c r="H2229">
        <v>0</v>
      </c>
    </row>
    <row r="2230" spans="1:8" x14ac:dyDescent="0.3">
      <c r="A2230">
        <v>2019</v>
      </c>
      <c r="B2230" t="s">
        <v>43</v>
      </c>
      <c r="C2230" t="s">
        <v>267</v>
      </c>
      <c r="D2230" t="s">
        <v>268</v>
      </c>
      <c r="E2230" t="s">
        <v>205</v>
      </c>
      <c r="F2230" t="s">
        <v>208</v>
      </c>
      <c r="G2230" t="s">
        <v>202</v>
      </c>
      <c r="H2230">
        <v>0</v>
      </c>
    </row>
    <row r="2231" spans="1:8" x14ac:dyDescent="0.3">
      <c r="A2231">
        <v>2019</v>
      </c>
      <c r="B2231" t="s">
        <v>43</v>
      </c>
      <c r="C2231" t="s">
        <v>267</v>
      </c>
      <c r="D2231" t="s">
        <v>268</v>
      </c>
      <c r="E2231" t="s">
        <v>206</v>
      </c>
      <c r="F2231" t="s">
        <v>208</v>
      </c>
      <c r="G2231" t="s">
        <v>202</v>
      </c>
      <c r="H2231">
        <v>0</v>
      </c>
    </row>
    <row r="2232" spans="1:8" x14ac:dyDescent="0.3">
      <c r="A2232">
        <v>2019</v>
      </c>
      <c r="B2232" t="s">
        <v>52</v>
      </c>
      <c r="C2232" t="s">
        <v>267</v>
      </c>
      <c r="D2232" t="s">
        <v>268</v>
      </c>
      <c r="E2232" t="s">
        <v>1</v>
      </c>
      <c r="F2232" t="s">
        <v>208</v>
      </c>
      <c r="G2232" t="s">
        <v>202</v>
      </c>
      <c r="H2232">
        <v>0</v>
      </c>
    </row>
    <row r="2233" spans="1:8" x14ac:dyDescent="0.3">
      <c r="A2233">
        <v>2019</v>
      </c>
      <c r="B2233" t="s">
        <v>52</v>
      </c>
      <c r="C2233" t="s">
        <v>267</v>
      </c>
      <c r="D2233" t="s">
        <v>268</v>
      </c>
      <c r="E2233" t="s">
        <v>203</v>
      </c>
      <c r="F2233" t="s">
        <v>208</v>
      </c>
      <c r="G2233" t="s">
        <v>202</v>
      </c>
      <c r="H2233">
        <v>0</v>
      </c>
    </row>
    <row r="2234" spans="1:8" x14ac:dyDescent="0.3">
      <c r="A2234">
        <v>2019</v>
      </c>
      <c r="B2234" t="s">
        <v>52</v>
      </c>
      <c r="C2234" t="s">
        <v>267</v>
      </c>
      <c r="D2234" t="s">
        <v>268</v>
      </c>
      <c r="E2234" t="s">
        <v>204</v>
      </c>
      <c r="F2234" t="s">
        <v>208</v>
      </c>
      <c r="G2234" t="s">
        <v>202</v>
      </c>
      <c r="H2234">
        <v>0</v>
      </c>
    </row>
    <row r="2235" spans="1:8" x14ac:dyDescent="0.3">
      <c r="A2235">
        <v>2019</v>
      </c>
      <c r="B2235" t="s">
        <v>52</v>
      </c>
      <c r="C2235" t="s">
        <v>267</v>
      </c>
      <c r="D2235" t="s">
        <v>268</v>
      </c>
      <c r="E2235" t="s">
        <v>205</v>
      </c>
      <c r="F2235" t="s">
        <v>208</v>
      </c>
      <c r="G2235" t="s">
        <v>202</v>
      </c>
      <c r="H2235">
        <v>0</v>
      </c>
    </row>
    <row r="2236" spans="1:8" x14ac:dyDescent="0.3">
      <c r="A2236">
        <v>2019</v>
      </c>
      <c r="B2236" t="s">
        <v>52</v>
      </c>
      <c r="C2236" t="s">
        <v>267</v>
      </c>
      <c r="D2236" t="s">
        <v>268</v>
      </c>
      <c r="E2236" t="s">
        <v>206</v>
      </c>
      <c r="F2236" t="s">
        <v>208</v>
      </c>
      <c r="G2236" t="s">
        <v>202</v>
      </c>
      <c r="H2236">
        <v>0</v>
      </c>
    </row>
    <row r="2237" spans="1:8" x14ac:dyDescent="0.3">
      <c r="A2237">
        <v>2019</v>
      </c>
      <c r="B2237" t="s">
        <v>44</v>
      </c>
      <c r="C2237" t="s">
        <v>267</v>
      </c>
      <c r="D2237" t="s">
        <v>268</v>
      </c>
      <c r="E2237" t="s">
        <v>1</v>
      </c>
      <c r="F2237" t="s">
        <v>208</v>
      </c>
      <c r="G2237" t="s">
        <v>202</v>
      </c>
      <c r="H2237">
        <v>1</v>
      </c>
    </row>
    <row r="2238" spans="1:8" x14ac:dyDescent="0.3">
      <c r="A2238">
        <v>2019</v>
      </c>
      <c r="B2238" t="s">
        <v>44</v>
      </c>
      <c r="C2238" t="s">
        <v>267</v>
      </c>
      <c r="D2238" t="s">
        <v>268</v>
      </c>
      <c r="E2238" t="s">
        <v>203</v>
      </c>
      <c r="F2238" t="s">
        <v>208</v>
      </c>
      <c r="G2238" t="s">
        <v>202</v>
      </c>
      <c r="H2238">
        <v>0</v>
      </c>
    </row>
    <row r="2239" spans="1:8" x14ac:dyDescent="0.3">
      <c r="A2239">
        <v>2019</v>
      </c>
      <c r="B2239" t="s">
        <v>44</v>
      </c>
      <c r="C2239" t="s">
        <v>267</v>
      </c>
      <c r="D2239" t="s">
        <v>268</v>
      </c>
      <c r="E2239" t="s">
        <v>204</v>
      </c>
      <c r="F2239" t="s">
        <v>208</v>
      </c>
      <c r="G2239" t="s">
        <v>202</v>
      </c>
      <c r="H2239">
        <v>0</v>
      </c>
    </row>
    <row r="2240" spans="1:8" x14ac:dyDescent="0.3">
      <c r="A2240">
        <v>2019</v>
      </c>
      <c r="B2240" t="s">
        <v>44</v>
      </c>
      <c r="C2240" t="s">
        <v>267</v>
      </c>
      <c r="D2240" t="s">
        <v>268</v>
      </c>
      <c r="E2240" t="s">
        <v>205</v>
      </c>
      <c r="F2240" t="s">
        <v>208</v>
      </c>
      <c r="G2240" t="s">
        <v>202</v>
      </c>
      <c r="H2240">
        <v>0</v>
      </c>
    </row>
    <row r="2241" spans="1:8" x14ac:dyDescent="0.3">
      <c r="A2241">
        <v>2019</v>
      </c>
      <c r="B2241" t="s">
        <v>44</v>
      </c>
      <c r="C2241" t="s">
        <v>267</v>
      </c>
      <c r="D2241" t="s">
        <v>268</v>
      </c>
      <c r="E2241" t="s">
        <v>206</v>
      </c>
      <c r="F2241" t="s">
        <v>208</v>
      </c>
      <c r="G2241" t="s">
        <v>202</v>
      </c>
      <c r="H2241">
        <v>0</v>
      </c>
    </row>
    <row r="2242" spans="1:8" x14ac:dyDescent="0.3">
      <c r="A2242">
        <v>2019</v>
      </c>
      <c r="B2242" t="s">
        <v>53</v>
      </c>
      <c r="C2242" t="s">
        <v>267</v>
      </c>
      <c r="D2242" t="s">
        <v>268</v>
      </c>
      <c r="E2242" t="s">
        <v>1</v>
      </c>
      <c r="F2242" t="s">
        <v>208</v>
      </c>
      <c r="G2242" t="s">
        <v>202</v>
      </c>
      <c r="H2242">
        <v>0</v>
      </c>
    </row>
    <row r="2243" spans="1:8" x14ac:dyDescent="0.3">
      <c r="A2243">
        <v>2019</v>
      </c>
      <c r="B2243" t="s">
        <v>53</v>
      </c>
      <c r="C2243" t="s">
        <v>267</v>
      </c>
      <c r="D2243" t="s">
        <v>268</v>
      </c>
      <c r="E2243" t="s">
        <v>203</v>
      </c>
      <c r="F2243" t="s">
        <v>208</v>
      </c>
      <c r="G2243" t="s">
        <v>202</v>
      </c>
      <c r="H2243">
        <v>0</v>
      </c>
    </row>
    <row r="2244" spans="1:8" x14ac:dyDescent="0.3">
      <c r="A2244">
        <v>2019</v>
      </c>
      <c r="B2244" t="s">
        <v>53</v>
      </c>
      <c r="C2244" t="s">
        <v>267</v>
      </c>
      <c r="D2244" t="s">
        <v>268</v>
      </c>
      <c r="E2244" t="s">
        <v>204</v>
      </c>
      <c r="F2244" t="s">
        <v>208</v>
      </c>
      <c r="G2244" t="s">
        <v>202</v>
      </c>
      <c r="H2244">
        <v>0</v>
      </c>
    </row>
    <row r="2245" spans="1:8" x14ac:dyDescent="0.3">
      <c r="A2245">
        <v>2019</v>
      </c>
      <c r="B2245" t="s">
        <v>53</v>
      </c>
      <c r="C2245" t="s">
        <v>267</v>
      </c>
      <c r="D2245" t="s">
        <v>268</v>
      </c>
      <c r="E2245" t="s">
        <v>205</v>
      </c>
      <c r="F2245" t="s">
        <v>208</v>
      </c>
      <c r="G2245" t="s">
        <v>202</v>
      </c>
      <c r="H2245">
        <v>0</v>
      </c>
    </row>
    <row r="2246" spans="1:8" x14ac:dyDescent="0.3">
      <c r="A2246">
        <v>2019</v>
      </c>
      <c r="B2246" t="s">
        <v>53</v>
      </c>
      <c r="C2246" t="s">
        <v>267</v>
      </c>
      <c r="D2246" t="s">
        <v>268</v>
      </c>
      <c r="E2246" t="s">
        <v>206</v>
      </c>
      <c r="F2246" t="s">
        <v>208</v>
      </c>
      <c r="G2246" t="s">
        <v>202</v>
      </c>
      <c r="H2246">
        <v>0</v>
      </c>
    </row>
    <row r="2247" spans="1:8" x14ac:dyDescent="0.3">
      <c r="A2247">
        <v>2019</v>
      </c>
      <c r="B2247" t="s">
        <v>197</v>
      </c>
      <c r="C2247" t="s">
        <v>267</v>
      </c>
      <c r="D2247" t="s">
        <v>268</v>
      </c>
      <c r="E2247" t="s">
        <v>1</v>
      </c>
      <c r="F2247" t="s">
        <v>208</v>
      </c>
      <c r="G2247" t="s">
        <v>202</v>
      </c>
      <c r="H2247">
        <v>2</v>
      </c>
    </row>
    <row r="2248" spans="1:8" x14ac:dyDescent="0.3">
      <c r="A2248">
        <v>2019</v>
      </c>
      <c r="B2248" t="s">
        <v>197</v>
      </c>
      <c r="C2248" t="s">
        <v>267</v>
      </c>
      <c r="D2248" t="s">
        <v>268</v>
      </c>
      <c r="E2248" t="s">
        <v>203</v>
      </c>
      <c r="F2248" t="s">
        <v>208</v>
      </c>
      <c r="G2248" t="s">
        <v>202</v>
      </c>
      <c r="H2248">
        <v>0</v>
      </c>
    </row>
    <row r="2249" spans="1:8" x14ac:dyDescent="0.3">
      <c r="A2249">
        <v>2019</v>
      </c>
      <c r="B2249" t="s">
        <v>197</v>
      </c>
      <c r="C2249" t="s">
        <v>267</v>
      </c>
      <c r="D2249" t="s">
        <v>268</v>
      </c>
      <c r="E2249" t="s">
        <v>204</v>
      </c>
      <c r="F2249" t="s">
        <v>208</v>
      </c>
      <c r="G2249" t="s">
        <v>202</v>
      </c>
      <c r="H2249">
        <v>0</v>
      </c>
    </row>
    <row r="2250" spans="1:8" x14ac:dyDescent="0.3">
      <c r="A2250">
        <v>2019</v>
      </c>
      <c r="B2250" t="s">
        <v>197</v>
      </c>
      <c r="C2250" t="s">
        <v>267</v>
      </c>
      <c r="D2250" t="s">
        <v>268</v>
      </c>
      <c r="E2250" t="s">
        <v>205</v>
      </c>
      <c r="F2250" t="s">
        <v>208</v>
      </c>
      <c r="G2250" t="s">
        <v>202</v>
      </c>
      <c r="H2250">
        <v>0</v>
      </c>
    </row>
    <row r="2251" spans="1:8" x14ac:dyDescent="0.3">
      <c r="A2251">
        <v>2019</v>
      </c>
      <c r="B2251" t="s">
        <v>197</v>
      </c>
      <c r="C2251" t="s">
        <v>267</v>
      </c>
      <c r="D2251" t="s">
        <v>268</v>
      </c>
      <c r="E2251" t="s">
        <v>206</v>
      </c>
      <c r="F2251" t="s">
        <v>208</v>
      </c>
      <c r="G2251" t="s">
        <v>202</v>
      </c>
      <c r="H2251">
        <v>0</v>
      </c>
    </row>
    <row r="2252" spans="1:8" x14ac:dyDescent="0.3">
      <c r="A2252">
        <v>2019</v>
      </c>
      <c r="B2252" t="s">
        <v>8</v>
      </c>
      <c r="C2252" t="s">
        <v>267</v>
      </c>
      <c r="D2252" t="s">
        <v>268</v>
      </c>
      <c r="E2252" t="s">
        <v>1</v>
      </c>
      <c r="F2252" t="s">
        <v>209</v>
      </c>
      <c r="G2252" t="s">
        <v>201</v>
      </c>
      <c r="H2252">
        <v>20</v>
      </c>
    </row>
    <row r="2253" spans="1:8" x14ac:dyDescent="0.3">
      <c r="A2253">
        <v>2019</v>
      </c>
      <c r="B2253" t="s">
        <v>8</v>
      </c>
      <c r="C2253" t="s">
        <v>267</v>
      </c>
      <c r="D2253" t="s">
        <v>268</v>
      </c>
      <c r="E2253" t="s">
        <v>203</v>
      </c>
      <c r="F2253" t="s">
        <v>209</v>
      </c>
      <c r="G2253" t="s">
        <v>201</v>
      </c>
      <c r="H2253">
        <v>0</v>
      </c>
    </row>
    <row r="2254" spans="1:8" x14ac:dyDescent="0.3">
      <c r="A2254">
        <v>2019</v>
      </c>
      <c r="B2254" t="s">
        <v>8</v>
      </c>
      <c r="C2254" t="s">
        <v>267</v>
      </c>
      <c r="D2254" t="s">
        <v>268</v>
      </c>
      <c r="E2254" t="s">
        <v>204</v>
      </c>
      <c r="F2254" t="s">
        <v>209</v>
      </c>
      <c r="G2254" t="s">
        <v>201</v>
      </c>
      <c r="H2254">
        <v>0</v>
      </c>
    </row>
    <row r="2255" spans="1:8" x14ac:dyDescent="0.3">
      <c r="A2255">
        <v>2019</v>
      </c>
      <c r="B2255" t="s">
        <v>8</v>
      </c>
      <c r="C2255" t="s">
        <v>267</v>
      </c>
      <c r="D2255" t="s">
        <v>268</v>
      </c>
      <c r="E2255" t="s">
        <v>205</v>
      </c>
      <c r="F2255" t="s">
        <v>209</v>
      </c>
      <c r="G2255" t="s">
        <v>201</v>
      </c>
      <c r="H2255">
        <v>0</v>
      </c>
    </row>
    <row r="2256" spans="1:8" x14ac:dyDescent="0.3">
      <c r="A2256">
        <v>2019</v>
      </c>
      <c r="B2256" t="s">
        <v>8</v>
      </c>
      <c r="C2256" t="s">
        <v>267</v>
      </c>
      <c r="D2256" t="s">
        <v>268</v>
      </c>
      <c r="E2256" t="s">
        <v>206</v>
      </c>
      <c r="F2256" t="s">
        <v>209</v>
      </c>
      <c r="G2256" t="s">
        <v>201</v>
      </c>
      <c r="H2256">
        <v>0</v>
      </c>
    </row>
    <row r="2257" spans="1:8" x14ac:dyDescent="0.3">
      <c r="A2257">
        <v>2019</v>
      </c>
      <c r="B2257" t="s">
        <v>9</v>
      </c>
      <c r="C2257" t="s">
        <v>267</v>
      </c>
      <c r="D2257" t="s">
        <v>268</v>
      </c>
      <c r="E2257" t="s">
        <v>1</v>
      </c>
      <c r="F2257" t="s">
        <v>209</v>
      </c>
      <c r="G2257" t="s">
        <v>201</v>
      </c>
      <c r="H2257">
        <v>10</v>
      </c>
    </row>
    <row r="2258" spans="1:8" x14ac:dyDescent="0.3">
      <c r="A2258">
        <v>2019</v>
      </c>
      <c r="B2258" t="s">
        <v>9</v>
      </c>
      <c r="C2258" t="s">
        <v>267</v>
      </c>
      <c r="D2258" t="s">
        <v>268</v>
      </c>
      <c r="E2258" t="s">
        <v>203</v>
      </c>
      <c r="F2258" t="s">
        <v>209</v>
      </c>
      <c r="G2258" t="s">
        <v>201</v>
      </c>
      <c r="H2258">
        <v>0</v>
      </c>
    </row>
    <row r="2259" spans="1:8" x14ac:dyDescent="0.3">
      <c r="A2259">
        <v>2019</v>
      </c>
      <c r="B2259" t="s">
        <v>9</v>
      </c>
      <c r="C2259" t="s">
        <v>267</v>
      </c>
      <c r="D2259" t="s">
        <v>268</v>
      </c>
      <c r="E2259" t="s">
        <v>204</v>
      </c>
      <c r="F2259" t="s">
        <v>209</v>
      </c>
      <c r="G2259" t="s">
        <v>201</v>
      </c>
      <c r="H2259">
        <v>0</v>
      </c>
    </row>
    <row r="2260" spans="1:8" x14ac:dyDescent="0.3">
      <c r="A2260">
        <v>2019</v>
      </c>
      <c r="B2260" t="s">
        <v>9</v>
      </c>
      <c r="C2260" t="s">
        <v>267</v>
      </c>
      <c r="D2260" t="s">
        <v>268</v>
      </c>
      <c r="E2260" t="s">
        <v>205</v>
      </c>
      <c r="F2260" t="s">
        <v>209</v>
      </c>
      <c r="G2260" t="s">
        <v>201</v>
      </c>
    </row>
    <row r="2261" spans="1:8" x14ac:dyDescent="0.3">
      <c r="A2261">
        <v>2019</v>
      </c>
      <c r="B2261" t="s">
        <v>9</v>
      </c>
      <c r="C2261" t="s">
        <v>267</v>
      </c>
      <c r="D2261" t="s">
        <v>268</v>
      </c>
      <c r="E2261" t="s">
        <v>206</v>
      </c>
      <c r="F2261" t="s">
        <v>209</v>
      </c>
      <c r="G2261" t="s">
        <v>201</v>
      </c>
      <c r="H2261">
        <v>8</v>
      </c>
    </row>
    <row r="2262" spans="1:8" x14ac:dyDescent="0.3">
      <c r="A2262">
        <v>2019</v>
      </c>
      <c r="B2262" t="s">
        <v>10</v>
      </c>
      <c r="C2262" t="s">
        <v>267</v>
      </c>
      <c r="D2262" t="s">
        <v>268</v>
      </c>
      <c r="E2262" t="s">
        <v>1</v>
      </c>
      <c r="F2262" t="s">
        <v>209</v>
      </c>
      <c r="G2262" t="s">
        <v>201</v>
      </c>
      <c r="H2262">
        <v>12</v>
      </c>
    </row>
    <row r="2263" spans="1:8" x14ac:dyDescent="0.3">
      <c r="A2263">
        <v>2019</v>
      </c>
      <c r="B2263" t="s">
        <v>10</v>
      </c>
      <c r="C2263" t="s">
        <v>267</v>
      </c>
      <c r="D2263" t="s">
        <v>268</v>
      </c>
      <c r="E2263" t="s">
        <v>203</v>
      </c>
      <c r="F2263" t="s">
        <v>209</v>
      </c>
      <c r="G2263" t="s">
        <v>201</v>
      </c>
      <c r="H2263">
        <v>0</v>
      </c>
    </row>
    <row r="2264" spans="1:8" x14ac:dyDescent="0.3">
      <c r="A2264">
        <v>2019</v>
      </c>
      <c r="B2264" t="s">
        <v>10</v>
      </c>
      <c r="C2264" t="s">
        <v>267</v>
      </c>
      <c r="D2264" t="s">
        <v>268</v>
      </c>
      <c r="E2264" t="s">
        <v>204</v>
      </c>
      <c r="F2264" t="s">
        <v>209</v>
      </c>
      <c r="G2264" t="s">
        <v>201</v>
      </c>
      <c r="H2264">
        <v>0</v>
      </c>
    </row>
    <row r="2265" spans="1:8" x14ac:dyDescent="0.3">
      <c r="A2265">
        <v>2019</v>
      </c>
      <c r="B2265" t="s">
        <v>10</v>
      </c>
      <c r="C2265" t="s">
        <v>267</v>
      </c>
      <c r="D2265" t="s">
        <v>268</v>
      </c>
      <c r="E2265" t="s">
        <v>205</v>
      </c>
      <c r="F2265" t="s">
        <v>209</v>
      </c>
      <c r="G2265" t="s">
        <v>201</v>
      </c>
      <c r="H2265">
        <v>0</v>
      </c>
    </row>
    <row r="2266" spans="1:8" x14ac:dyDescent="0.3">
      <c r="A2266">
        <v>2019</v>
      </c>
      <c r="B2266" t="s">
        <v>10</v>
      </c>
      <c r="C2266" t="s">
        <v>267</v>
      </c>
      <c r="D2266" t="s">
        <v>268</v>
      </c>
      <c r="E2266" t="s">
        <v>206</v>
      </c>
      <c r="F2266" t="s">
        <v>209</v>
      </c>
      <c r="G2266" t="s">
        <v>201</v>
      </c>
      <c r="H2266">
        <v>5</v>
      </c>
    </row>
    <row r="2267" spans="1:8" x14ac:dyDescent="0.3">
      <c r="A2267">
        <v>2019</v>
      </c>
      <c r="B2267" t="s">
        <v>11</v>
      </c>
      <c r="C2267" t="s">
        <v>267</v>
      </c>
      <c r="D2267" t="s">
        <v>268</v>
      </c>
      <c r="E2267" t="s">
        <v>1</v>
      </c>
      <c r="F2267" t="s">
        <v>209</v>
      </c>
      <c r="G2267" t="s">
        <v>201</v>
      </c>
      <c r="H2267">
        <v>9</v>
      </c>
    </row>
    <row r="2268" spans="1:8" x14ac:dyDescent="0.3">
      <c r="A2268">
        <v>2019</v>
      </c>
      <c r="B2268" t="s">
        <v>11</v>
      </c>
      <c r="C2268" t="s">
        <v>267</v>
      </c>
      <c r="D2268" t="s">
        <v>268</v>
      </c>
      <c r="E2268" t="s">
        <v>203</v>
      </c>
      <c r="F2268" t="s">
        <v>209</v>
      </c>
      <c r="G2268" t="s">
        <v>201</v>
      </c>
      <c r="H2268">
        <v>0</v>
      </c>
    </row>
    <row r="2269" spans="1:8" x14ac:dyDescent="0.3">
      <c r="A2269">
        <v>2019</v>
      </c>
      <c r="B2269" t="s">
        <v>11</v>
      </c>
      <c r="C2269" t="s">
        <v>267</v>
      </c>
      <c r="D2269" t="s">
        <v>268</v>
      </c>
      <c r="E2269" t="s">
        <v>204</v>
      </c>
      <c r="F2269" t="s">
        <v>209</v>
      </c>
      <c r="G2269" t="s">
        <v>201</v>
      </c>
      <c r="H2269">
        <v>0</v>
      </c>
    </row>
    <row r="2270" spans="1:8" x14ac:dyDescent="0.3">
      <c r="A2270">
        <v>2019</v>
      </c>
      <c r="B2270" t="s">
        <v>11</v>
      </c>
      <c r="C2270" t="s">
        <v>267</v>
      </c>
      <c r="D2270" t="s">
        <v>268</v>
      </c>
      <c r="E2270" t="s">
        <v>205</v>
      </c>
      <c r="F2270" t="s">
        <v>209</v>
      </c>
      <c r="G2270" t="s">
        <v>201</v>
      </c>
      <c r="H2270">
        <v>0</v>
      </c>
    </row>
    <row r="2271" spans="1:8" x14ac:dyDescent="0.3">
      <c r="A2271">
        <v>2019</v>
      </c>
      <c r="B2271" t="s">
        <v>11</v>
      </c>
      <c r="C2271" t="s">
        <v>267</v>
      </c>
      <c r="D2271" t="s">
        <v>268</v>
      </c>
      <c r="E2271" t="s">
        <v>206</v>
      </c>
      <c r="F2271" t="s">
        <v>209</v>
      </c>
      <c r="G2271" t="s">
        <v>201</v>
      </c>
      <c r="H2271">
        <v>8</v>
      </c>
    </row>
    <row r="2272" spans="1:8" x14ac:dyDescent="0.3">
      <c r="A2272">
        <v>2019</v>
      </c>
      <c r="B2272" t="s">
        <v>12</v>
      </c>
      <c r="C2272" t="s">
        <v>267</v>
      </c>
      <c r="D2272" t="s">
        <v>268</v>
      </c>
      <c r="E2272" t="s">
        <v>1</v>
      </c>
      <c r="F2272" t="s">
        <v>209</v>
      </c>
      <c r="G2272" t="s">
        <v>201</v>
      </c>
      <c r="H2272">
        <v>14</v>
      </c>
    </row>
    <row r="2273" spans="1:8" x14ac:dyDescent="0.3">
      <c r="A2273">
        <v>2019</v>
      </c>
      <c r="B2273" t="s">
        <v>12</v>
      </c>
      <c r="C2273" t="s">
        <v>267</v>
      </c>
      <c r="D2273" t="s">
        <v>268</v>
      </c>
      <c r="E2273" t="s">
        <v>203</v>
      </c>
      <c r="F2273" t="s">
        <v>209</v>
      </c>
      <c r="G2273" t="s">
        <v>201</v>
      </c>
    </row>
    <row r="2274" spans="1:8" x14ac:dyDescent="0.3">
      <c r="A2274">
        <v>2019</v>
      </c>
      <c r="B2274" t="s">
        <v>12</v>
      </c>
      <c r="C2274" t="s">
        <v>267</v>
      </c>
      <c r="D2274" t="s">
        <v>268</v>
      </c>
      <c r="E2274" t="s">
        <v>204</v>
      </c>
      <c r="F2274" t="s">
        <v>209</v>
      </c>
      <c r="G2274" t="s">
        <v>201</v>
      </c>
    </row>
    <row r="2275" spans="1:8" x14ac:dyDescent="0.3">
      <c r="A2275">
        <v>2019</v>
      </c>
      <c r="B2275" t="s">
        <v>12</v>
      </c>
      <c r="C2275" t="s">
        <v>267</v>
      </c>
      <c r="D2275" t="s">
        <v>268</v>
      </c>
      <c r="E2275" t="s">
        <v>205</v>
      </c>
      <c r="F2275" t="s">
        <v>209</v>
      </c>
      <c r="G2275" t="s">
        <v>201</v>
      </c>
    </row>
    <row r="2276" spans="1:8" x14ac:dyDescent="0.3">
      <c r="A2276">
        <v>2019</v>
      </c>
      <c r="B2276" t="s">
        <v>12</v>
      </c>
      <c r="C2276" t="s">
        <v>267</v>
      </c>
      <c r="D2276" t="s">
        <v>268</v>
      </c>
      <c r="E2276" t="s">
        <v>206</v>
      </c>
      <c r="F2276" t="s">
        <v>209</v>
      </c>
      <c r="G2276" t="s">
        <v>201</v>
      </c>
    </row>
    <row r="2277" spans="1:8" x14ac:dyDescent="0.3">
      <c r="A2277">
        <v>2019</v>
      </c>
      <c r="B2277" t="s">
        <v>13</v>
      </c>
      <c r="C2277" t="s">
        <v>267</v>
      </c>
      <c r="D2277" t="s">
        <v>268</v>
      </c>
      <c r="E2277" t="s">
        <v>1</v>
      </c>
      <c r="F2277" t="s">
        <v>209</v>
      </c>
      <c r="G2277" t="s">
        <v>201</v>
      </c>
      <c r="H2277">
        <v>14</v>
      </c>
    </row>
    <row r="2278" spans="1:8" x14ac:dyDescent="0.3">
      <c r="A2278">
        <v>2019</v>
      </c>
      <c r="B2278" t="s">
        <v>13</v>
      </c>
      <c r="C2278" t="s">
        <v>267</v>
      </c>
      <c r="D2278" t="s">
        <v>268</v>
      </c>
      <c r="E2278" t="s">
        <v>203</v>
      </c>
      <c r="F2278" t="s">
        <v>209</v>
      </c>
      <c r="G2278" t="s">
        <v>201</v>
      </c>
      <c r="H2278">
        <v>0</v>
      </c>
    </row>
    <row r="2279" spans="1:8" x14ac:dyDescent="0.3">
      <c r="A2279">
        <v>2019</v>
      </c>
      <c r="B2279" t="s">
        <v>13</v>
      </c>
      <c r="C2279" t="s">
        <v>267</v>
      </c>
      <c r="D2279" t="s">
        <v>268</v>
      </c>
      <c r="E2279" t="s">
        <v>204</v>
      </c>
      <c r="F2279" t="s">
        <v>209</v>
      </c>
      <c r="G2279" t="s">
        <v>201</v>
      </c>
      <c r="H2279">
        <v>1</v>
      </c>
    </row>
    <row r="2280" spans="1:8" x14ac:dyDescent="0.3">
      <c r="A2280">
        <v>2019</v>
      </c>
      <c r="B2280" t="s">
        <v>13</v>
      </c>
      <c r="C2280" t="s">
        <v>267</v>
      </c>
      <c r="D2280" t="s">
        <v>268</v>
      </c>
      <c r="E2280" t="s">
        <v>205</v>
      </c>
      <c r="F2280" t="s">
        <v>209</v>
      </c>
      <c r="G2280" t="s">
        <v>201</v>
      </c>
      <c r="H2280">
        <v>0</v>
      </c>
    </row>
    <row r="2281" spans="1:8" x14ac:dyDescent="0.3">
      <c r="A2281">
        <v>2019</v>
      </c>
      <c r="B2281" t="s">
        <v>13</v>
      </c>
      <c r="C2281" t="s">
        <v>267</v>
      </c>
      <c r="D2281" t="s">
        <v>268</v>
      </c>
      <c r="E2281" t="s">
        <v>206</v>
      </c>
      <c r="F2281" t="s">
        <v>209</v>
      </c>
      <c r="G2281" t="s">
        <v>201</v>
      </c>
      <c r="H2281">
        <v>5</v>
      </c>
    </row>
    <row r="2282" spans="1:8" x14ac:dyDescent="0.3">
      <c r="A2282">
        <v>2019</v>
      </c>
      <c r="B2282" t="s">
        <v>14</v>
      </c>
      <c r="C2282" t="s">
        <v>267</v>
      </c>
      <c r="D2282" t="s">
        <v>268</v>
      </c>
      <c r="E2282" t="s">
        <v>1</v>
      </c>
      <c r="F2282" t="s">
        <v>209</v>
      </c>
      <c r="G2282" t="s">
        <v>201</v>
      </c>
      <c r="H2282">
        <v>5</v>
      </c>
    </row>
    <row r="2283" spans="1:8" x14ac:dyDescent="0.3">
      <c r="A2283">
        <v>2019</v>
      </c>
      <c r="B2283" t="s">
        <v>14</v>
      </c>
      <c r="C2283" t="s">
        <v>267</v>
      </c>
      <c r="D2283" t="s">
        <v>268</v>
      </c>
      <c r="E2283" t="s">
        <v>203</v>
      </c>
      <c r="F2283" t="s">
        <v>209</v>
      </c>
      <c r="G2283" t="s">
        <v>201</v>
      </c>
      <c r="H2283">
        <v>0</v>
      </c>
    </row>
    <row r="2284" spans="1:8" x14ac:dyDescent="0.3">
      <c r="A2284">
        <v>2019</v>
      </c>
      <c r="B2284" t="s">
        <v>14</v>
      </c>
      <c r="C2284" t="s">
        <v>267</v>
      </c>
      <c r="D2284" t="s">
        <v>268</v>
      </c>
      <c r="E2284" t="s">
        <v>204</v>
      </c>
      <c r="F2284" t="s">
        <v>209</v>
      </c>
      <c r="G2284" t="s">
        <v>201</v>
      </c>
      <c r="H2284">
        <v>0</v>
      </c>
    </row>
    <row r="2285" spans="1:8" x14ac:dyDescent="0.3">
      <c r="A2285">
        <v>2019</v>
      </c>
      <c r="B2285" t="s">
        <v>14</v>
      </c>
      <c r="C2285" t="s">
        <v>267</v>
      </c>
      <c r="D2285" t="s">
        <v>268</v>
      </c>
      <c r="E2285" t="s">
        <v>205</v>
      </c>
      <c r="F2285" t="s">
        <v>209</v>
      </c>
      <c r="G2285" t="s">
        <v>201</v>
      </c>
      <c r="H2285">
        <v>0</v>
      </c>
    </row>
    <row r="2286" spans="1:8" x14ac:dyDescent="0.3">
      <c r="A2286">
        <v>2019</v>
      </c>
      <c r="B2286" t="s">
        <v>14</v>
      </c>
      <c r="C2286" t="s">
        <v>267</v>
      </c>
      <c r="D2286" t="s">
        <v>268</v>
      </c>
      <c r="E2286" t="s">
        <v>206</v>
      </c>
      <c r="F2286" t="s">
        <v>209</v>
      </c>
      <c r="G2286" t="s">
        <v>201</v>
      </c>
      <c r="H2286">
        <v>0</v>
      </c>
    </row>
    <row r="2287" spans="1:8" x14ac:dyDescent="0.3">
      <c r="A2287">
        <v>2019</v>
      </c>
      <c r="B2287" t="s">
        <v>15</v>
      </c>
      <c r="C2287" t="s">
        <v>267</v>
      </c>
      <c r="D2287" t="s">
        <v>268</v>
      </c>
      <c r="E2287" t="s">
        <v>1</v>
      </c>
      <c r="F2287" t="s">
        <v>209</v>
      </c>
      <c r="G2287" t="s">
        <v>201</v>
      </c>
      <c r="H2287">
        <v>4</v>
      </c>
    </row>
    <row r="2288" spans="1:8" x14ac:dyDescent="0.3">
      <c r="A2288">
        <v>2019</v>
      </c>
      <c r="B2288" t="s">
        <v>15</v>
      </c>
      <c r="C2288" t="s">
        <v>267</v>
      </c>
      <c r="D2288" t="s">
        <v>268</v>
      </c>
      <c r="E2288" t="s">
        <v>203</v>
      </c>
      <c r="F2288" t="s">
        <v>209</v>
      </c>
      <c r="G2288" t="s">
        <v>201</v>
      </c>
      <c r="H2288">
        <v>0</v>
      </c>
    </row>
    <row r="2289" spans="1:8" x14ac:dyDescent="0.3">
      <c r="A2289">
        <v>2019</v>
      </c>
      <c r="B2289" t="s">
        <v>15</v>
      </c>
      <c r="C2289" t="s">
        <v>267</v>
      </c>
      <c r="D2289" t="s">
        <v>268</v>
      </c>
      <c r="E2289" t="s">
        <v>204</v>
      </c>
      <c r="F2289" t="s">
        <v>209</v>
      </c>
      <c r="G2289" t="s">
        <v>201</v>
      </c>
      <c r="H2289">
        <v>0</v>
      </c>
    </row>
    <row r="2290" spans="1:8" x14ac:dyDescent="0.3">
      <c r="A2290">
        <v>2019</v>
      </c>
      <c r="B2290" t="s">
        <v>15</v>
      </c>
      <c r="C2290" t="s">
        <v>267</v>
      </c>
      <c r="D2290" t="s">
        <v>268</v>
      </c>
      <c r="E2290" t="s">
        <v>205</v>
      </c>
      <c r="F2290" t="s">
        <v>209</v>
      </c>
      <c r="G2290" t="s">
        <v>201</v>
      </c>
      <c r="H2290">
        <v>0</v>
      </c>
    </row>
    <row r="2291" spans="1:8" x14ac:dyDescent="0.3">
      <c r="A2291">
        <v>2019</v>
      </c>
      <c r="B2291" t="s">
        <v>15</v>
      </c>
      <c r="C2291" t="s">
        <v>267</v>
      </c>
      <c r="D2291" t="s">
        <v>268</v>
      </c>
      <c r="E2291" t="s">
        <v>206</v>
      </c>
      <c r="F2291" t="s">
        <v>209</v>
      </c>
      <c r="G2291" t="s">
        <v>201</v>
      </c>
    </row>
    <row r="2292" spans="1:8" x14ac:dyDescent="0.3">
      <c r="A2292">
        <v>2019</v>
      </c>
      <c r="B2292" t="s">
        <v>16</v>
      </c>
      <c r="C2292" t="s">
        <v>267</v>
      </c>
      <c r="D2292" t="s">
        <v>268</v>
      </c>
      <c r="E2292" t="s">
        <v>1</v>
      </c>
      <c r="F2292" t="s">
        <v>209</v>
      </c>
      <c r="G2292" t="s">
        <v>201</v>
      </c>
      <c r="H2292">
        <v>6</v>
      </c>
    </row>
    <row r="2293" spans="1:8" x14ac:dyDescent="0.3">
      <c r="A2293">
        <v>2019</v>
      </c>
      <c r="B2293" t="s">
        <v>16</v>
      </c>
      <c r="C2293" t="s">
        <v>267</v>
      </c>
      <c r="D2293" t="s">
        <v>268</v>
      </c>
      <c r="E2293" t="s">
        <v>203</v>
      </c>
      <c r="F2293" t="s">
        <v>209</v>
      </c>
      <c r="G2293" t="s">
        <v>201</v>
      </c>
      <c r="H2293">
        <v>0</v>
      </c>
    </row>
    <row r="2294" spans="1:8" x14ac:dyDescent="0.3">
      <c r="A2294">
        <v>2019</v>
      </c>
      <c r="B2294" t="s">
        <v>16</v>
      </c>
      <c r="C2294" t="s">
        <v>267</v>
      </c>
      <c r="D2294" t="s">
        <v>268</v>
      </c>
      <c r="E2294" t="s">
        <v>204</v>
      </c>
      <c r="F2294" t="s">
        <v>209</v>
      </c>
      <c r="G2294" t="s">
        <v>201</v>
      </c>
      <c r="H2294">
        <v>0</v>
      </c>
    </row>
    <row r="2295" spans="1:8" x14ac:dyDescent="0.3">
      <c r="A2295">
        <v>2019</v>
      </c>
      <c r="B2295" t="s">
        <v>16</v>
      </c>
      <c r="C2295" t="s">
        <v>267</v>
      </c>
      <c r="D2295" t="s">
        <v>268</v>
      </c>
      <c r="E2295" t="s">
        <v>205</v>
      </c>
      <c r="F2295" t="s">
        <v>209</v>
      </c>
      <c r="G2295" t="s">
        <v>201</v>
      </c>
      <c r="H2295">
        <v>0</v>
      </c>
    </row>
    <row r="2296" spans="1:8" x14ac:dyDescent="0.3">
      <c r="A2296">
        <v>2019</v>
      </c>
      <c r="B2296" t="s">
        <v>16</v>
      </c>
      <c r="C2296" t="s">
        <v>267</v>
      </c>
      <c r="D2296" t="s">
        <v>268</v>
      </c>
      <c r="E2296" t="s">
        <v>206</v>
      </c>
      <c r="F2296" t="s">
        <v>209</v>
      </c>
      <c r="G2296" t="s">
        <v>201</v>
      </c>
      <c r="H2296">
        <v>5</v>
      </c>
    </row>
    <row r="2297" spans="1:8" x14ac:dyDescent="0.3">
      <c r="A2297">
        <v>2019</v>
      </c>
      <c r="B2297" t="s">
        <v>17</v>
      </c>
      <c r="C2297" t="s">
        <v>267</v>
      </c>
      <c r="D2297" t="s">
        <v>268</v>
      </c>
      <c r="E2297" t="s">
        <v>1</v>
      </c>
      <c r="F2297" t="s">
        <v>209</v>
      </c>
      <c r="G2297" t="s">
        <v>201</v>
      </c>
      <c r="H2297">
        <v>5</v>
      </c>
    </row>
    <row r="2298" spans="1:8" x14ac:dyDescent="0.3">
      <c r="A2298">
        <v>2019</v>
      </c>
      <c r="B2298" t="s">
        <v>17</v>
      </c>
      <c r="C2298" t="s">
        <v>267</v>
      </c>
      <c r="D2298" t="s">
        <v>268</v>
      </c>
      <c r="E2298" t="s">
        <v>203</v>
      </c>
      <c r="F2298" t="s">
        <v>209</v>
      </c>
      <c r="G2298" t="s">
        <v>201</v>
      </c>
      <c r="H2298">
        <v>0</v>
      </c>
    </row>
    <row r="2299" spans="1:8" x14ac:dyDescent="0.3">
      <c r="A2299">
        <v>2019</v>
      </c>
      <c r="B2299" t="s">
        <v>17</v>
      </c>
      <c r="C2299" t="s">
        <v>267</v>
      </c>
      <c r="D2299" t="s">
        <v>268</v>
      </c>
      <c r="E2299" t="s">
        <v>204</v>
      </c>
      <c r="F2299" t="s">
        <v>209</v>
      </c>
      <c r="G2299" t="s">
        <v>201</v>
      </c>
      <c r="H2299">
        <v>0</v>
      </c>
    </row>
    <row r="2300" spans="1:8" x14ac:dyDescent="0.3">
      <c r="A2300">
        <v>2019</v>
      </c>
      <c r="B2300" t="s">
        <v>17</v>
      </c>
      <c r="C2300" t="s">
        <v>267</v>
      </c>
      <c r="D2300" t="s">
        <v>268</v>
      </c>
      <c r="E2300" t="s">
        <v>205</v>
      </c>
      <c r="F2300" t="s">
        <v>209</v>
      </c>
      <c r="G2300" t="s">
        <v>201</v>
      </c>
      <c r="H2300">
        <v>0</v>
      </c>
    </row>
    <row r="2301" spans="1:8" x14ac:dyDescent="0.3">
      <c r="A2301">
        <v>2019</v>
      </c>
      <c r="B2301" t="s">
        <v>17</v>
      </c>
      <c r="C2301" t="s">
        <v>267</v>
      </c>
      <c r="D2301" t="s">
        <v>268</v>
      </c>
      <c r="E2301" t="s">
        <v>206</v>
      </c>
      <c r="F2301" t="s">
        <v>209</v>
      </c>
      <c r="G2301" t="s">
        <v>201</v>
      </c>
      <c r="H2301">
        <v>6</v>
      </c>
    </row>
    <row r="2302" spans="1:8" x14ac:dyDescent="0.3">
      <c r="A2302">
        <v>2019</v>
      </c>
      <c r="B2302" t="s">
        <v>163</v>
      </c>
      <c r="C2302" t="s">
        <v>267</v>
      </c>
      <c r="D2302" t="s">
        <v>268</v>
      </c>
      <c r="E2302" t="s">
        <v>1</v>
      </c>
      <c r="F2302" t="s">
        <v>209</v>
      </c>
      <c r="G2302" t="s">
        <v>201</v>
      </c>
      <c r="H2302">
        <v>2</v>
      </c>
    </row>
    <row r="2303" spans="1:8" x14ac:dyDescent="0.3">
      <c r="A2303">
        <v>2019</v>
      </c>
      <c r="B2303" t="s">
        <v>163</v>
      </c>
      <c r="C2303" t="s">
        <v>267</v>
      </c>
      <c r="D2303" t="s">
        <v>268</v>
      </c>
      <c r="E2303" t="s">
        <v>203</v>
      </c>
      <c r="F2303" t="s">
        <v>209</v>
      </c>
      <c r="G2303" t="s">
        <v>201</v>
      </c>
      <c r="H2303">
        <v>1</v>
      </c>
    </row>
    <row r="2304" spans="1:8" x14ac:dyDescent="0.3">
      <c r="A2304">
        <v>2019</v>
      </c>
      <c r="B2304" t="s">
        <v>163</v>
      </c>
      <c r="C2304" t="s">
        <v>267</v>
      </c>
      <c r="D2304" t="s">
        <v>268</v>
      </c>
      <c r="E2304" t="s">
        <v>204</v>
      </c>
      <c r="F2304" t="s">
        <v>209</v>
      </c>
      <c r="G2304" t="s">
        <v>201</v>
      </c>
      <c r="H2304">
        <v>0</v>
      </c>
    </row>
    <row r="2305" spans="1:8" x14ac:dyDescent="0.3">
      <c r="A2305">
        <v>2019</v>
      </c>
      <c r="B2305" t="s">
        <v>163</v>
      </c>
      <c r="C2305" t="s">
        <v>267</v>
      </c>
      <c r="D2305" t="s">
        <v>268</v>
      </c>
      <c r="E2305" t="s">
        <v>205</v>
      </c>
      <c r="F2305" t="s">
        <v>209</v>
      </c>
      <c r="G2305" t="s">
        <v>201</v>
      </c>
      <c r="H2305">
        <v>0</v>
      </c>
    </row>
    <row r="2306" spans="1:8" x14ac:dyDescent="0.3">
      <c r="A2306">
        <v>2019</v>
      </c>
      <c r="B2306" t="s">
        <v>163</v>
      </c>
      <c r="C2306" t="s">
        <v>267</v>
      </c>
      <c r="D2306" t="s">
        <v>268</v>
      </c>
      <c r="E2306" t="s">
        <v>206</v>
      </c>
      <c r="F2306" t="s">
        <v>209</v>
      </c>
      <c r="G2306" t="s">
        <v>201</v>
      </c>
      <c r="H2306">
        <v>40</v>
      </c>
    </row>
    <row r="2307" spans="1:8" x14ac:dyDescent="0.3">
      <c r="A2307">
        <v>2019</v>
      </c>
      <c r="B2307" t="s">
        <v>20</v>
      </c>
      <c r="C2307" t="s">
        <v>267</v>
      </c>
      <c r="D2307" t="s">
        <v>268</v>
      </c>
      <c r="E2307" t="s">
        <v>1</v>
      </c>
      <c r="F2307" t="s">
        <v>209</v>
      </c>
      <c r="G2307" t="s">
        <v>201</v>
      </c>
      <c r="H2307">
        <v>2</v>
      </c>
    </row>
    <row r="2308" spans="1:8" x14ac:dyDescent="0.3">
      <c r="A2308">
        <v>2019</v>
      </c>
      <c r="B2308" t="s">
        <v>20</v>
      </c>
      <c r="C2308" t="s">
        <v>267</v>
      </c>
      <c r="D2308" t="s">
        <v>268</v>
      </c>
      <c r="E2308" t="s">
        <v>203</v>
      </c>
      <c r="F2308" t="s">
        <v>209</v>
      </c>
      <c r="G2308" t="s">
        <v>201</v>
      </c>
      <c r="H2308">
        <v>0</v>
      </c>
    </row>
    <row r="2309" spans="1:8" x14ac:dyDescent="0.3">
      <c r="A2309">
        <v>2019</v>
      </c>
      <c r="B2309" t="s">
        <v>20</v>
      </c>
      <c r="C2309" t="s">
        <v>267</v>
      </c>
      <c r="D2309" t="s">
        <v>268</v>
      </c>
      <c r="E2309" t="s">
        <v>204</v>
      </c>
      <c r="F2309" t="s">
        <v>209</v>
      </c>
      <c r="G2309" t="s">
        <v>201</v>
      </c>
      <c r="H2309">
        <v>0</v>
      </c>
    </row>
    <row r="2310" spans="1:8" x14ac:dyDescent="0.3">
      <c r="A2310">
        <v>2019</v>
      </c>
      <c r="B2310" t="s">
        <v>20</v>
      </c>
      <c r="C2310" t="s">
        <v>267</v>
      </c>
      <c r="D2310" t="s">
        <v>268</v>
      </c>
      <c r="E2310" t="s">
        <v>205</v>
      </c>
      <c r="F2310" t="s">
        <v>209</v>
      </c>
      <c r="G2310" t="s">
        <v>201</v>
      </c>
      <c r="H2310">
        <v>0</v>
      </c>
    </row>
    <row r="2311" spans="1:8" x14ac:dyDescent="0.3">
      <c r="A2311">
        <v>2019</v>
      </c>
      <c r="B2311" t="s">
        <v>20</v>
      </c>
      <c r="C2311" t="s">
        <v>267</v>
      </c>
      <c r="D2311" t="s">
        <v>268</v>
      </c>
      <c r="E2311" t="s">
        <v>206</v>
      </c>
      <c r="F2311" t="s">
        <v>209</v>
      </c>
      <c r="G2311" t="s">
        <v>201</v>
      </c>
      <c r="H2311">
        <v>0</v>
      </c>
    </row>
    <row r="2312" spans="1:8" x14ac:dyDescent="0.3">
      <c r="A2312">
        <v>2019</v>
      </c>
      <c r="B2312" t="s">
        <v>21</v>
      </c>
      <c r="C2312" t="s">
        <v>267</v>
      </c>
      <c r="D2312" t="s">
        <v>268</v>
      </c>
      <c r="E2312" t="s">
        <v>1</v>
      </c>
      <c r="F2312" t="s">
        <v>209</v>
      </c>
      <c r="G2312" t="s">
        <v>201</v>
      </c>
      <c r="H2312">
        <v>12</v>
      </c>
    </row>
    <row r="2313" spans="1:8" x14ac:dyDescent="0.3">
      <c r="A2313">
        <v>2019</v>
      </c>
      <c r="B2313" t="s">
        <v>21</v>
      </c>
      <c r="C2313" t="s">
        <v>267</v>
      </c>
      <c r="D2313" t="s">
        <v>268</v>
      </c>
      <c r="E2313" t="s">
        <v>203</v>
      </c>
      <c r="F2313" t="s">
        <v>209</v>
      </c>
      <c r="G2313" t="s">
        <v>201</v>
      </c>
      <c r="H2313">
        <v>3</v>
      </c>
    </row>
    <row r="2314" spans="1:8" x14ac:dyDescent="0.3">
      <c r="A2314">
        <v>2019</v>
      </c>
      <c r="B2314" t="s">
        <v>21</v>
      </c>
      <c r="C2314" t="s">
        <v>267</v>
      </c>
      <c r="D2314" t="s">
        <v>268</v>
      </c>
      <c r="E2314" t="s">
        <v>204</v>
      </c>
      <c r="F2314" t="s">
        <v>209</v>
      </c>
      <c r="G2314" t="s">
        <v>201</v>
      </c>
      <c r="H2314">
        <v>0</v>
      </c>
    </row>
    <row r="2315" spans="1:8" x14ac:dyDescent="0.3">
      <c r="A2315">
        <v>2019</v>
      </c>
      <c r="B2315" t="s">
        <v>21</v>
      </c>
      <c r="C2315" t="s">
        <v>267</v>
      </c>
      <c r="D2315" t="s">
        <v>268</v>
      </c>
      <c r="E2315" t="s">
        <v>205</v>
      </c>
      <c r="F2315" t="s">
        <v>209</v>
      </c>
      <c r="G2315" t="s">
        <v>201</v>
      </c>
      <c r="H2315">
        <v>0</v>
      </c>
    </row>
    <row r="2316" spans="1:8" x14ac:dyDescent="0.3">
      <c r="A2316">
        <v>2019</v>
      </c>
      <c r="B2316" t="s">
        <v>21</v>
      </c>
      <c r="C2316" t="s">
        <v>267</v>
      </c>
      <c r="D2316" t="s">
        <v>268</v>
      </c>
      <c r="E2316" t="s">
        <v>206</v>
      </c>
      <c r="F2316" t="s">
        <v>209</v>
      </c>
      <c r="G2316" t="s">
        <v>201</v>
      </c>
      <c r="H2316">
        <v>43</v>
      </c>
    </row>
    <row r="2317" spans="1:8" x14ac:dyDescent="0.3">
      <c r="A2317">
        <v>2019</v>
      </c>
      <c r="B2317" t="s">
        <v>22</v>
      </c>
      <c r="C2317" t="s">
        <v>267</v>
      </c>
      <c r="D2317" t="s">
        <v>268</v>
      </c>
      <c r="E2317" t="s">
        <v>1</v>
      </c>
      <c r="F2317" t="s">
        <v>209</v>
      </c>
      <c r="G2317" t="s">
        <v>201</v>
      </c>
      <c r="H2317">
        <v>18</v>
      </c>
    </row>
    <row r="2318" spans="1:8" x14ac:dyDescent="0.3">
      <c r="A2318">
        <v>2019</v>
      </c>
      <c r="B2318" t="s">
        <v>22</v>
      </c>
      <c r="C2318" t="s">
        <v>267</v>
      </c>
      <c r="D2318" t="s">
        <v>268</v>
      </c>
      <c r="E2318" t="s">
        <v>203</v>
      </c>
      <c r="F2318" t="s">
        <v>209</v>
      </c>
      <c r="G2318" t="s">
        <v>201</v>
      </c>
      <c r="H2318">
        <v>1</v>
      </c>
    </row>
    <row r="2319" spans="1:8" x14ac:dyDescent="0.3">
      <c r="A2319">
        <v>2019</v>
      </c>
      <c r="B2319" t="s">
        <v>22</v>
      </c>
      <c r="C2319" t="s">
        <v>267</v>
      </c>
      <c r="D2319" t="s">
        <v>268</v>
      </c>
      <c r="E2319" t="s">
        <v>204</v>
      </c>
      <c r="F2319" t="s">
        <v>209</v>
      </c>
      <c r="G2319" t="s">
        <v>201</v>
      </c>
      <c r="H2319">
        <v>0</v>
      </c>
    </row>
    <row r="2320" spans="1:8" x14ac:dyDescent="0.3">
      <c r="A2320">
        <v>2019</v>
      </c>
      <c r="B2320" t="s">
        <v>22</v>
      </c>
      <c r="C2320" t="s">
        <v>267</v>
      </c>
      <c r="D2320" t="s">
        <v>268</v>
      </c>
      <c r="E2320" t="s">
        <v>205</v>
      </c>
      <c r="F2320" t="s">
        <v>209</v>
      </c>
      <c r="G2320" t="s">
        <v>201</v>
      </c>
      <c r="H2320">
        <v>0</v>
      </c>
    </row>
    <row r="2321" spans="1:8" x14ac:dyDescent="0.3">
      <c r="A2321">
        <v>2019</v>
      </c>
      <c r="B2321" t="s">
        <v>22</v>
      </c>
      <c r="C2321" t="s">
        <v>267</v>
      </c>
      <c r="D2321" t="s">
        <v>268</v>
      </c>
      <c r="E2321" t="s">
        <v>206</v>
      </c>
      <c r="F2321" t="s">
        <v>209</v>
      </c>
      <c r="G2321" t="s">
        <v>201</v>
      </c>
      <c r="H2321">
        <v>69</v>
      </c>
    </row>
    <row r="2322" spans="1:8" x14ac:dyDescent="0.3">
      <c r="A2322">
        <v>2019</v>
      </c>
      <c r="B2322" t="s">
        <v>23</v>
      </c>
      <c r="C2322" t="s">
        <v>267</v>
      </c>
      <c r="D2322" t="s">
        <v>268</v>
      </c>
      <c r="E2322" t="s">
        <v>1</v>
      </c>
      <c r="F2322" t="s">
        <v>209</v>
      </c>
      <c r="G2322" t="s">
        <v>201</v>
      </c>
      <c r="H2322">
        <v>9</v>
      </c>
    </row>
    <row r="2323" spans="1:8" x14ac:dyDescent="0.3">
      <c r="A2323">
        <v>2019</v>
      </c>
      <c r="B2323" t="s">
        <v>23</v>
      </c>
      <c r="C2323" t="s">
        <v>267</v>
      </c>
      <c r="D2323" t="s">
        <v>268</v>
      </c>
      <c r="E2323" t="s">
        <v>203</v>
      </c>
      <c r="F2323" t="s">
        <v>209</v>
      </c>
      <c r="G2323" t="s">
        <v>201</v>
      </c>
      <c r="H2323">
        <v>0</v>
      </c>
    </row>
    <row r="2324" spans="1:8" x14ac:dyDescent="0.3">
      <c r="A2324">
        <v>2019</v>
      </c>
      <c r="B2324" t="s">
        <v>23</v>
      </c>
      <c r="C2324" t="s">
        <v>267</v>
      </c>
      <c r="D2324" t="s">
        <v>268</v>
      </c>
      <c r="E2324" t="s">
        <v>204</v>
      </c>
      <c r="F2324" t="s">
        <v>209</v>
      </c>
      <c r="G2324" t="s">
        <v>201</v>
      </c>
      <c r="H2324">
        <v>0</v>
      </c>
    </row>
    <row r="2325" spans="1:8" x14ac:dyDescent="0.3">
      <c r="A2325">
        <v>2019</v>
      </c>
      <c r="B2325" t="s">
        <v>23</v>
      </c>
      <c r="C2325" t="s">
        <v>267</v>
      </c>
      <c r="D2325" t="s">
        <v>268</v>
      </c>
      <c r="E2325" t="s">
        <v>205</v>
      </c>
      <c r="F2325" t="s">
        <v>209</v>
      </c>
      <c r="G2325" t="s">
        <v>201</v>
      </c>
      <c r="H2325">
        <v>0</v>
      </c>
    </row>
    <row r="2326" spans="1:8" x14ac:dyDescent="0.3">
      <c r="A2326">
        <v>2019</v>
      </c>
      <c r="B2326" t="s">
        <v>23</v>
      </c>
      <c r="C2326" t="s">
        <v>267</v>
      </c>
      <c r="D2326" t="s">
        <v>268</v>
      </c>
      <c r="E2326" t="s">
        <v>206</v>
      </c>
      <c r="F2326" t="s">
        <v>209</v>
      </c>
      <c r="G2326" t="s">
        <v>201</v>
      </c>
      <c r="H2326">
        <v>6</v>
      </c>
    </row>
    <row r="2327" spans="1:8" x14ac:dyDescent="0.3">
      <c r="A2327">
        <v>2019</v>
      </c>
      <c r="B2327" t="s">
        <v>54</v>
      </c>
      <c r="C2327" t="s">
        <v>267</v>
      </c>
      <c r="D2327" t="s">
        <v>268</v>
      </c>
      <c r="E2327" t="s">
        <v>1</v>
      </c>
      <c r="F2327" t="s">
        <v>209</v>
      </c>
      <c r="G2327" t="s">
        <v>201</v>
      </c>
      <c r="H2327">
        <v>123</v>
      </c>
    </row>
    <row r="2328" spans="1:8" x14ac:dyDescent="0.3">
      <c r="A2328">
        <v>2019</v>
      </c>
      <c r="B2328" t="s">
        <v>54</v>
      </c>
      <c r="C2328" t="s">
        <v>267</v>
      </c>
      <c r="D2328" t="s">
        <v>268</v>
      </c>
      <c r="E2328" t="s">
        <v>203</v>
      </c>
      <c r="F2328" t="s">
        <v>209</v>
      </c>
      <c r="G2328" t="s">
        <v>201</v>
      </c>
      <c r="H2328">
        <v>12</v>
      </c>
    </row>
    <row r="2329" spans="1:8" x14ac:dyDescent="0.3">
      <c r="A2329">
        <v>2019</v>
      </c>
      <c r="B2329" t="s">
        <v>54</v>
      </c>
      <c r="C2329" t="s">
        <v>267</v>
      </c>
      <c r="D2329" t="s">
        <v>268</v>
      </c>
      <c r="E2329" t="s">
        <v>204</v>
      </c>
      <c r="F2329" t="s">
        <v>209</v>
      </c>
      <c r="G2329" t="s">
        <v>201</v>
      </c>
      <c r="H2329">
        <v>3</v>
      </c>
    </row>
    <row r="2330" spans="1:8" x14ac:dyDescent="0.3">
      <c r="A2330">
        <v>2019</v>
      </c>
      <c r="B2330" t="s">
        <v>54</v>
      </c>
      <c r="C2330" t="s">
        <v>267</v>
      </c>
      <c r="D2330" t="s">
        <v>268</v>
      </c>
      <c r="E2330" t="s">
        <v>205</v>
      </c>
      <c r="F2330" t="s">
        <v>209</v>
      </c>
      <c r="G2330" t="s">
        <v>201</v>
      </c>
      <c r="H2330">
        <v>0</v>
      </c>
    </row>
    <row r="2331" spans="1:8" x14ac:dyDescent="0.3">
      <c r="A2331">
        <v>2019</v>
      </c>
      <c r="B2331" t="s">
        <v>54</v>
      </c>
      <c r="C2331" t="s">
        <v>267</v>
      </c>
      <c r="D2331" t="s">
        <v>268</v>
      </c>
      <c r="E2331" t="s">
        <v>206</v>
      </c>
      <c r="F2331" t="s">
        <v>209</v>
      </c>
      <c r="G2331" t="s">
        <v>201</v>
      </c>
    </row>
    <row r="2332" spans="1:8" x14ac:dyDescent="0.3">
      <c r="A2332">
        <v>2019</v>
      </c>
      <c r="B2332" t="s">
        <v>48</v>
      </c>
      <c r="C2332" t="s">
        <v>267</v>
      </c>
      <c r="D2332" t="s">
        <v>268</v>
      </c>
      <c r="E2332" t="s">
        <v>1</v>
      </c>
      <c r="F2332" t="s">
        <v>209</v>
      </c>
      <c r="G2332" t="s">
        <v>201</v>
      </c>
      <c r="H2332">
        <v>20</v>
      </c>
    </row>
    <row r="2333" spans="1:8" x14ac:dyDescent="0.3">
      <c r="A2333">
        <v>2019</v>
      </c>
      <c r="B2333" t="s">
        <v>48</v>
      </c>
      <c r="C2333" t="s">
        <v>267</v>
      </c>
      <c r="D2333" t="s">
        <v>268</v>
      </c>
      <c r="E2333" t="s">
        <v>203</v>
      </c>
      <c r="F2333" t="s">
        <v>209</v>
      </c>
      <c r="G2333" t="s">
        <v>201</v>
      </c>
      <c r="H2333">
        <v>1</v>
      </c>
    </row>
    <row r="2334" spans="1:8" x14ac:dyDescent="0.3">
      <c r="A2334">
        <v>2019</v>
      </c>
      <c r="B2334" t="s">
        <v>48</v>
      </c>
      <c r="C2334" t="s">
        <v>267</v>
      </c>
      <c r="D2334" t="s">
        <v>268</v>
      </c>
      <c r="E2334" t="s">
        <v>204</v>
      </c>
      <c r="F2334" t="s">
        <v>209</v>
      </c>
      <c r="G2334" t="s">
        <v>201</v>
      </c>
      <c r="H2334">
        <v>0</v>
      </c>
    </row>
    <row r="2335" spans="1:8" x14ac:dyDescent="0.3">
      <c r="A2335">
        <v>2019</v>
      </c>
      <c r="B2335" t="s">
        <v>48</v>
      </c>
      <c r="C2335" t="s">
        <v>267</v>
      </c>
      <c r="D2335" t="s">
        <v>268</v>
      </c>
      <c r="E2335" t="s">
        <v>205</v>
      </c>
      <c r="F2335" t="s">
        <v>209</v>
      </c>
      <c r="G2335" t="s">
        <v>201</v>
      </c>
      <c r="H2335">
        <v>0</v>
      </c>
    </row>
    <row r="2336" spans="1:8" x14ac:dyDescent="0.3">
      <c r="A2336">
        <v>2019</v>
      </c>
      <c r="B2336" t="s">
        <v>48</v>
      </c>
      <c r="C2336" t="s">
        <v>267</v>
      </c>
      <c r="D2336" t="s">
        <v>268</v>
      </c>
      <c r="E2336" t="s">
        <v>206</v>
      </c>
      <c r="F2336" t="s">
        <v>209</v>
      </c>
      <c r="G2336" t="s">
        <v>201</v>
      </c>
      <c r="H2336">
        <v>34</v>
      </c>
    </row>
    <row r="2337" spans="1:8" x14ac:dyDescent="0.3">
      <c r="A2337">
        <v>2019</v>
      </c>
      <c r="B2337" t="s">
        <v>24</v>
      </c>
      <c r="C2337" t="s">
        <v>267</v>
      </c>
      <c r="D2337" t="s">
        <v>268</v>
      </c>
      <c r="E2337" t="s">
        <v>1</v>
      </c>
      <c r="F2337" t="s">
        <v>209</v>
      </c>
      <c r="G2337" t="s">
        <v>201</v>
      </c>
      <c r="H2337">
        <v>4</v>
      </c>
    </row>
    <row r="2338" spans="1:8" x14ac:dyDescent="0.3">
      <c r="A2338">
        <v>2019</v>
      </c>
      <c r="B2338" t="s">
        <v>24</v>
      </c>
      <c r="C2338" t="s">
        <v>267</v>
      </c>
      <c r="D2338" t="s">
        <v>268</v>
      </c>
      <c r="E2338" t="s">
        <v>203</v>
      </c>
      <c r="F2338" t="s">
        <v>209</v>
      </c>
      <c r="G2338" t="s">
        <v>201</v>
      </c>
      <c r="H2338">
        <v>2</v>
      </c>
    </row>
    <row r="2339" spans="1:8" x14ac:dyDescent="0.3">
      <c r="A2339">
        <v>2019</v>
      </c>
      <c r="B2339" t="s">
        <v>24</v>
      </c>
      <c r="C2339" t="s">
        <v>267</v>
      </c>
      <c r="D2339" t="s">
        <v>268</v>
      </c>
      <c r="E2339" t="s">
        <v>204</v>
      </c>
      <c r="F2339" t="s">
        <v>209</v>
      </c>
      <c r="G2339" t="s">
        <v>201</v>
      </c>
      <c r="H2339">
        <v>0</v>
      </c>
    </row>
    <row r="2340" spans="1:8" x14ac:dyDescent="0.3">
      <c r="A2340">
        <v>2019</v>
      </c>
      <c r="B2340" t="s">
        <v>24</v>
      </c>
      <c r="C2340" t="s">
        <v>267</v>
      </c>
      <c r="D2340" t="s">
        <v>268</v>
      </c>
      <c r="E2340" t="s">
        <v>205</v>
      </c>
      <c r="F2340" t="s">
        <v>209</v>
      </c>
      <c r="G2340" t="s">
        <v>201</v>
      </c>
      <c r="H2340">
        <v>0</v>
      </c>
    </row>
    <row r="2341" spans="1:8" x14ac:dyDescent="0.3">
      <c r="A2341">
        <v>2019</v>
      </c>
      <c r="B2341" t="s">
        <v>24</v>
      </c>
      <c r="C2341" t="s">
        <v>267</v>
      </c>
      <c r="D2341" t="s">
        <v>268</v>
      </c>
      <c r="E2341" t="s">
        <v>206</v>
      </c>
      <c r="F2341" t="s">
        <v>209</v>
      </c>
      <c r="G2341" t="s">
        <v>201</v>
      </c>
      <c r="H2341">
        <v>59.5</v>
      </c>
    </row>
    <row r="2342" spans="1:8" x14ac:dyDescent="0.3">
      <c r="A2342">
        <v>2019</v>
      </c>
      <c r="B2342" t="s">
        <v>214</v>
      </c>
      <c r="C2342" t="s">
        <v>267</v>
      </c>
      <c r="D2342" t="s">
        <v>268</v>
      </c>
      <c r="E2342" t="s">
        <v>1</v>
      </c>
      <c r="F2342" t="s">
        <v>209</v>
      </c>
      <c r="G2342" t="s">
        <v>201</v>
      </c>
      <c r="H2342">
        <v>8</v>
      </c>
    </row>
    <row r="2343" spans="1:8" x14ac:dyDescent="0.3">
      <c r="A2343">
        <v>2019</v>
      </c>
      <c r="B2343" t="s">
        <v>214</v>
      </c>
      <c r="C2343" t="s">
        <v>267</v>
      </c>
      <c r="D2343" t="s">
        <v>268</v>
      </c>
      <c r="E2343" t="s">
        <v>203</v>
      </c>
      <c r="F2343" t="s">
        <v>209</v>
      </c>
      <c r="G2343" t="s">
        <v>201</v>
      </c>
      <c r="H2343">
        <v>0</v>
      </c>
    </row>
    <row r="2344" spans="1:8" x14ac:dyDescent="0.3">
      <c r="A2344">
        <v>2019</v>
      </c>
      <c r="B2344" t="s">
        <v>214</v>
      </c>
      <c r="C2344" t="s">
        <v>267</v>
      </c>
      <c r="D2344" t="s">
        <v>268</v>
      </c>
      <c r="E2344" t="s">
        <v>204</v>
      </c>
      <c r="F2344" t="s">
        <v>209</v>
      </c>
      <c r="G2344" t="s">
        <v>201</v>
      </c>
      <c r="H2344">
        <v>0</v>
      </c>
    </row>
    <row r="2345" spans="1:8" x14ac:dyDescent="0.3">
      <c r="A2345">
        <v>2019</v>
      </c>
      <c r="B2345" t="s">
        <v>214</v>
      </c>
      <c r="C2345" t="s">
        <v>267</v>
      </c>
      <c r="D2345" t="s">
        <v>268</v>
      </c>
      <c r="E2345" t="s">
        <v>205</v>
      </c>
      <c r="F2345" t="s">
        <v>209</v>
      </c>
      <c r="G2345" t="s">
        <v>201</v>
      </c>
      <c r="H2345">
        <v>0</v>
      </c>
    </row>
    <row r="2346" spans="1:8" x14ac:dyDescent="0.3">
      <c r="A2346">
        <v>2019</v>
      </c>
      <c r="B2346" t="s">
        <v>214</v>
      </c>
      <c r="C2346" t="s">
        <v>267</v>
      </c>
      <c r="D2346" t="s">
        <v>268</v>
      </c>
      <c r="E2346" t="s">
        <v>206</v>
      </c>
      <c r="F2346" t="s">
        <v>209</v>
      </c>
      <c r="G2346" t="s">
        <v>201</v>
      </c>
      <c r="H2346">
        <v>0</v>
      </c>
    </row>
    <row r="2347" spans="1:8" x14ac:dyDescent="0.3">
      <c r="A2347">
        <v>2019</v>
      </c>
      <c r="B2347" t="s">
        <v>26</v>
      </c>
      <c r="C2347" t="s">
        <v>267</v>
      </c>
      <c r="D2347" t="s">
        <v>268</v>
      </c>
      <c r="E2347" t="s">
        <v>1</v>
      </c>
      <c r="F2347" t="s">
        <v>209</v>
      </c>
      <c r="G2347" t="s">
        <v>201</v>
      </c>
      <c r="H2347">
        <v>4</v>
      </c>
    </row>
    <row r="2348" spans="1:8" x14ac:dyDescent="0.3">
      <c r="A2348">
        <v>2019</v>
      </c>
      <c r="B2348" t="s">
        <v>26</v>
      </c>
      <c r="C2348" t="s">
        <v>267</v>
      </c>
      <c r="D2348" t="s">
        <v>268</v>
      </c>
      <c r="E2348" t="s">
        <v>203</v>
      </c>
      <c r="F2348" t="s">
        <v>209</v>
      </c>
      <c r="G2348" t="s">
        <v>201</v>
      </c>
      <c r="H2348">
        <v>0</v>
      </c>
    </row>
    <row r="2349" spans="1:8" x14ac:dyDescent="0.3">
      <c r="A2349">
        <v>2019</v>
      </c>
      <c r="B2349" t="s">
        <v>26</v>
      </c>
      <c r="C2349" t="s">
        <v>267</v>
      </c>
      <c r="D2349" t="s">
        <v>268</v>
      </c>
      <c r="E2349" t="s">
        <v>204</v>
      </c>
      <c r="F2349" t="s">
        <v>209</v>
      </c>
      <c r="G2349" t="s">
        <v>201</v>
      </c>
      <c r="H2349">
        <v>0</v>
      </c>
    </row>
    <row r="2350" spans="1:8" x14ac:dyDescent="0.3">
      <c r="A2350">
        <v>2019</v>
      </c>
      <c r="B2350" t="s">
        <v>26</v>
      </c>
      <c r="C2350" t="s">
        <v>267</v>
      </c>
      <c r="D2350" t="s">
        <v>268</v>
      </c>
      <c r="E2350" t="s">
        <v>205</v>
      </c>
      <c r="F2350" t="s">
        <v>209</v>
      </c>
      <c r="G2350" t="s">
        <v>201</v>
      </c>
      <c r="H2350">
        <v>0</v>
      </c>
    </row>
    <row r="2351" spans="1:8" x14ac:dyDescent="0.3">
      <c r="A2351">
        <v>2019</v>
      </c>
      <c r="B2351" t="s">
        <v>26</v>
      </c>
      <c r="C2351" t="s">
        <v>267</v>
      </c>
      <c r="D2351" t="s">
        <v>268</v>
      </c>
      <c r="E2351" t="s">
        <v>206</v>
      </c>
      <c r="F2351" t="s">
        <v>209</v>
      </c>
      <c r="G2351" t="s">
        <v>201</v>
      </c>
      <c r="H2351">
        <v>1</v>
      </c>
    </row>
    <row r="2352" spans="1:8" x14ac:dyDescent="0.3">
      <c r="A2352">
        <v>2019</v>
      </c>
      <c r="B2352" t="s">
        <v>27</v>
      </c>
      <c r="C2352" t="s">
        <v>267</v>
      </c>
      <c r="D2352" t="s">
        <v>268</v>
      </c>
      <c r="E2352" t="s">
        <v>1</v>
      </c>
      <c r="F2352" t="s">
        <v>209</v>
      </c>
      <c r="G2352" t="s">
        <v>201</v>
      </c>
      <c r="H2352">
        <v>9</v>
      </c>
    </row>
    <row r="2353" spans="1:8" x14ac:dyDescent="0.3">
      <c r="A2353">
        <v>2019</v>
      </c>
      <c r="B2353" t="s">
        <v>27</v>
      </c>
      <c r="C2353" t="s">
        <v>267</v>
      </c>
      <c r="D2353" t="s">
        <v>268</v>
      </c>
      <c r="E2353" t="s">
        <v>203</v>
      </c>
      <c r="F2353" t="s">
        <v>209</v>
      </c>
      <c r="G2353" t="s">
        <v>201</v>
      </c>
      <c r="H2353">
        <v>0</v>
      </c>
    </row>
    <row r="2354" spans="1:8" x14ac:dyDescent="0.3">
      <c r="A2354">
        <v>2019</v>
      </c>
      <c r="B2354" t="s">
        <v>27</v>
      </c>
      <c r="C2354" t="s">
        <v>267</v>
      </c>
      <c r="D2354" t="s">
        <v>268</v>
      </c>
      <c r="E2354" t="s">
        <v>204</v>
      </c>
      <c r="F2354" t="s">
        <v>209</v>
      </c>
      <c r="G2354" t="s">
        <v>201</v>
      </c>
      <c r="H2354">
        <v>0</v>
      </c>
    </row>
    <row r="2355" spans="1:8" x14ac:dyDescent="0.3">
      <c r="A2355">
        <v>2019</v>
      </c>
      <c r="B2355" t="s">
        <v>27</v>
      </c>
      <c r="C2355" t="s">
        <v>267</v>
      </c>
      <c r="D2355" t="s">
        <v>268</v>
      </c>
      <c r="E2355" t="s">
        <v>205</v>
      </c>
      <c r="F2355" t="s">
        <v>209</v>
      </c>
      <c r="G2355" t="s">
        <v>201</v>
      </c>
      <c r="H2355">
        <v>0</v>
      </c>
    </row>
    <row r="2356" spans="1:8" x14ac:dyDescent="0.3">
      <c r="A2356">
        <v>2019</v>
      </c>
      <c r="B2356" t="s">
        <v>27</v>
      </c>
      <c r="C2356" t="s">
        <v>267</v>
      </c>
      <c r="D2356" t="s">
        <v>268</v>
      </c>
      <c r="E2356" t="s">
        <v>206</v>
      </c>
      <c r="F2356" t="s">
        <v>209</v>
      </c>
      <c r="G2356" t="s">
        <v>201</v>
      </c>
      <c r="H2356">
        <v>10</v>
      </c>
    </row>
    <row r="2357" spans="1:8" x14ac:dyDescent="0.3">
      <c r="A2357">
        <v>2019</v>
      </c>
      <c r="B2357" t="s">
        <v>219</v>
      </c>
      <c r="C2357" t="s">
        <v>267</v>
      </c>
      <c r="D2357" t="s">
        <v>268</v>
      </c>
      <c r="E2357" t="s">
        <v>1</v>
      </c>
      <c r="F2357" t="s">
        <v>209</v>
      </c>
      <c r="G2357" t="s">
        <v>201</v>
      </c>
      <c r="H2357">
        <v>2</v>
      </c>
    </row>
    <row r="2358" spans="1:8" x14ac:dyDescent="0.3">
      <c r="A2358">
        <v>2019</v>
      </c>
      <c r="B2358" t="s">
        <v>219</v>
      </c>
      <c r="C2358" t="s">
        <v>267</v>
      </c>
      <c r="D2358" t="s">
        <v>268</v>
      </c>
      <c r="E2358" t="s">
        <v>203</v>
      </c>
      <c r="F2358" t="s">
        <v>209</v>
      </c>
      <c r="G2358" t="s">
        <v>201</v>
      </c>
    </row>
    <row r="2359" spans="1:8" x14ac:dyDescent="0.3">
      <c r="A2359">
        <v>2019</v>
      </c>
      <c r="B2359" t="s">
        <v>219</v>
      </c>
      <c r="C2359" t="s">
        <v>267</v>
      </c>
      <c r="D2359" t="s">
        <v>268</v>
      </c>
      <c r="E2359" t="s">
        <v>204</v>
      </c>
      <c r="F2359" t="s">
        <v>209</v>
      </c>
      <c r="G2359" t="s">
        <v>201</v>
      </c>
    </row>
    <row r="2360" spans="1:8" x14ac:dyDescent="0.3">
      <c r="A2360">
        <v>2019</v>
      </c>
      <c r="B2360" t="s">
        <v>219</v>
      </c>
      <c r="C2360" t="s">
        <v>267</v>
      </c>
      <c r="D2360" t="s">
        <v>268</v>
      </c>
      <c r="E2360" t="s">
        <v>205</v>
      </c>
      <c r="F2360" t="s">
        <v>209</v>
      </c>
      <c r="G2360" t="s">
        <v>201</v>
      </c>
    </row>
    <row r="2361" spans="1:8" x14ac:dyDescent="0.3">
      <c r="A2361">
        <v>2019</v>
      </c>
      <c r="B2361" t="s">
        <v>219</v>
      </c>
      <c r="C2361" t="s">
        <v>267</v>
      </c>
      <c r="D2361" t="s">
        <v>268</v>
      </c>
      <c r="E2361" t="s">
        <v>206</v>
      </c>
      <c r="F2361" t="s">
        <v>209</v>
      </c>
      <c r="G2361" t="s">
        <v>201</v>
      </c>
      <c r="H2361">
        <v>7</v>
      </c>
    </row>
    <row r="2362" spans="1:8" x14ac:dyDescent="0.3">
      <c r="A2362">
        <v>2019</v>
      </c>
      <c r="B2362" t="s">
        <v>46</v>
      </c>
      <c r="C2362" t="s">
        <v>267</v>
      </c>
      <c r="D2362" t="s">
        <v>268</v>
      </c>
      <c r="E2362" t="s">
        <v>1</v>
      </c>
      <c r="F2362" t="s">
        <v>209</v>
      </c>
      <c r="G2362" t="s">
        <v>201</v>
      </c>
    </row>
    <row r="2363" spans="1:8" x14ac:dyDescent="0.3">
      <c r="A2363">
        <v>2019</v>
      </c>
      <c r="B2363" t="s">
        <v>46</v>
      </c>
      <c r="C2363" t="s">
        <v>267</v>
      </c>
      <c r="D2363" t="s">
        <v>268</v>
      </c>
      <c r="E2363" t="s">
        <v>203</v>
      </c>
      <c r="F2363" t="s">
        <v>209</v>
      </c>
      <c r="G2363" t="s">
        <v>201</v>
      </c>
    </row>
    <row r="2364" spans="1:8" x14ac:dyDescent="0.3">
      <c r="A2364">
        <v>2019</v>
      </c>
      <c r="B2364" t="s">
        <v>46</v>
      </c>
      <c r="C2364" t="s">
        <v>267</v>
      </c>
      <c r="D2364" t="s">
        <v>268</v>
      </c>
      <c r="E2364" t="s">
        <v>204</v>
      </c>
      <c r="F2364" t="s">
        <v>209</v>
      </c>
      <c r="G2364" t="s">
        <v>201</v>
      </c>
    </row>
    <row r="2365" spans="1:8" x14ac:dyDescent="0.3">
      <c r="A2365">
        <v>2019</v>
      </c>
      <c r="B2365" t="s">
        <v>46</v>
      </c>
      <c r="C2365" t="s">
        <v>267</v>
      </c>
      <c r="D2365" t="s">
        <v>268</v>
      </c>
      <c r="E2365" t="s">
        <v>205</v>
      </c>
      <c r="F2365" t="s">
        <v>209</v>
      </c>
      <c r="G2365" t="s">
        <v>201</v>
      </c>
    </row>
    <row r="2366" spans="1:8" x14ac:dyDescent="0.3">
      <c r="A2366">
        <v>2019</v>
      </c>
      <c r="B2366" t="s">
        <v>46</v>
      </c>
      <c r="C2366" t="s">
        <v>267</v>
      </c>
      <c r="D2366" t="s">
        <v>268</v>
      </c>
      <c r="E2366" t="s">
        <v>206</v>
      </c>
      <c r="F2366" t="s">
        <v>209</v>
      </c>
      <c r="G2366" t="s">
        <v>201</v>
      </c>
    </row>
    <row r="2367" spans="1:8" x14ac:dyDescent="0.3">
      <c r="A2367">
        <v>2019</v>
      </c>
      <c r="B2367" t="s">
        <v>29</v>
      </c>
      <c r="C2367" t="s">
        <v>267</v>
      </c>
      <c r="D2367" t="s">
        <v>268</v>
      </c>
      <c r="E2367" t="s">
        <v>1</v>
      </c>
      <c r="F2367" t="s">
        <v>209</v>
      </c>
      <c r="G2367" t="s">
        <v>201</v>
      </c>
      <c r="H2367">
        <v>14</v>
      </c>
    </row>
    <row r="2368" spans="1:8" x14ac:dyDescent="0.3">
      <c r="A2368">
        <v>2019</v>
      </c>
      <c r="B2368" t="s">
        <v>29</v>
      </c>
      <c r="C2368" t="s">
        <v>267</v>
      </c>
      <c r="D2368" t="s">
        <v>268</v>
      </c>
      <c r="E2368" t="s">
        <v>203</v>
      </c>
      <c r="F2368" t="s">
        <v>209</v>
      </c>
      <c r="G2368" t="s">
        <v>201</v>
      </c>
      <c r="H2368">
        <v>2</v>
      </c>
    </row>
    <row r="2369" spans="1:8" x14ac:dyDescent="0.3">
      <c r="A2369">
        <v>2019</v>
      </c>
      <c r="B2369" t="s">
        <v>29</v>
      </c>
      <c r="C2369" t="s">
        <v>267</v>
      </c>
      <c r="D2369" t="s">
        <v>268</v>
      </c>
      <c r="E2369" t="s">
        <v>204</v>
      </c>
      <c r="F2369" t="s">
        <v>209</v>
      </c>
      <c r="G2369" t="s">
        <v>201</v>
      </c>
      <c r="H2369">
        <v>0</v>
      </c>
    </row>
    <row r="2370" spans="1:8" x14ac:dyDescent="0.3">
      <c r="A2370">
        <v>2019</v>
      </c>
      <c r="B2370" t="s">
        <v>29</v>
      </c>
      <c r="C2370" t="s">
        <v>267</v>
      </c>
      <c r="D2370" t="s">
        <v>268</v>
      </c>
      <c r="E2370" t="s">
        <v>205</v>
      </c>
      <c r="F2370" t="s">
        <v>209</v>
      </c>
      <c r="G2370" t="s">
        <v>201</v>
      </c>
      <c r="H2370">
        <v>0</v>
      </c>
    </row>
    <row r="2371" spans="1:8" x14ac:dyDescent="0.3">
      <c r="A2371">
        <v>2019</v>
      </c>
      <c r="B2371" t="s">
        <v>29</v>
      </c>
      <c r="C2371" t="s">
        <v>267</v>
      </c>
      <c r="D2371" t="s">
        <v>268</v>
      </c>
      <c r="E2371" t="s">
        <v>206</v>
      </c>
      <c r="F2371" t="s">
        <v>209</v>
      </c>
      <c r="G2371" t="s">
        <v>201</v>
      </c>
      <c r="H2371">
        <v>34</v>
      </c>
    </row>
    <row r="2372" spans="1:8" x14ac:dyDescent="0.3">
      <c r="A2372">
        <v>2019</v>
      </c>
      <c r="B2372" t="s">
        <v>30</v>
      </c>
      <c r="C2372" t="s">
        <v>267</v>
      </c>
      <c r="D2372" t="s">
        <v>268</v>
      </c>
      <c r="E2372" t="s">
        <v>1</v>
      </c>
      <c r="F2372" t="s">
        <v>209</v>
      </c>
      <c r="G2372" t="s">
        <v>201</v>
      </c>
      <c r="H2372">
        <v>13</v>
      </c>
    </row>
    <row r="2373" spans="1:8" x14ac:dyDescent="0.3">
      <c r="A2373">
        <v>2019</v>
      </c>
      <c r="B2373" t="s">
        <v>30</v>
      </c>
      <c r="C2373" t="s">
        <v>267</v>
      </c>
      <c r="D2373" t="s">
        <v>268</v>
      </c>
      <c r="E2373" t="s">
        <v>203</v>
      </c>
      <c r="F2373" t="s">
        <v>209</v>
      </c>
      <c r="G2373" t="s">
        <v>201</v>
      </c>
      <c r="H2373">
        <v>1</v>
      </c>
    </row>
    <row r="2374" spans="1:8" x14ac:dyDescent="0.3">
      <c r="A2374">
        <v>2019</v>
      </c>
      <c r="B2374" t="s">
        <v>30</v>
      </c>
      <c r="C2374" t="s">
        <v>267</v>
      </c>
      <c r="D2374" t="s">
        <v>268</v>
      </c>
      <c r="E2374" t="s">
        <v>204</v>
      </c>
      <c r="F2374" t="s">
        <v>209</v>
      </c>
      <c r="G2374" t="s">
        <v>201</v>
      </c>
      <c r="H2374">
        <v>0</v>
      </c>
    </row>
    <row r="2375" spans="1:8" x14ac:dyDescent="0.3">
      <c r="A2375">
        <v>2019</v>
      </c>
      <c r="B2375" t="s">
        <v>30</v>
      </c>
      <c r="C2375" t="s">
        <v>267</v>
      </c>
      <c r="D2375" t="s">
        <v>268</v>
      </c>
      <c r="E2375" t="s">
        <v>205</v>
      </c>
      <c r="F2375" t="s">
        <v>209</v>
      </c>
      <c r="G2375" t="s">
        <v>201</v>
      </c>
      <c r="H2375">
        <v>0</v>
      </c>
    </row>
    <row r="2376" spans="1:8" x14ac:dyDescent="0.3">
      <c r="A2376">
        <v>2019</v>
      </c>
      <c r="B2376" t="s">
        <v>30</v>
      </c>
      <c r="C2376" t="s">
        <v>267</v>
      </c>
      <c r="D2376" t="s">
        <v>268</v>
      </c>
      <c r="E2376" t="s">
        <v>206</v>
      </c>
      <c r="F2376" t="s">
        <v>209</v>
      </c>
      <c r="G2376" t="s">
        <v>201</v>
      </c>
      <c r="H2376">
        <v>45</v>
      </c>
    </row>
    <row r="2377" spans="1:8" x14ac:dyDescent="0.3">
      <c r="A2377">
        <v>2019</v>
      </c>
      <c r="B2377" t="s">
        <v>31</v>
      </c>
      <c r="C2377" t="s">
        <v>267</v>
      </c>
      <c r="D2377" t="s">
        <v>268</v>
      </c>
      <c r="E2377" t="s">
        <v>1</v>
      </c>
      <c r="F2377" t="s">
        <v>209</v>
      </c>
      <c r="G2377" t="s">
        <v>201</v>
      </c>
      <c r="H2377">
        <v>15</v>
      </c>
    </row>
    <row r="2378" spans="1:8" x14ac:dyDescent="0.3">
      <c r="A2378">
        <v>2019</v>
      </c>
      <c r="B2378" t="s">
        <v>31</v>
      </c>
      <c r="C2378" t="s">
        <v>267</v>
      </c>
      <c r="D2378" t="s">
        <v>268</v>
      </c>
      <c r="E2378" t="s">
        <v>203</v>
      </c>
      <c r="F2378" t="s">
        <v>209</v>
      </c>
      <c r="G2378" t="s">
        <v>201</v>
      </c>
      <c r="H2378">
        <v>0</v>
      </c>
    </row>
    <row r="2379" spans="1:8" x14ac:dyDescent="0.3">
      <c r="A2379">
        <v>2019</v>
      </c>
      <c r="B2379" t="s">
        <v>31</v>
      </c>
      <c r="C2379" t="s">
        <v>267</v>
      </c>
      <c r="D2379" t="s">
        <v>268</v>
      </c>
      <c r="E2379" t="s">
        <v>204</v>
      </c>
      <c r="F2379" t="s">
        <v>209</v>
      </c>
      <c r="G2379" t="s">
        <v>201</v>
      </c>
      <c r="H2379">
        <v>0</v>
      </c>
    </row>
    <row r="2380" spans="1:8" x14ac:dyDescent="0.3">
      <c r="A2380">
        <v>2019</v>
      </c>
      <c r="B2380" t="s">
        <v>31</v>
      </c>
      <c r="C2380" t="s">
        <v>267</v>
      </c>
      <c r="D2380" t="s">
        <v>268</v>
      </c>
      <c r="E2380" t="s">
        <v>205</v>
      </c>
      <c r="F2380" t="s">
        <v>209</v>
      </c>
      <c r="G2380" t="s">
        <v>201</v>
      </c>
      <c r="H2380">
        <v>0</v>
      </c>
    </row>
    <row r="2381" spans="1:8" x14ac:dyDescent="0.3">
      <c r="A2381">
        <v>2019</v>
      </c>
      <c r="B2381" t="s">
        <v>31</v>
      </c>
      <c r="C2381" t="s">
        <v>267</v>
      </c>
      <c r="D2381" t="s">
        <v>268</v>
      </c>
      <c r="E2381" t="s">
        <v>206</v>
      </c>
      <c r="F2381" t="s">
        <v>209</v>
      </c>
      <c r="G2381" t="s">
        <v>201</v>
      </c>
      <c r="H2381">
        <v>16</v>
      </c>
    </row>
    <row r="2382" spans="1:8" x14ac:dyDescent="0.3">
      <c r="A2382">
        <v>2019</v>
      </c>
      <c r="B2382" t="s">
        <v>32</v>
      </c>
      <c r="C2382" t="s">
        <v>267</v>
      </c>
      <c r="D2382" t="s">
        <v>268</v>
      </c>
      <c r="E2382" t="s">
        <v>1</v>
      </c>
      <c r="F2382" t="s">
        <v>209</v>
      </c>
      <c r="G2382" t="s">
        <v>201</v>
      </c>
      <c r="H2382">
        <v>5</v>
      </c>
    </row>
    <row r="2383" spans="1:8" x14ac:dyDescent="0.3">
      <c r="A2383">
        <v>2019</v>
      </c>
      <c r="B2383" t="s">
        <v>32</v>
      </c>
      <c r="C2383" t="s">
        <v>267</v>
      </c>
      <c r="D2383" t="s">
        <v>268</v>
      </c>
      <c r="E2383" t="s">
        <v>203</v>
      </c>
      <c r="F2383" t="s">
        <v>209</v>
      </c>
      <c r="G2383" t="s">
        <v>201</v>
      </c>
    </row>
    <row r="2384" spans="1:8" x14ac:dyDescent="0.3">
      <c r="A2384">
        <v>2019</v>
      </c>
      <c r="B2384" t="s">
        <v>32</v>
      </c>
      <c r="C2384" t="s">
        <v>267</v>
      </c>
      <c r="D2384" t="s">
        <v>268</v>
      </c>
      <c r="E2384" t="s">
        <v>204</v>
      </c>
      <c r="F2384" t="s">
        <v>209</v>
      </c>
      <c r="G2384" t="s">
        <v>201</v>
      </c>
    </row>
    <row r="2385" spans="1:8" x14ac:dyDescent="0.3">
      <c r="A2385">
        <v>2019</v>
      </c>
      <c r="B2385" t="s">
        <v>32</v>
      </c>
      <c r="C2385" t="s">
        <v>267</v>
      </c>
      <c r="D2385" t="s">
        <v>268</v>
      </c>
      <c r="E2385" t="s">
        <v>205</v>
      </c>
      <c r="F2385" t="s">
        <v>209</v>
      </c>
      <c r="G2385" t="s">
        <v>201</v>
      </c>
    </row>
    <row r="2386" spans="1:8" x14ac:dyDescent="0.3">
      <c r="A2386">
        <v>2019</v>
      </c>
      <c r="B2386" t="s">
        <v>32</v>
      </c>
      <c r="C2386" t="s">
        <v>267</v>
      </c>
      <c r="D2386" t="s">
        <v>268</v>
      </c>
      <c r="E2386" t="s">
        <v>206</v>
      </c>
      <c r="F2386" t="s">
        <v>209</v>
      </c>
      <c r="G2386" t="s">
        <v>201</v>
      </c>
    </row>
    <row r="2387" spans="1:8" x14ac:dyDescent="0.3">
      <c r="A2387">
        <v>2019</v>
      </c>
      <c r="B2387" t="s">
        <v>49</v>
      </c>
      <c r="C2387" t="s">
        <v>267</v>
      </c>
      <c r="D2387" t="s">
        <v>268</v>
      </c>
      <c r="E2387" t="s">
        <v>1</v>
      </c>
      <c r="F2387" t="s">
        <v>209</v>
      </c>
      <c r="G2387" t="s">
        <v>201</v>
      </c>
      <c r="H2387">
        <v>2</v>
      </c>
    </row>
    <row r="2388" spans="1:8" x14ac:dyDescent="0.3">
      <c r="A2388">
        <v>2019</v>
      </c>
      <c r="B2388" t="s">
        <v>49</v>
      </c>
      <c r="C2388" t="s">
        <v>267</v>
      </c>
      <c r="D2388" t="s">
        <v>268</v>
      </c>
      <c r="E2388" t="s">
        <v>203</v>
      </c>
      <c r="F2388" t="s">
        <v>209</v>
      </c>
      <c r="G2388" t="s">
        <v>201</v>
      </c>
    </row>
    <row r="2389" spans="1:8" x14ac:dyDescent="0.3">
      <c r="A2389">
        <v>2019</v>
      </c>
      <c r="B2389" t="s">
        <v>49</v>
      </c>
      <c r="C2389" t="s">
        <v>267</v>
      </c>
      <c r="D2389" t="s">
        <v>268</v>
      </c>
      <c r="E2389" t="s">
        <v>204</v>
      </c>
      <c r="F2389" t="s">
        <v>209</v>
      </c>
      <c r="G2389" t="s">
        <v>201</v>
      </c>
      <c r="H2389">
        <v>0</v>
      </c>
    </row>
    <row r="2390" spans="1:8" x14ac:dyDescent="0.3">
      <c r="A2390">
        <v>2019</v>
      </c>
      <c r="B2390" t="s">
        <v>49</v>
      </c>
      <c r="C2390" t="s">
        <v>267</v>
      </c>
      <c r="D2390" t="s">
        <v>268</v>
      </c>
      <c r="E2390" t="s">
        <v>205</v>
      </c>
      <c r="F2390" t="s">
        <v>209</v>
      </c>
      <c r="G2390" t="s">
        <v>201</v>
      </c>
      <c r="H2390">
        <v>0</v>
      </c>
    </row>
    <row r="2391" spans="1:8" x14ac:dyDescent="0.3">
      <c r="A2391">
        <v>2019</v>
      </c>
      <c r="B2391" t="s">
        <v>49</v>
      </c>
      <c r="C2391" t="s">
        <v>267</v>
      </c>
      <c r="D2391" t="s">
        <v>268</v>
      </c>
      <c r="E2391" t="s">
        <v>206</v>
      </c>
      <c r="F2391" t="s">
        <v>209</v>
      </c>
      <c r="G2391" t="s">
        <v>201</v>
      </c>
      <c r="H2391">
        <v>163</v>
      </c>
    </row>
    <row r="2392" spans="1:8" x14ac:dyDescent="0.3">
      <c r="A2392">
        <v>2019</v>
      </c>
      <c r="B2392" t="s">
        <v>33</v>
      </c>
      <c r="C2392" t="s">
        <v>267</v>
      </c>
      <c r="D2392" t="s">
        <v>268</v>
      </c>
      <c r="E2392" t="s">
        <v>1</v>
      </c>
      <c r="F2392" t="s">
        <v>209</v>
      </c>
      <c r="G2392" t="s">
        <v>201</v>
      </c>
      <c r="H2392">
        <v>1</v>
      </c>
    </row>
    <row r="2393" spans="1:8" x14ac:dyDescent="0.3">
      <c r="A2393">
        <v>2019</v>
      </c>
      <c r="B2393" t="s">
        <v>33</v>
      </c>
      <c r="C2393" t="s">
        <v>267</v>
      </c>
      <c r="D2393" t="s">
        <v>268</v>
      </c>
      <c r="E2393" t="s">
        <v>203</v>
      </c>
      <c r="F2393" t="s">
        <v>209</v>
      </c>
      <c r="G2393" t="s">
        <v>201</v>
      </c>
      <c r="H2393">
        <v>0</v>
      </c>
    </row>
    <row r="2394" spans="1:8" x14ac:dyDescent="0.3">
      <c r="A2394">
        <v>2019</v>
      </c>
      <c r="B2394" t="s">
        <v>33</v>
      </c>
      <c r="C2394" t="s">
        <v>267</v>
      </c>
      <c r="D2394" t="s">
        <v>268</v>
      </c>
      <c r="E2394" t="s">
        <v>204</v>
      </c>
      <c r="F2394" t="s">
        <v>209</v>
      </c>
      <c r="G2394" t="s">
        <v>201</v>
      </c>
      <c r="H2394">
        <v>0</v>
      </c>
    </row>
    <row r="2395" spans="1:8" x14ac:dyDescent="0.3">
      <c r="A2395">
        <v>2019</v>
      </c>
      <c r="B2395" t="s">
        <v>33</v>
      </c>
      <c r="C2395" t="s">
        <v>267</v>
      </c>
      <c r="D2395" t="s">
        <v>268</v>
      </c>
      <c r="E2395" t="s">
        <v>205</v>
      </c>
      <c r="F2395" t="s">
        <v>209</v>
      </c>
      <c r="G2395" t="s">
        <v>201</v>
      </c>
      <c r="H2395">
        <v>0</v>
      </c>
    </row>
    <row r="2396" spans="1:8" x14ac:dyDescent="0.3">
      <c r="A2396">
        <v>2019</v>
      </c>
      <c r="B2396" t="s">
        <v>33</v>
      </c>
      <c r="C2396" t="s">
        <v>267</v>
      </c>
      <c r="D2396" t="s">
        <v>268</v>
      </c>
      <c r="E2396" t="s">
        <v>206</v>
      </c>
      <c r="F2396" t="s">
        <v>209</v>
      </c>
      <c r="G2396" t="s">
        <v>201</v>
      </c>
      <c r="H2396">
        <v>0</v>
      </c>
    </row>
    <row r="2397" spans="1:8" x14ac:dyDescent="0.3">
      <c r="A2397">
        <v>2019</v>
      </c>
      <c r="B2397" t="s">
        <v>34</v>
      </c>
      <c r="C2397" t="s">
        <v>267</v>
      </c>
      <c r="D2397" t="s">
        <v>268</v>
      </c>
      <c r="E2397" t="s">
        <v>1</v>
      </c>
      <c r="F2397" t="s">
        <v>209</v>
      </c>
      <c r="G2397" t="s">
        <v>201</v>
      </c>
      <c r="H2397">
        <v>5</v>
      </c>
    </row>
    <row r="2398" spans="1:8" x14ac:dyDescent="0.3">
      <c r="A2398">
        <v>2019</v>
      </c>
      <c r="B2398" t="s">
        <v>34</v>
      </c>
      <c r="C2398" t="s">
        <v>267</v>
      </c>
      <c r="D2398" t="s">
        <v>268</v>
      </c>
      <c r="E2398" t="s">
        <v>203</v>
      </c>
      <c r="F2398" t="s">
        <v>209</v>
      </c>
      <c r="G2398" t="s">
        <v>201</v>
      </c>
      <c r="H2398">
        <v>0</v>
      </c>
    </row>
    <row r="2399" spans="1:8" x14ac:dyDescent="0.3">
      <c r="A2399">
        <v>2019</v>
      </c>
      <c r="B2399" t="s">
        <v>34</v>
      </c>
      <c r="C2399" t="s">
        <v>267</v>
      </c>
      <c r="D2399" t="s">
        <v>268</v>
      </c>
      <c r="E2399" t="s">
        <v>204</v>
      </c>
      <c r="F2399" t="s">
        <v>209</v>
      </c>
      <c r="G2399" t="s">
        <v>201</v>
      </c>
      <c r="H2399">
        <v>0</v>
      </c>
    </row>
    <row r="2400" spans="1:8" x14ac:dyDescent="0.3">
      <c r="A2400">
        <v>2019</v>
      </c>
      <c r="B2400" t="s">
        <v>34</v>
      </c>
      <c r="C2400" t="s">
        <v>267</v>
      </c>
      <c r="D2400" t="s">
        <v>268</v>
      </c>
      <c r="E2400" t="s">
        <v>205</v>
      </c>
      <c r="F2400" t="s">
        <v>209</v>
      </c>
      <c r="G2400" t="s">
        <v>201</v>
      </c>
      <c r="H2400">
        <v>0</v>
      </c>
    </row>
    <row r="2401" spans="1:8" x14ac:dyDescent="0.3">
      <c r="A2401">
        <v>2019</v>
      </c>
      <c r="B2401" t="s">
        <v>34</v>
      </c>
      <c r="C2401" t="s">
        <v>267</v>
      </c>
      <c r="D2401" t="s">
        <v>268</v>
      </c>
      <c r="E2401" t="s">
        <v>206</v>
      </c>
      <c r="F2401" t="s">
        <v>209</v>
      </c>
      <c r="G2401" t="s">
        <v>201</v>
      </c>
      <c r="H2401">
        <v>8</v>
      </c>
    </row>
    <row r="2402" spans="1:8" x14ac:dyDescent="0.3">
      <c r="A2402">
        <v>2019</v>
      </c>
      <c r="B2402" t="s">
        <v>35</v>
      </c>
      <c r="C2402" t="s">
        <v>267</v>
      </c>
      <c r="D2402" t="s">
        <v>268</v>
      </c>
      <c r="E2402" t="s">
        <v>1</v>
      </c>
      <c r="F2402" t="s">
        <v>209</v>
      </c>
      <c r="G2402" t="s">
        <v>201</v>
      </c>
      <c r="H2402">
        <v>11</v>
      </c>
    </row>
    <row r="2403" spans="1:8" x14ac:dyDescent="0.3">
      <c r="A2403">
        <v>2019</v>
      </c>
      <c r="B2403" t="s">
        <v>35</v>
      </c>
      <c r="C2403" t="s">
        <v>267</v>
      </c>
      <c r="D2403" t="s">
        <v>268</v>
      </c>
      <c r="E2403" t="s">
        <v>203</v>
      </c>
      <c r="F2403" t="s">
        <v>209</v>
      </c>
      <c r="G2403" t="s">
        <v>201</v>
      </c>
      <c r="H2403">
        <v>0</v>
      </c>
    </row>
    <row r="2404" spans="1:8" x14ac:dyDescent="0.3">
      <c r="A2404">
        <v>2019</v>
      </c>
      <c r="B2404" t="s">
        <v>35</v>
      </c>
      <c r="C2404" t="s">
        <v>267</v>
      </c>
      <c r="D2404" t="s">
        <v>268</v>
      </c>
      <c r="E2404" t="s">
        <v>204</v>
      </c>
      <c r="F2404" t="s">
        <v>209</v>
      </c>
      <c r="G2404" t="s">
        <v>201</v>
      </c>
      <c r="H2404">
        <v>0</v>
      </c>
    </row>
    <row r="2405" spans="1:8" x14ac:dyDescent="0.3">
      <c r="A2405">
        <v>2019</v>
      </c>
      <c r="B2405" t="s">
        <v>35</v>
      </c>
      <c r="C2405" t="s">
        <v>267</v>
      </c>
      <c r="D2405" t="s">
        <v>268</v>
      </c>
      <c r="E2405" t="s">
        <v>205</v>
      </c>
      <c r="F2405" t="s">
        <v>209</v>
      </c>
      <c r="G2405" t="s">
        <v>201</v>
      </c>
      <c r="H2405">
        <v>0</v>
      </c>
    </row>
    <row r="2406" spans="1:8" x14ac:dyDescent="0.3">
      <c r="A2406">
        <v>2019</v>
      </c>
      <c r="B2406" t="s">
        <v>35</v>
      </c>
      <c r="C2406" t="s">
        <v>267</v>
      </c>
      <c r="D2406" t="s">
        <v>268</v>
      </c>
      <c r="E2406" t="s">
        <v>206</v>
      </c>
      <c r="F2406" t="s">
        <v>209</v>
      </c>
      <c r="G2406" t="s">
        <v>201</v>
      </c>
    </row>
    <row r="2407" spans="1:8" x14ac:dyDescent="0.3">
      <c r="A2407">
        <v>2019</v>
      </c>
      <c r="B2407" t="s">
        <v>36</v>
      </c>
      <c r="C2407" t="s">
        <v>267</v>
      </c>
      <c r="D2407" t="s">
        <v>268</v>
      </c>
      <c r="E2407" t="s">
        <v>1</v>
      </c>
      <c r="F2407" t="s">
        <v>209</v>
      </c>
      <c r="G2407" t="s">
        <v>201</v>
      </c>
      <c r="H2407">
        <v>3</v>
      </c>
    </row>
    <row r="2408" spans="1:8" x14ac:dyDescent="0.3">
      <c r="A2408">
        <v>2019</v>
      </c>
      <c r="B2408" t="s">
        <v>36</v>
      </c>
      <c r="C2408" t="s">
        <v>267</v>
      </c>
      <c r="D2408" t="s">
        <v>268</v>
      </c>
      <c r="E2408" t="s">
        <v>203</v>
      </c>
      <c r="F2408" t="s">
        <v>209</v>
      </c>
      <c r="G2408" t="s">
        <v>201</v>
      </c>
      <c r="H2408">
        <v>1</v>
      </c>
    </row>
    <row r="2409" spans="1:8" x14ac:dyDescent="0.3">
      <c r="A2409">
        <v>2019</v>
      </c>
      <c r="B2409" t="s">
        <v>36</v>
      </c>
      <c r="C2409" t="s">
        <v>267</v>
      </c>
      <c r="D2409" t="s">
        <v>268</v>
      </c>
      <c r="E2409" t="s">
        <v>204</v>
      </c>
      <c r="F2409" t="s">
        <v>209</v>
      </c>
      <c r="G2409" t="s">
        <v>201</v>
      </c>
      <c r="H2409">
        <v>0</v>
      </c>
    </row>
    <row r="2410" spans="1:8" x14ac:dyDescent="0.3">
      <c r="A2410">
        <v>2019</v>
      </c>
      <c r="B2410" t="s">
        <v>36</v>
      </c>
      <c r="C2410" t="s">
        <v>267</v>
      </c>
      <c r="D2410" t="s">
        <v>268</v>
      </c>
      <c r="E2410" t="s">
        <v>205</v>
      </c>
      <c r="F2410" t="s">
        <v>209</v>
      </c>
      <c r="G2410" t="s">
        <v>201</v>
      </c>
      <c r="H2410">
        <v>0</v>
      </c>
    </row>
    <row r="2411" spans="1:8" x14ac:dyDescent="0.3">
      <c r="A2411">
        <v>2019</v>
      </c>
      <c r="B2411" t="s">
        <v>36</v>
      </c>
      <c r="C2411" t="s">
        <v>267</v>
      </c>
      <c r="D2411" t="s">
        <v>268</v>
      </c>
      <c r="E2411" t="s">
        <v>206</v>
      </c>
      <c r="F2411" t="s">
        <v>209</v>
      </c>
      <c r="G2411" t="s">
        <v>201</v>
      </c>
      <c r="H2411">
        <v>8</v>
      </c>
    </row>
    <row r="2412" spans="1:8" x14ac:dyDescent="0.3">
      <c r="A2412">
        <v>2019</v>
      </c>
      <c r="B2412" t="s">
        <v>37</v>
      </c>
      <c r="C2412" t="s">
        <v>267</v>
      </c>
      <c r="D2412" t="s">
        <v>268</v>
      </c>
      <c r="E2412" t="s">
        <v>1</v>
      </c>
      <c r="F2412" t="s">
        <v>209</v>
      </c>
      <c r="G2412" t="s">
        <v>201</v>
      </c>
      <c r="H2412">
        <v>3</v>
      </c>
    </row>
    <row r="2413" spans="1:8" x14ac:dyDescent="0.3">
      <c r="A2413">
        <v>2019</v>
      </c>
      <c r="B2413" t="s">
        <v>37</v>
      </c>
      <c r="C2413" t="s">
        <v>267</v>
      </c>
      <c r="D2413" t="s">
        <v>268</v>
      </c>
      <c r="E2413" t="s">
        <v>203</v>
      </c>
      <c r="F2413" t="s">
        <v>209</v>
      </c>
      <c r="G2413" t="s">
        <v>201</v>
      </c>
      <c r="H2413">
        <v>0</v>
      </c>
    </row>
    <row r="2414" spans="1:8" x14ac:dyDescent="0.3">
      <c r="A2414">
        <v>2019</v>
      </c>
      <c r="B2414" t="s">
        <v>37</v>
      </c>
      <c r="C2414" t="s">
        <v>267</v>
      </c>
      <c r="D2414" t="s">
        <v>268</v>
      </c>
      <c r="E2414" t="s">
        <v>204</v>
      </c>
      <c r="F2414" t="s">
        <v>209</v>
      </c>
      <c r="G2414" t="s">
        <v>201</v>
      </c>
      <c r="H2414">
        <v>0</v>
      </c>
    </row>
    <row r="2415" spans="1:8" x14ac:dyDescent="0.3">
      <c r="A2415">
        <v>2019</v>
      </c>
      <c r="B2415" t="s">
        <v>37</v>
      </c>
      <c r="C2415" t="s">
        <v>267</v>
      </c>
      <c r="D2415" t="s">
        <v>268</v>
      </c>
      <c r="E2415" t="s">
        <v>205</v>
      </c>
      <c r="F2415" t="s">
        <v>209</v>
      </c>
      <c r="G2415" t="s">
        <v>201</v>
      </c>
      <c r="H2415">
        <v>0</v>
      </c>
    </row>
    <row r="2416" spans="1:8" x14ac:dyDescent="0.3">
      <c r="A2416">
        <v>2019</v>
      </c>
      <c r="B2416" t="s">
        <v>37</v>
      </c>
      <c r="C2416" t="s">
        <v>267</v>
      </c>
      <c r="D2416" t="s">
        <v>268</v>
      </c>
      <c r="E2416" t="s">
        <v>206</v>
      </c>
      <c r="F2416" t="s">
        <v>209</v>
      </c>
      <c r="G2416" t="s">
        <v>201</v>
      </c>
      <c r="H2416">
        <v>0</v>
      </c>
    </row>
    <row r="2417" spans="1:8" x14ac:dyDescent="0.3">
      <c r="A2417">
        <v>2019</v>
      </c>
      <c r="B2417" t="s">
        <v>38</v>
      </c>
      <c r="C2417" t="s">
        <v>267</v>
      </c>
      <c r="D2417" t="s">
        <v>268</v>
      </c>
      <c r="E2417" t="s">
        <v>1</v>
      </c>
      <c r="F2417" t="s">
        <v>209</v>
      </c>
      <c r="G2417" t="s">
        <v>201</v>
      </c>
      <c r="H2417">
        <v>2</v>
      </c>
    </row>
    <row r="2418" spans="1:8" x14ac:dyDescent="0.3">
      <c r="A2418">
        <v>2019</v>
      </c>
      <c r="B2418" t="s">
        <v>38</v>
      </c>
      <c r="C2418" t="s">
        <v>267</v>
      </c>
      <c r="D2418" t="s">
        <v>268</v>
      </c>
      <c r="E2418" t="s">
        <v>203</v>
      </c>
      <c r="F2418" t="s">
        <v>209</v>
      </c>
      <c r="G2418" t="s">
        <v>201</v>
      </c>
      <c r="H2418">
        <v>0</v>
      </c>
    </row>
    <row r="2419" spans="1:8" x14ac:dyDescent="0.3">
      <c r="A2419">
        <v>2019</v>
      </c>
      <c r="B2419" t="s">
        <v>38</v>
      </c>
      <c r="C2419" t="s">
        <v>267</v>
      </c>
      <c r="D2419" t="s">
        <v>268</v>
      </c>
      <c r="E2419" t="s">
        <v>204</v>
      </c>
      <c r="F2419" t="s">
        <v>209</v>
      </c>
      <c r="G2419" t="s">
        <v>201</v>
      </c>
      <c r="H2419">
        <v>0</v>
      </c>
    </row>
    <row r="2420" spans="1:8" x14ac:dyDescent="0.3">
      <c r="A2420">
        <v>2019</v>
      </c>
      <c r="B2420" t="s">
        <v>38</v>
      </c>
      <c r="C2420" t="s">
        <v>267</v>
      </c>
      <c r="D2420" t="s">
        <v>268</v>
      </c>
      <c r="E2420" t="s">
        <v>205</v>
      </c>
      <c r="F2420" t="s">
        <v>209</v>
      </c>
      <c r="G2420" t="s">
        <v>201</v>
      </c>
      <c r="H2420">
        <v>0</v>
      </c>
    </row>
    <row r="2421" spans="1:8" x14ac:dyDescent="0.3">
      <c r="A2421">
        <v>2019</v>
      </c>
      <c r="B2421" t="s">
        <v>38</v>
      </c>
      <c r="C2421" t="s">
        <v>267</v>
      </c>
      <c r="D2421" t="s">
        <v>268</v>
      </c>
      <c r="E2421" t="s">
        <v>206</v>
      </c>
      <c r="F2421" t="s">
        <v>209</v>
      </c>
      <c r="G2421" t="s">
        <v>201</v>
      </c>
      <c r="H2421">
        <v>0</v>
      </c>
    </row>
    <row r="2422" spans="1:8" x14ac:dyDescent="0.3">
      <c r="A2422">
        <v>2019</v>
      </c>
      <c r="B2422" t="s">
        <v>39</v>
      </c>
      <c r="C2422" t="s">
        <v>267</v>
      </c>
      <c r="D2422" t="s">
        <v>268</v>
      </c>
      <c r="E2422" t="s">
        <v>1</v>
      </c>
      <c r="F2422" t="s">
        <v>209</v>
      </c>
      <c r="G2422" t="s">
        <v>201</v>
      </c>
      <c r="H2422">
        <v>7</v>
      </c>
    </row>
    <row r="2423" spans="1:8" x14ac:dyDescent="0.3">
      <c r="A2423">
        <v>2019</v>
      </c>
      <c r="B2423" t="s">
        <v>39</v>
      </c>
      <c r="C2423" t="s">
        <v>267</v>
      </c>
      <c r="D2423" t="s">
        <v>268</v>
      </c>
      <c r="E2423" t="s">
        <v>203</v>
      </c>
      <c r="F2423" t="s">
        <v>209</v>
      </c>
      <c r="G2423" t="s">
        <v>201</v>
      </c>
      <c r="H2423">
        <v>1</v>
      </c>
    </row>
    <row r="2424" spans="1:8" x14ac:dyDescent="0.3">
      <c r="A2424">
        <v>2019</v>
      </c>
      <c r="B2424" t="s">
        <v>39</v>
      </c>
      <c r="C2424" t="s">
        <v>267</v>
      </c>
      <c r="D2424" t="s">
        <v>268</v>
      </c>
      <c r="E2424" t="s">
        <v>204</v>
      </c>
      <c r="F2424" t="s">
        <v>209</v>
      </c>
      <c r="G2424" t="s">
        <v>201</v>
      </c>
      <c r="H2424">
        <v>0</v>
      </c>
    </row>
    <row r="2425" spans="1:8" x14ac:dyDescent="0.3">
      <c r="A2425">
        <v>2019</v>
      </c>
      <c r="B2425" t="s">
        <v>39</v>
      </c>
      <c r="C2425" t="s">
        <v>267</v>
      </c>
      <c r="D2425" t="s">
        <v>268</v>
      </c>
      <c r="E2425" t="s">
        <v>205</v>
      </c>
      <c r="F2425" t="s">
        <v>209</v>
      </c>
      <c r="G2425" t="s">
        <v>201</v>
      </c>
      <c r="H2425">
        <v>0</v>
      </c>
    </row>
    <row r="2426" spans="1:8" x14ac:dyDescent="0.3">
      <c r="A2426">
        <v>2019</v>
      </c>
      <c r="B2426" t="s">
        <v>39</v>
      </c>
      <c r="C2426" t="s">
        <v>267</v>
      </c>
      <c r="D2426" t="s">
        <v>268</v>
      </c>
      <c r="E2426" t="s">
        <v>206</v>
      </c>
      <c r="F2426" t="s">
        <v>209</v>
      </c>
      <c r="G2426" t="s">
        <v>201</v>
      </c>
      <c r="H2426">
        <v>34</v>
      </c>
    </row>
    <row r="2427" spans="1:8" x14ac:dyDescent="0.3">
      <c r="A2427">
        <v>2019</v>
      </c>
      <c r="B2427" t="s">
        <v>50</v>
      </c>
      <c r="C2427" t="s">
        <v>267</v>
      </c>
      <c r="D2427" t="s">
        <v>268</v>
      </c>
      <c r="E2427" t="s">
        <v>1</v>
      </c>
      <c r="F2427" t="s">
        <v>209</v>
      </c>
      <c r="G2427" t="s">
        <v>201</v>
      </c>
      <c r="H2427">
        <v>27</v>
      </c>
    </row>
    <row r="2428" spans="1:8" x14ac:dyDescent="0.3">
      <c r="A2428">
        <v>2019</v>
      </c>
      <c r="B2428" t="s">
        <v>50</v>
      </c>
      <c r="C2428" t="s">
        <v>267</v>
      </c>
      <c r="D2428" t="s">
        <v>268</v>
      </c>
      <c r="E2428" t="s">
        <v>203</v>
      </c>
      <c r="F2428" t="s">
        <v>209</v>
      </c>
      <c r="G2428" t="s">
        <v>201</v>
      </c>
      <c r="H2428">
        <v>1</v>
      </c>
    </row>
    <row r="2429" spans="1:8" x14ac:dyDescent="0.3">
      <c r="A2429">
        <v>2019</v>
      </c>
      <c r="B2429" t="s">
        <v>50</v>
      </c>
      <c r="C2429" t="s">
        <v>267</v>
      </c>
      <c r="D2429" t="s">
        <v>268</v>
      </c>
      <c r="E2429" t="s">
        <v>204</v>
      </c>
      <c r="F2429" t="s">
        <v>209</v>
      </c>
      <c r="G2429" t="s">
        <v>201</v>
      </c>
      <c r="H2429">
        <v>0</v>
      </c>
    </row>
    <row r="2430" spans="1:8" x14ac:dyDescent="0.3">
      <c r="A2430">
        <v>2019</v>
      </c>
      <c r="B2430" t="s">
        <v>50</v>
      </c>
      <c r="C2430" t="s">
        <v>267</v>
      </c>
      <c r="D2430" t="s">
        <v>268</v>
      </c>
      <c r="E2430" t="s">
        <v>205</v>
      </c>
      <c r="F2430" t="s">
        <v>209</v>
      </c>
      <c r="G2430" t="s">
        <v>201</v>
      </c>
      <c r="H2430">
        <v>0</v>
      </c>
    </row>
    <row r="2431" spans="1:8" x14ac:dyDescent="0.3">
      <c r="A2431">
        <v>2019</v>
      </c>
      <c r="B2431" t="s">
        <v>50</v>
      </c>
      <c r="C2431" t="s">
        <v>267</v>
      </c>
      <c r="D2431" t="s">
        <v>268</v>
      </c>
      <c r="E2431" t="s">
        <v>206</v>
      </c>
      <c r="F2431" t="s">
        <v>209</v>
      </c>
      <c r="G2431" t="s">
        <v>201</v>
      </c>
      <c r="H2431">
        <v>20</v>
      </c>
    </row>
    <row r="2432" spans="1:8" x14ac:dyDescent="0.3">
      <c r="A2432">
        <v>2019</v>
      </c>
      <c r="B2432" t="s">
        <v>40</v>
      </c>
      <c r="C2432" t="s">
        <v>267</v>
      </c>
      <c r="D2432" t="s">
        <v>268</v>
      </c>
      <c r="E2432" t="s">
        <v>1</v>
      </c>
      <c r="F2432" t="s">
        <v>209</v>
      </c>
      <c r="G2432" t="s">
        <v>201</v>
      </c>
      <c r="H2432">
        <v>6</v>
      </c>
    </row>
    <row r="2433" spans="1:8" x14ac:dyDescent="0.3">
      <c r="A2433">
        <v>2019</v>
      </c>
      <c r="B2433" t="s">
        <v>40</v>
      </c>
      <c r="C2433" t="s">
        <v>267</v>
      </c>
      <c r="D2433" t="s">
        <v>268</v>
      </c>
      <c r="E2433" t="s">
        <v>203</v>
      </c>
      <c r="F2433" t="s">
        <v>209</v>
      </c>
      <c r="G2433" t="s">
        <v>201</v>
      </c>
      <c r="H2433">
        <v>0</v>
      </c>
    </row>
    <row r="2434" spans="1:8" x14ac:dyDescent="0.3">
      <c r="A2434">
        <v>2019</v>
      </c>
      <c r="B2434" t="s">
        <v>40</v>
      </c>
      <c r="C2434" t="s">
        <v>267</v>
      </c>
      <c r="D2434" t="s">
        <v>268</v>
      </c>
      <c r="E2434" t="s">
        <v>204</v>
      </c>
      <c r="F2434" t="s">
        <v>209</v>
      </c>
      <c r="G2434" t="s">
        <v>201</v>
      </c>
      <c r="H2434">
        <v>0</v>
      </c>
    </row>
    <row r="2435" spans="1:8" x14ac:dyDescent="0.3">
      <c r="A2435">
        <v>2019</v>
      </c>
      <c r="B2435" t="s">
        <v>40</v>
      </c>
      <c r="C2435" t="s">
        <v>267</v>
      </c>
      <c r="D2435" t="s">
        <v>268</v>
      </c>
      <c r="E2435" t="s">
        <v>205</v>
      </c>
      <c r="F2435" t="s">
        <v>209</v>
      </c>
      <c r="G2435" t="s">
        <v>201</v>
      </c>
      <c r="H2435">
        <v>0</v>
      </c>
    </row>
    <row r="2436" spans="1:8" x14ac:dyDescent="0.3">
      <c r="A2436">
        <v>2019</v>
      </c>
      <c r="B2436" t="s">
        <v>40</v>
      </c>
      <c r="C2436" t="s">
        <v>267</v>
      </c>
      <c r="D2436" t="s">
        <v>268</v>
      </c>
      <c r="E2436" t="s">
        <v>206</v>
      </c>
      <c r="F2436" t="s">
        <v>209</v>
      </c>
      <c r="G2436" t="s">
        <v>201</v>
      </c>
      <c r="H2436">
        <v>0</v>
      </c>
    </row>
    <row r="2437" spans="1:8" x14ac:dyDescent="0.3">
      <c r="A2437">
        <v>2019</v>
      </c>
      <c r="B2437" t="s">
        <v>41</v>
      </c>
      <c r="C2437" t="s">
        <v>267</v>
      </c>
      <c r="D2437" t="s">
        <v>268</v>
      </c>
      <c r="E2437" t="s">
        <v>1</v>
      </c>
      <c r="F2437" t="s">
        <v>209</v>
      </c>
      <c r="G2437" t="s">
        <v>201</v>
      </c>
      <c r="H2437">
        <v>2</v>
      </c>
    </row>
    <row r="2438" spans="1:8" x14ac:dyDescent="0.3">
      <c r="A2438">
        <v>2019</v>
      </c>
      <c r="B2438" t="s">
        <v>41</v>
      </c>
      <c r="C2438" t="s">
        <v>267</v>
      </c>
      <c r="D2438" t="s">
        <v>268</v>
      </c>
      <c r="E2438" t="s">
        <v>203</v>
      </c>
      <c r="F2438" t="s">
        <v>209</v>
      </c>
      <c r="G2438" t="s">
        <v>201</v>
      </c>
      <c r="H2438">
        <v>0</v>
      </c>
    </row>
    <row r="2439" spans="1:8" x14ac:dyDescent="0.3">
      <c r="A2439">
        <v>2019</v>
      </c>
      <c r="B2439" t="s">
        <v>41</v>
      </c>
      <c r="C2439" t="s">
        <v>267</v>
      </c>
      <c r="D2439" t="s">
        <v>268</v>
      </c>
      <c r="E2439" t="s">
        <v>204</v>
      </c>
      <c r="F2439" t="s">
        <v>209</v>
      </c>
      <c r="G2439" t="s">
        <v>201</v>
      </c>
      <c r="H2439">
        <v>0</v>
      </c>
    </row>
    <row r="2440" spans="1:8" x14ac:dyDescent="0.3">
      <c r="A2440">
        <v>2019</v>
      </c>
      <c r="B2440" t="s">
        <v>41</v>
      </c>
      <c r="C2440" t="s">
        <v>267</v>
      </c>
      <c r="D2440" t="s">
        <v>268</v>
      </c>
      <c r="E2440" t="s">
        <v>205</v>
      </c>
      <c r="F2440" t="s">
        <v>209</v>
      </c>
      <c r="G2440" t="s">
        <v>201</v>
      </c>
      <c r="H2440">
        <v>0</v>
      </c>
    </row>
    <row r="2441" spans="1:8" x14ac:dyDescent="0.3">
      <c r="A2441">
        <v>2019</v>
      </c>
      <c r="B2441" t="s">
        <v>41</v>
      </c>
      <c r="C2441" t="s">
        <v>267</v>
      </c>
      <c r="D2441" t="s">
        <v>268</v>
      </c>
      <c r="E2441" t="s">
        <v>206</v>
      </c>
      <c r="F2441" t="s">
        <v>209</v>
      </c>
      <c r="G2441" t="s">
        <v>201</v>
      </c>
      <c r="H2441">
        <v>5</v>
      </c>
    </row>
    <row r="2442" spans="1:8" x14ac:dyDescent="0.3">
      <c r="A2442">
        <v>2019</v>
      </c>
      <c r="B2442" t="s">
        <v>42</v>
      </c>
      <c r="C2442" t="s">
        <v>267</v>
      </c>
      <c r="D2442" t="s">
        <v>268</v>
      </c>
      <c r="E2442" t="s">
        <v>1</v>
      </c>
      <c r="F2442" t="s">
        <v>209</v>
      </c>
      <c r="G2442" t="s">
        <v>201</v>
      </c>
      <c r="H2442">
        <v>13</v>
      </c>
    </row>
    <row r="2443" spans="1:8" x14ac:dyDescent="0.3">
      <c r="A2443">
        <v>2019</v>
      </c>
      <c r="B2443" t="s">
        <v>42</v>
      </c>
      <c r="C2443" t="s">
        <v>267</v>
      </c>
      <c r="D2443" t="s">
        <v>268</v>
      </c>
      <c r="E2443" t="s">
        <v>203</v>
      </c>
      <c r="F2443" t="s">
        <v>209</v>
      </c>
      <c r="G2443" t="s">
        <v>201</v>
      </c>
      <c r="H2443">
        <v>3</v>
      </c>
    </row>
    <row r="2444" spans="1:8" x14ac:dyDescent="0.3">
      <c r="A2444">
        <v>2019</v>
      </c>
      <c r="B2444" t="s">
        <v>42</v>
      </c>
      <c r="C2444" t="s">
        <v>267</v>
      </c>
      <c r="D2444" t="s">
        <v>268</v>
      </c>
      <c r="E2444" t="s">
        <v>204</v>
      </c>
      <c r="F2444" t="s">
        <v>209</v>
      </c>
      <c r="G2444" t="s">
        <v>201</v>
      </c>
      <c r="H2444">
        <v>0</v>
      </c>
    </row>
    <row r="2445" spans="1:8" x14ac:dyDescent="0.3">
      <c r="A2445">
        <v>2019</v>
      </c>
      <c r="B2445" t="s">
        <v>42</v>
      </c>
      <c r="C2445" t="s">
        <v>267</v>
      </c>
      <c r="D2445" t="s">
        <v>268</v>
      </c>
      <c r="E2445" t="s">
        <v>205</v>
      </c>
      <c r="F2445" t="s">
        <v>209</v>
      </c>
      <c r="G2445" t="s">
        <v>201</v>
      </c>
      <c r="H2445">
        <v>0</v>
      </c>
    </row>
    <row r="2446" spans="1:8" x14ac:dyDescent="0.3">
      <c r="A2446">
        <v>2019</v>
      </c>
      <c r="B2446" t="s">
        <v>42</v>
      </c>
      <c r="C2446" t="s">
        <v>267</v>
      </c>
      <c r="D2446" t="s">
        <v>268</v>
      </c>
      <c r="E2446" t="s">
        <v>206</v>
      </c>
      <c r="F2446" t="s">
        <v>209</v>
      </c>
      <c r="G2446" t="s">
        <v>201</v>
      </c>
      <c r="H2446">
        <v>30</v>
      </c>
    </row>
    <row r="2447" spans="1:8" x14ac:dyDescent="0.3">
      <c r="A2447">
        <v>2019</v>
      </c>
      <c r="B2447" t="s">
        <v>215</v>
      </c>
      <c r="C2447" t="s">
        <v>267</v>
      </c>
      <c r="D2447" t="s">
        <v>268</v>
      </c>
      <c r="E2447" t="s">
        <v>1</v>
      </c>
      <c r="F2447" t="s">
        <v>209</v>
      </c>
      <c r="G2447" t="s">
        <v>201</v>
      </c>
      <c r="H2447">
        <v>2</v>
      </c>
    </row>
    <row r="2448" spans="1:8" x14ac:dyDescent="0.3">
      <c r="A2448">
        <v>2019</v>
      </c>
      <c r="B2448" t="s">
        <v>215</v>
      </c>
      <c r="C2448" t="s">
        <v>267</v>
      </c>
      <c r="D2448" t="s">
        <v>268</v>
      </c>
      <c r="E2448" t="s">
        <v>203</v>
      </c>
      <c r="F2448" t="s">
        <v>209</v>
      </c>
      <c r="G2448" t="s">
        <v>201</v>
      </c>
      <c r="H2448">
        <v>0</v>
      </c>
    </row>
    <row r="2449" spans="1:8" x14ac:dyDescent="0.3">
      <c r="A2449">
        <v>2019</v>
      </c>
      <c r="B2449" t="s">
        <v>215</v>
      </c>
      <c r="C2449" t="s">
        <v>267</v>
      </c>
      <c r="D2449" t="s">
        <v>268</v>
      </c>
      <c r="E2449" t="s">
        <v>204</v>
      </c>
      <c r="F2449" t="s">
        <v>209</v>
      </c>
      <c r="G2449" t="s">
        <v>201</v>
      </c>
      <c r="H2449">
        <v>0</v>
      </c>
    </row>
    <row r="2450" spans="1:8" x14ac:dyDescent="0.3">
      <c r="A2450">
        <v>2019</v>
      </c>
      <c r="B2450" t="s">
        <v>215</v>
      </c>
      <c r="C2450" t="s">
        <v>267</v>
      </c>
      <c r="D2450" t="s">
        <v>268</v>
      </c>
      <c r="E2450" t="s">
        <v>205</v>
      </c>
      <c r="F2450" t="s">
        <v>209</v>
      </c>
      <c r="G2450" t="s">
        <v>201</v>
      </c>
      <c r="H2450">
        <v>0</v>
      </c>
    </row>
    <row r="2451" spans="1:8" x14ac:dyDescent="0.3">
      <c r="A2451">
        <v>2019</v>
      </c>
      <c r="B2451" t="s">
        <v>215</v>
      </c>
      <c r="C2451" t="s">
        <v>267</v>
      </c>
      <c r="D2451" t="s">
        <v>268</v>
      </c>
      <c r="E2451" t="s">
        <v>206</v>
      </c>
      <c r="F2451" t="s">
        <v>209</v>
      </c>
      <c r="G2451" t="s">
        <v>201</v>
      </c>
      <c r="H2451">
        <v>4</v>
      </c>
    </row>
    <row r="2452" spans="1:8" x14ac:dyDescent="0.3">
      <c r="A2452">
        <v>2019</v>
      </c>
      <c r="B2452" t="s">
        <v>43</v>
      </c>
      <c r="C2452" t="s">
        <v>267</v>
      </c>
      <c r="D2452" t="s">
        <v>268</v>
      </c>
      <c r="E2452" t="s">
        <v>1</v>
      </c>
      <c r="F2452" t="s">
        <v>209</v>
      </c>
      <c r="G2452" t="s">
        <v>201</v>
      </c>
      <c r="H2452">
        <v>3</v>
      </c>
    </row>
    <row r="2453" spans="1:8" x14ac:dyDescent="0.3">
      <c r="A2453">
        <v>2019</v>
      </c>
      <c r="B2453" t="s">
        <v>43</v>
      </c>
      <c r="C2453" t="s">
        <v>267</v>
      </c>
      <c r="D2453" t="s">
        <v>268</v>
      </c>
      <c r="E2453" t="s">
        <v>203</v>
      </c>
      <c r="F2453" t="s">
        <v>209</v>
      </c>
      <c r="G2453" t="s">
        <v>201</v>
      </c>
      <c r="H2453">
        <v>1</v>
      </c>
    </row>
    <row r="2454" spans="1:8" x14ac:dyDescent="0.3">
      <c r="A2454">
        <v>2019</v>
      </c>
      <c r="B2454" t="s">
        <v>43</v>
      </c>
      <c r="C2454" t="s">
        <v>267</v>
      </c>
      <c r="D2454" t="s">
        <v>268</v>
      </c>
      <c r="E2454" t="s">
        <v>204</v>
      </c>
      <c r="F2454" t="s">
        <v>209</v>
      </c>
      <c r="G2454" t="s">
        <v>201</v>
      </c>
      <c r="H2454">
        <v>0</v>
      </c>
    </row>
    <row r="2455" spans="1:8" x14ac:dyDescent="0.3">
      <c r="A2455">
        <v>2019</v>
      </c>
      <c r="B2455" t="s">
        <v>43</v>
      </c>
      <c r="C2455" t="s">
        <v>267</v>
      </c>
      <c r="D2455" t="s">
        <v>268</v>
      </c>
      <c r="E2455" t="s">
        <v>205</v>
      </c>
      <c r="F2455" t="s">
        <v>209</v>
      </c>
      <c r="G2455" t="s">
        <v>201</v>
      </c>
      <c r="H2455">
        <v>0</v>
      </c>
    </row>
    <row r="2456" spans="1:8" x14ac:dyDescent="0.3">
      <c r="A2456">
        <v>2019</v>
      </c>
      <c r="B2456" t="s">
        <v>43</v>
      </c>
      <c r="C2456" t="s">
        <v>267</v>
      </c>
      <c r="D2456" t="s">
        <v>268</v>
      </c>
      <c r="E2456" t="s">
        <v>206</v>
      </c>
      <c r="F2456" t="s">
        <v>209</v>
      </c>
      <c r="G2456" t="s">
        <v>201</v>
      </c>
      <c r="H2456">
        <v>50</v>
      </c>
    </row>
    <row r="2457" spans="1:8" x14ac:dyDescent="0.3">
      <c r="A2457">
        <v>2019</v>
      </c>
      <c r="B2457" t="s">
        <v>52</v>
      </c>
      <c r="C2457" t="s">
        <v>267</v>
      </c>
      <c r="D2457" t="s">
        <v>268</v>
      </c>
      <c r="E2457" t="s">
        <v>1</v>
      </c>
      <c r="F2457" t="s">
        <v>209</v>
      </c>
      <c r="G2457" t="s">
        <v>201</v>
      </c>
      <c r="H2457">
        <v>16</v>
      </c>
    </row>
    <row r="2458" spans="1:8" x14ac:dyDescent="0.3">
      <c r="A2458">
        <v>2019</v>
      </c>
      <c r="B2458" t="s">
        <v>52</v>
      </c>
      <c r="C2458" t="s">
        <v>267</v>
      </c>
      <c r="D2458" t="s">
        <v>268</v>
      </c>
      <c r="E2458" t="s">
        <v>203</v>
      </c>
      <c r="F2458" t="s">
        <v>209</v>
      </c>
      <c r="G2458" t="s">
        <v>201</v>
      </c>
      <c r="H2458">
        <v>2</v>
      </c>
    </row>
    <row r="2459" spans="1:8" x14ac:dyDescent="0.3">
      <c r="A2459">
        <v>2019</v>
      </c>
      <c r="B2459" t="s">
        <v>52</v>
      </c>
      <c r="C2459" t="s">
        <v>267</v>
      </c>
      <c r="D2459" t="s">
        <v>268</v>
      </c>
      <c r="E2459" t="s">
        <v>204</v>
      </c>
      <c r="F2459" t="s">
        <v>209</v>
      </c>
      <c r="G2459" t="s">
        <v>201</v>
      </c>
      <c r="H2459">
        <v>0</v>
      </c>
    </row>
    <row r="2460" spans="1:8" x14ac:dyDescent="0.3">
      <c r="A2460">
        <v>2019</v>
      </c>
      <c r="B2460" t="s">
        <v>52</v>
      </c>
      <c r="C2460" t="s">
        <v>267</v>
      </c>
      <c r="D2460" t="s">
        <v>268</v>
      </c>
      <c r="E2460" t="s">
        <v>205</v>
      </c>
      <c r="F2460" t="s">
        <v>209</v>
      </c>
      <c r="G2460" t="s">
        <v>201</v>
      </c>
      <c r="H2460">
        <v>0</v>
      </c>
    </row>
    <row r="2461" spans="1:8" x14ac:dyDescent="0.3">
      <c r="A2461">
        <v>2019</v>
      </c>
      <c r="B2461" t="s">
        <v>52</v>
      </c>
      <c r="C2461" t="s">
        <v>267</v>
      </c>
      <c r="D2461" t="s">
        <v>268</v>
      </c>
      <c r="E2461" t="s">
        <v>206</v>
      </c>
      <c r="F2461" t="s">
        <v>209</v>
      </c>
      <c r="G2461" t="s">
        <v>201</v>
      </c>
      <c r="H2461">
        <v>15</v>
      </c>
    </row>
    <row r="2462" spans="1:8" x14ac:dyDescent="0.3">
      <c r="A2462">
        <v>2019</v>
      </c>
      <c r="B2462" t="s">
        <v>44</v>
      </c>
      <c r="C2462" t="s">
        <v>267</v>
      </c>
      <c r="D2462" t="s">
        <v>268</v>
      </c>
      <c r="E2462" t="s">
        <v>1</v>
      </c>
      <c r="F2462" t="s">
        <v>209</v>
      </c>
      <c r="G2462" t="s">
        <v>201</v>
      </c>
      <c r="H2462">
        <v>1</v>
      </c>
    </row>
    <row r="2463" spans="1:8" x14ac:dyDescent="0.3">
      <c r="A2463">
        <v>2019</v>
      </c>
      <c r="B2463" t="s">
        <v>44</v>
      </c>
      <c r="C2463" t="s">
        <v>267</v>
      </c>
      <c r="D2463" t="s">
        <v>268</v>
      </c>
      <c r="E2463" t="s">
        <v>203</v>
      </c>
      <c r="F2463" t="s">
        <v>209</v>
      </c>
      <c r="G2463" t="s">
        <v>201</v>
      </c>
      <c r="H2463">
        <v>1</v>
      </c>
    </row>
    <row r="2464" spans="1:8" x14ac:dyDescent="0.3">
      <c r="A2464">
        <v>2019</v>
      </c>
      <c r="B2464" t="s">
        <v>44</v>
      </c>
      <c r="C2464" t="s">
        <v>267</v>
      </c>
      <c r="D2464" t="s">
        <v>268</v>
      </c>
      <c r="E2464" t="s">
        <v>204</v>
      </c>
      <c r="F2464" t="s">
        <v>209</v>
      </c>
      <c r="G2464" t="s">
        <v>201</v>
      </c>
      <c r="H2464">
        <v>0</v>
      </c>
    </row>
    <row r="2465" spans="1:8" x14ac:dyDescent="0.3">
      <c r="A2465">
        <v>2019</v>
      </c>
      <c r="B2465" t="s">
        <v>44</v>
      </c>
      <c r="C2465" t="s">
        <v>267</v>
      </c>
      <c r="D2465" t="s">
        <v>268</v>
      </c>
      <c r="E2465" t="s">
        <v>205</v>
      </c>
      <c r="F2465" t="s">
        <v>209</v>
      </c>
      <c r="G2465" t="s">
        <v>201</v>
      </c>
      <c r="H2465">
        <v>0</v>
      </c>
    </row>
    <row r="2466" spans="1:8" x14ac:dyDescent="0.3">
      <c r="A2466">
        <v>2019</v>
      </c>
      <c r="B2466" t="s">
        <v>44</v>
      </c>
      <c r="C2466" t="s">
        <v>267</v>
      </c>
      <c r="D2466" t="s">
        <v>268</v>
      </c>
      <c r="E2466" t="s">
        <v>206</v>
      </c>
      <c r="F2466" t="s">
        <v>209</v>
      </c>
      <c r="G2466" t="s">
        <v>201</v>
      </c>
      <c r="H2466">
        <v>123</v>
      </c>
    </row>
    <row r="2467" spans="1:8" x14ac:dyDescent="0.3">
      <c r="A2467">
        <v>2019</v>
      </c>
      <c r="B2467" t="s">
        <v>53</v>
      </c>
      <c r="C2467" t="s">
        <v>267</v>
      </c>
      <c r="D2467" t="s">
        <v>268</v>
      </c>
      <c r="E2467" t="s">
        <v>1</v>
      </c>
      <c r="F2467" t="s">
        <v>209</v>
      </c>
      <c r="G2467" t="s">
        <v>201</v>
      </c>
      <c r="H2467">
        <v>13</v>
      </c>
    </row>
    <row r="2468" spans="1:8" x14ac:dyDescent="0.3">
      <c r="A2468">
        <v>2019</v>
      </c>
      <c r="B2468" t="s">
        <v>53</v>
      </c>
      <c r="C2468" t="s">
        <v>267</v>
      </c>
      <c r="D2468" t="s">
        <v>268</v>
      </c>
      <c r="E2468" t="s">
        <v>203</v>
      </c>
      <c r="F2468" t="s">
        <v>209</v>
      </c>
      <c r="G2468" t="s">
        <v>201</v>
      </c>
      <c r="H2468">
        <v>0</v>
      </c>
    </row>
    <row r="2469" spans="1:8" x14ac:dyDescent="0.3">
      <c r="A2469">
        <v>2019</v>
      </c>
      <c r="B2469" t="s">
        <v>53</v>
      </c>
      <c r="C2469" t="s">
        <v>267</v>
      </c>
      <c r="D2469" t="s">
        <v>268</v>
      </c>
      <c r="E2469" t="s">
        <v>204</v>
      </c>
      <c r="F2469" t="s">
        <v>209</v>
      </c>
      <c r="G2469" t="s">
        <v>201</v>
      </c>
      <c r="H2469">
        <v>0</v>
      </c>
    </row>
    <row r="2470" spans="1:8" x14ac:dyDescent="0.3">
      <c r="A2470">
        <v>2019</v>
      </c>
      <c r="B2470" t="s">
        <v>53</v>
      </c>
      <c r="C2470" t="s">
        <v>267</v>
      </c>
      <c r="D2470" t="s">
        <v>268</v>
      </c>
      <c r="E2470" t="s">
        <v>205</v>
      </c>
      <c r="F2470" t="s">
        <v>209</v>
      </c>
      <c r="G2470" t="s">
        <v>201</v>
      </c>
      <c r="H2470">
        <v>0</v>
      </c>
    </row>
    <row r="2471" spans="1:8" x14ac:dyDescent="0.3">
      <c r="A2471">
        <v>2019</v>
      </c>
      <c r="B2471" t="s">
        <v>53</v>
      </c>
      <c r="C2471" t="s">
        <v>267</v>
      </c>
      <c r="D2471" t="s">
        <v>268</v>
      </c>
      <c r="E2471" t="s">
        <v>206</v>
      </c>
      <c r="F2471" t="s">
        <v>209</v>
      </c>
      <c r="G2471" t="s">
        <v>201</v>
      </c>
      <c r="H2471">
        <v>52</v>
      </c>
    </row>
    <row r="2472" spans="1:8" x14ac:dyDescent="0.3">
      <c r="A2472">
        <v>2019</v>
      </c>
      <c r="B2472" t="s">
        <v>197</v>
      </c>
      <c r="C2472" t="s">
        <v>267</v>
      </c>
      <c r="D2472" t="s">
        <v>268</v>
      </c>
      <c r="E2472" t="s">
        <v>1</v>
      </c>
      <c r="F2472" t="s">
        <v>209</v>
      </c>
      <c r="G2472" t="s">
        <v>201</v>
      </c>
      <c r="H2472">
        <v>6</v>
      </c>
    </row>
    <row r="2473" spans="1:8" x14ac:dyDescent="0.3">
      <c r="A2473">
        <v>2019</v>
      </c>
      <c r="B2473" t="s">
        <v>197</v>
      </c>
      <c r="C2473" t="s">
        <v>267</v>
      </c>
      <c r="D2473" t="s">
        <v>268</v>
      </c>
      <c r="E2473" t="s">
        <v>203</v>
      </c>
      <c r="F2473" t="s">
        <v>209</v>
      </c>
      <c r="G2473" t="s">
        <v>201</v>
      </c>
      <c r="H2473">
        <v>0</v>
      </c>
    </row>
    <row r="2474" spans="1:8" x14ac:dyDescent="0.3">
      <c r="A2474">
        <v>2019</v>
      </c>
      <c r="B2474" t="s">
        <v>197</v>
      </c>
      <c r="C2474" t="s">
        <v>267</v>
      </c>
      <c r="D2474" t="s">
        <v>268</v>
      </c>
      <c r="E2474" t="s">
        <v>204</v>
      </c>
      <c r="F2474" t="s">
        <v>209</v>
      </c>
      <c r="G2474" t="s">
        <v>201</v>
      </c>
      <c r="H2474">
        <v>0</v>
      </c>
    </row>
    <row r="2475" spans="1:8" x14ac:dyDescent="0.3">
      <c r="A2475">
        <v>2019</v>
      </c>
      <c r="B2475" t="s">
        <v>197</v>
      </c>
      <c r="C2475" t="s">
        <v>267</v>
      </c>
      <c r="D2475" t="s">
        <v>268</v>
      </c>
      <c r="E2475" t="s">
        <v>205</v>
      </c>
      <c r="F2475" t="s">
        <v>209</v>
      </c>
      <c r="G2475" t="s">
        <v>201</v>
      </c>
      <c r="H2475">
        <v>0</v>
      </c>
    </row>
    <row r="2476" spans="1:8" x14ac:dyDescent="0.3">
      <c r="A2476">
        <v>2019</v>
      </c>
      <c r="B2476" t="s">
        <v>197</v>
      </c>
      <c r="C2476" t="s">
        <v>267</v>
      </c>
      <c r="D2476" t="s">
        <v>268</v>
      </c>
      <c r="E2476" t="s">
        <v>206</v>
      </c>
      <c r="F2476" t="s">
        <v>209</v>
      </c>
      <c r="G2476" t="s">
        <v>201</v>
      </c>
      <c r="H2476">
        <v>0</v>
      </c>
    </row>
    <row r="2477" spans="1:8" x14ac:dyDescent="0.3">
      <c r="A2477">
        <v>2019</v>
      </c>
      <c r="B2477" t="s">
        <v>8</v>
      </c>
      <c r="C2477" t="s">
        <v>267</v>
      </c>
      <c r="D2477" t="s">
        <v>268</v>
      </c>
      <c r="E2477" t="s">
        <v>1</v>
      </c>
      <c r="F2477" t="s">
        <v>209</v>
      </c>
      <c r="G2477" t="s">
        <v>202</v>
      </c>
      <c r="H2477">
        <v>0</v>
      </c>
    </row>
    <row r="2478" spans="1:8" x14ac:dyDescent="0.3">
      <c r="A2478">
        <v>2019</v>
      </c>
      <c r="B2478" t="s">
        <v>8</v>
      </c>
      <c r="C2478" t="s">
        <v>267</v>
      </c>
      <c r="D2478" t="s">
        <v>268</v>
      </c>
      <c r="E2478" t="s">
        <v>203</v>
      </c>
      <c r="F2478" t="s">
        <v>209</v>
      </c>
      <c r="G2478" t="s">
        <v>202</v>
      </c>
      <c r="H2478">
        <v>0</v>
      </c>
    </row>
    <row r="2479" spans="1:8" x14ac:dyDescent="0.3">
      <c r="A2479">
        <v>2019</v>
      </c>
      <c r="B2479" t="s">
        <v>8</v>
      </c>
      <c r="C2479" t="s">
        <v>267</v>
      </c>
      <c r="D2479" t="s">
        <v>268</v>
      </c>
      <c r="E2479" t="s">
        <v>204</v>
      </c>
      <c r="F2479" t="s">
        <v>209</v>
      </c>
      <c r="G2479" t="s">
        <v>202</v>
      </c>
      <c r="H2479">
        <v>0</v>
      </c>
    </row>
    <row r="2480" spans="1:8" x14ac:dyDescent="0.3">
      <c r="A2480">
        <v>2019</v>
      </c>
      <c r="B2480" t="s">
        <v>8</v>
      </c>
      <c r="C2480" t="s">
        <v>267</v>
      </c>
      <c r="D2480" t="s">
        <v>268</v>
      </c>
      <c r="E2480" t="s">
        <v>205</v>
      </c>
      <c r="F2480" t="s">
        <v>209</v>
      </c>
      <c r="G2480" t="s">
        <v>202</v>
      </c>
      <c r="H2480">
        <v>0</v>
      </c>
    </row>
    <row r="2481" spans="1:8" x14ac:dyDescent="0.3">
      <c r="A2481">
        <v>2019</v>
      </c>
      <c r="B2481" t="s">
        <v>8</v>
      </c>
      <c r="C2481" t="s">
        <v>267</v>
      </c>
      <c r="D2481" t="s">
        <v>268</v>
      </c>
      <c r="E2481" t="s">
        <v>206</v>
      </c>
      <c r="F2481" t="s">
        <v>209</v>
      </c>
      <c r="G2481" t="s">
        <v>202</v>
      </c>
      <c r="H2481">
        <v>0</v>
      </c>
    </row>
    <row r="2482" spans="1:8" x14ac:dyDescent="0.3">
      <c r="A2482">
        <v>2019</v>
      </c>
      <c r="B2482" t="s">
        <v>9</v>
      </c>
      <c r="C2482" t="s">
        <v>267</v>
      </c>
      <c r="D2482" t="s">
        <v>268</v>
      </c>
      <c r="E2482" t="s">
        <v>1</v>
      </c>
      <c r="F2482" t="s">
        <v>209</v>
      </c>
      <c r="G2482" t="s">
        <v>202</v>
      </c>
      <c r="H2482">
        <v>0</v>
      </c>
    </row>
    <row r="2483" spans="1:8" x14ac:dyDescent="0.3">
      <c r="A2483">
        <v>2019</v>
      </c>
      <c r="B2483" t="s">
        <v>9</v>
      </c>
      <c r="C2483" t="s">
        <v>267</v>
      </c>
      <c r="D2483" t="s">
        <v>268</v>
      </c>
      <c r="E2483" t="s">
        <v>203</v>
      </c>
      <c r="F2483" t="s">
        <v>209</v>
      </c>
      <c r="G2483" t="s">
        <v>202</v>
      </c>
      <c r="H2483">
        <v>0</v>
      </c>
    </row>
    <row r="2484" spans="1:8" x14ac:dyDescent="0.3">
      <c r="A2484">
        <v>2019</v>
      </c>
      <c r="B2484" t="s">
        <v>9</v>
      </c>
      <c r="C2484" t="s">
        <v>267</v>
      </c>
      <c r="D2484" t="s">
        <v>268</v>
      </c>
      <c r="E2484" t="s">
        <v>204</v>
      </c>
      <c r="F2484" t="s">
        <v>209</v>
      </c>
      <c r="G2484" t="s">
        <v>202</v>
      </c>
      <c r="H2484">
        <v>0</v>
      </c>
    </row>
    <row r="2485" spans="1:8" x14ac:dyDescent="0.3">
      <c r="A2485">
        <v>2019</v>
      </c>
      <c r="B2485" t="s">
        <v>9</v>
      </c>
      <c r="C2485" t="s">
        <v>267</v>
      </c>
      <c r="D2485" t="s">
        <v>268</v>
      </c>
      <c r="E2485" t="s">
        <v>205</v>
      </c>
      <c r="F2485" t="s">
        <v>209</v>
      </c>
      <c r="G2485" t="s">
        <v>202</v>
      </c>
    </row>
    <row r="2486" spans="1:8" x14ac:dyDescent="0.3">
      <c r="A2486">
        <v>2019</v>
      </c>
      <c r="B2486" t="s">
        <v>9</v>
      </c>
      <c r="C2486" t="s">
        <v>267</v>
      </c>
      <c r="D2486" t="s">
        <v>268</v>
      </c>
      <c r="E2486" t="s">
        <v>206</v>
      </c>
      <c r="F2486" t="s">
        <v>209</v>
      </c>
      <c r="G2486" t="s">
        <v>202</v>
      </c>
      <c r="H2486">
        <v>0</v>
      </c>
    </row>
    <row r="2487" spans="1:8" x14ac:dyDescent="0.3">
      <c r="A2487">
        <v>2019</v>
      </c>
      <c r="B2487" t="s">
        <v>10</v>
      </c>
      <c r="C2487" t="s">
        <v>267</v>
      </c>
      <c r="D2487" t="s">
        <v>268</v>
      </c>
      <c r="E2487" t="s">
        <v>1</v>
      </c>
      <c r="F2487" t="s">
        <v>209</v>
      </c>
      <c r="G2487" t="s">
        <v>202</v>
      </c>
      <c r="H2487">
        <v>0</v>
      </c>
    </row>
    <row r="2488" spans="1:8" x14ac:dyDescent="0.3">
      <c r="A2488">
        <v>2019</v>
      </c>
      <c r="B2488" t="s">
        <v>10</v>
      </c>
      <c r="C2488" t="s">
        <v>267</v>
      </c>
      <c r="D2488" t="s">
        <v>268</v>
      </c>
      <c r="E2488" t="s">
        <v>203</v>
      </c>
      <c r="F2488" t="s">
        <v>209</v>
      </c>
      <c r="G2488" t="s">
        <v>202</v>
      </c>
      <c r="H2488">
        <v>0</v>
      </c>
    </row>
    <row r="2489" spans="1:8" x14ac:dyDescent="0.3">
      <c r="A2489">
        <v>2019</v>
      </c>
      <c r="B2489" t="s">
        <v>10</v>
      </c>
      <c r="C2489" t="s">
        <v>267</v>
      </c>
      <c r="D2489" t="s">
        <v>268</v>
      </c>
      <c r="E2489" t="s">
        <v>204</v>
      </c>
      <c r="F2489" t="s">
        <v>209</v>
      </c>
      <c r="G2489" t="s">
        <v>202</v>
      </c>
      <c r="H2489">
        <v>0</v>
      </c>
    </row>
    <row r="2490" spans="1:8" x14ac:dyDescent="0.3">
      <c r="A2490">
        <v>2019</v>
      </c>
      <c r="B2490" t="s">
        <v>10</v>
      </c>
      <c r="C2490" t="s">
        <v>267</v>
      </c>
      <c r="D2490" t="s">
        <v>268</v>
      </c>
      <c r="E2490" t="s">
        <v>205</v>
      </c>
      <c r="F2490" t="s">
        <v>209</v>
      </c>
      <c r="G2490" t="s">
        <v>202</v>
      </c>
      <c r="H2490">
        <v>0</v>
      </c>
    </row>
    <row r="2491" spans="1:8" x14ac:dyDescent="0.3">
      <c r="A2491">
        <v>2019</v>
      </c>
      <c r="B2491" t="s">
        <v>10</v>
      </c>
      <c r="C2491" t="s">
        <v>267</v>
      </c>
      <c r="D2491" t="s">
        <v>268</v>
      </c>
      <c r="E2491" t="s">
        <v>206</v>
      </c>
      <c r="F2491" t="s">
        <v>209</v>
      </c>
      <c r="G2491" t="s">
        <v>202</v>
      </c>
      <c r="H2491">
        <v>0</v>
      </c>
    </row>
    <row r="2492" spans="1:8" x14ac:dyDescent="0.3">
      <c r="A2492">
        <v>2019</v>
      </c>
      <c r="B2492" t="s">
        <v>11</v>
      </c>
      <c r="C2492" t="s">
        <v>267</v>
      </c>
      <c r="D2492" t="s">
        <v>268</v>
      </c>
      <c r="E2492" t="s">
        <v>1</v>
      </c>
      <c r="F2492" t="s">
        <v>209</v>
      </c>
      <c r="G2492" t="s">
        <v>202</v>
      </c>
      <c r="H2492">
        <v>1</v>
      </c>
    </row>
    <row r="2493" spans="1:8" x14ac:dyDescent="0.3">
      <c r="A2493">
        <v>2019</v>
      </c>
      <c r="B2493" t="s">
        <v>11</v>
      </c>
      <c r="C2493" t="s">
        <v>267</v>
      </c>
      <c r="D2493" t="s">
        <v>268</v>
      </c>
      <c r="E2493" t="s">
        <v>203</v>
      </c>
      <c r="F2493" t="s">
        <v>209</v>
      </c>
      <c r="G2493" t="s">
        <v>202</v>
      </c>
      <c r="H2493">
        <v>1</v>
      </c>
    </row>
    <row r="2494" spans="1:8" x14ac:dyDescent="0.3">
      <c r="A2494">
        <v>2019</v>
      </c>
      <c r="B2494" t="s">
        <v>11</v>
      </c>
      <c r="C2494" t="s">
        <v>267</v>
      </c>
      <c r="D2494" t="s">
        <v>268</v>
      </c>
      <c r="E2494" t="s">
        <v>204</v>
      </c>
      <c r="F2494" t="s">
        <v>209</v>
      </c>
      <c r="G2494" t="s">
        <v>202</v>
      </c>
      <c r="H2494">
        <v>0</v>
      </c>
    </row>
    <row r="2495" spans="1:8" x14ac:dyDescent="0.3">
      <c r="A2495">
        <v>2019</v>
      </c>
      <c r="B2495" t="s">
        <v>11</v>
      </c>
      <c r="C2495" t="s">
        <v>267</v>
      </c>
      <c r="D2495" t="s">
        <v>268</v>
      </c>
      <c r="E2495" t="s">
        <v>205</v>
      </c>
      <c r="F2495" t="s">
        <v>209</v>
      </c>
      <c r="G2495" t="s">
        <v>202</v>
      </c>
      <c r="H2495">
        <v>0</v>
      </c>
    </row>
    <row r="2496" spans="1:8" x14ac:dyDescent="0.3">
      <c r="A2496">
        <v>2019</v>
      </c>
      <c r="B2496" t="s">
        <v>11</v>
      </c>
      <c r="C2496" t="s">
        <v>267</v>
      </c>
      <c r="D2496" t="s">
        <v>268</v>
      </c>
      <c r="E2496" t="s">
        <v>206</v>
      </c>
      <c r="F2496" t="s">
        <v>209</v>
      </c>
      <c r="G2496" t="s">
        <v>202</v>
      </c>
      <c r="H2496">
        <v>0</v>
      </c>
    </row>
    <row r="2497" spans="1:8" x14ac:dyDescent="0.3">
      <c r="A2497">
        <v>2019</v>
      </c>
      <c r="B2497" t="s">
        <v>12</v>
      </c>
      <c r="C2497" t="s">
        <v>267</v>
      </c>
      <c r="D2497" t="s">
        <v>268</v>
      </c>
      <c r="E2497" t="s">
        <v>1</v>
      </c>
      <c r="F2497" t="s">
        <v>209</v>
      </c>
      <c r="G2497" t="s">
        <v>202</v>
      </c>
      <c r="H2497">
        <v>1</v>
      </c>
    </row>
    <row r="2498" spans="1:8" x14ac:dyDescent="0.3">
      <c r="A2498">
        <v>2019</v>
      </c>
      <c r="B2498" t="s">
        <v>12</v>
      </c>
      <c r="C2498" t="s">
        <v>267</v>
      </c>
      <c r="D2498" t="s">
        <v>268</v>
      </c>
      <c r="E2498" t="s">
        <v>203</v>
      </c>
      <c r="F2498" t="s">
        <v>209</v>
      </c>
      <c r="G2498" t="s">
        <v>202</v>
      </c>
    </row>
    <row r="2499" spans="1:8" x14ac:dyDescent="0.3">
      <c r="A2499">
        <v>2019</v>
      </c>
      <c r="B2499" t="s">
        <v>12</v>
      </c>
      <c r="C2499" t="s">
        <v>267</v>
      </c>
      <c r="D2499" t="s">
        <v>268</v>
      </c>
      <c r="E2499" t="s">
        <v>204</v>
      </c>
      <c r="F2499" t="s">
        <v>209</v>
      </c>
      <c r="G2499" t="s">
        <v>202</v>
      </c>
    </row>
    <row r="2500" spans="1:8" x14ac:dyDescent="0.3">
      <c r="A2500">
        <v>2019</v>
      </c>
      <c r="B2500" t="s">
        <v>12</v>
      </c>
      <c r="C2500" t="s">
        <v>267</v>
      </c>
      <c r="D2500" t="s">
        <v>268</v>
      </c>
      <c r="E2500" t="s">
        <v>205</v>
      </c>
      <c r="F2500" t="s">
        <v>209</v>
      </c>
      <c r="G2500" t="s">
        <v>202</v>
      </c>
    </row>
    <row r="2501" spans="1:8" x14ac:dyDescent="0.3">
      <c r="A2501">
        <v>2019</v>
      </c>
      <c r="B2501" t="s">
        <v>12</v>
      </c>
      <c r="C2501" t="s">
        <v>267</v>
      </c>
      <c r="D2501" t="s">
        <v>268</v>
      </c>
      <c r="E2501" t="s">
        <v>206</v>
      </c>
      <c r="F2501" t="s">
        <v>209</v>
      </c>
      <c r="G2501" t="s">
        <v>202</v>
      </c>
    </row>
    <row r="2502" spans="1:8" x14ac:dyDescent="0.3">
      <c r="A2502">
        <v>2019</v>
      </c>
      <c r="B2502" t="s">
        <v>13</v>
      </c>
      <c r="C2502" t="s">
        <v>267</v>
      </c>
      <c r="D2502" t="s">
        <v>268</v>
      </c>
      <c r="E2502" t="s">
        <v>1</v>
      </c>
      <c r="F2502" t="s">
        <v>209</v>
      </c>
      <c r="G2502" t="s">
        <v>202</v>
      </c>
      <c r="H2502">
        <v>2</v>
      </c>
    </row>
    <row r="2503" spans="1:8" x14ac:dyDescent="0.3">
      <c r="A2503">
        <v>2019</v>
      </c>
      <c r="B2503" t="s">
        <v>13</v>
      </c>
      <c r="C2503" t="s">
        <v>267</v>
      </c>
      <c r="D2503" t="s">
        <v>268</v>
      </c>
      <c r="E2503" t="s">
        <v>203</v>
      </c>
      <c r="F2503" t="s">
        <v>209</v>
      </c>
      <c r="G2503" t="s">
        <v>202</v>
      </c>
      <c r="H2503">
        <v>0</v>
      </c>
    </row>
    <row r="2504" spans="1:8" x14ac:dyDescent="0.3">
      <c r="A2504">
        <v>2019</v>
      </c>
      <c r="B2504" t="s">
        <v>13</v>
      </c>
      <c r="C2504" t="s">
        <v>267</v>
      </c>
      <c r="D2504" t="s">
        <v>268</v>
      </c>
      <c r="E2504" t="s">
        <v>204</v>
      </c>
      <c r="F2504" t="s">
        <v>209</v>
      </c>
      <c r="G2504" t="s">
        <v>202</v>
      </c>
      <c r="H2504">
        <v>0</v>
      </c>
    </row>
    <row r="2505" spans="1:8" x14ac:dyDescent="0.3">
      <c r="A2505">
        <v>2019</v>
      </c>
      <c r="B2505" t="s">
        <v>13</v>
      </c>
      <c r="C2505" t="s">
        <v>267</v>
      </c>
      <c r="D2505" t="s">
        <v>268</v>
      </c>
      <c r="E2505" t="s">
        <v>205</v>
      </c>
      <c r="F2505" t="s">
        <v>209</v>
      </c>
      <c r="G2505" t="s">
        <v>202</v>
      </c>
      <c r="H2505">
        <v>0</v>
      </c>
    </row>
    <row r="2506" spans="1:8" x14ac:dyDescent="0.3">
      <c r="A2506">
        <v>2019</v>
      </c>
      <c r="B2506" t="s">
        <v>13</v>
      </c>
      <c r="C2506" t="s">
        <v>267</v>
      </c>
      <c r="D2506" t="s">
        <v>268</v>
      </c>
      <c r="E2506" t="s">
        <v>206</v>
      </c>
      <c r="F2506" t="s">
        <v>209</v>
      </c>
      <c r="G2506" t="s">
        <v>202</v>
      </c>
      <c r="H2506">
        <v>0</v>
      </c>
    </row>
    <row r="2507" spans="1:8" x14ac:dyDescent="0.3">
      <c r="A2507">
        <v>2019</v>
      </c>
      <c r="B2507" t="s">
        <v>14</v>
      </c>
      <c r="C2507" t="s">
        <v>267</v>
      </c>
      <c r="D2507" t="s">
        <v>268</v>
      </c>
      <c r="E2507" t="s">
        <v>1</v>
      </c>
      <c r="F2507" t="s">
        <v>209</v>
      </c>
      <c r="G2507" t="s">
        <v>202</v>
      </c>
      <c r="H2507">
        <v>0</v>
      </c>
    </row>
    <row r="2508" spans="1:8" x14ac:dyDescent="0.3">
      <c r="A2508">
        <v>2019</v>
      </c>
      <c r="B2508" t="s">
        <v>14</v>
      </c>
      <c r="C2508" t="s">
        <v>267</v>
      </c>
      <c r="D2508" t="s">
        <v>268</v>
      </c>
      <c r="E2508" t="s">
        <v>203</v>
      </c>
      <c r="F2508" t="s">
        <v>209</v>
      </c>
      <c r="G2508" t="s">
        <v>202</v>
      </c>
      <c r="H2508">
        <v>0</v>
      </c>
    </row>
    <row r="2509" spans="1:8" x14ac:dyDescent="0.3">
      <c r="A2509">
        <v>2019</v>
      </c>
      <c r="B2509" t="s">
        <v>14</v>
      </c>
      <c r="C2509" t="s">
        <v>267</v>
      </c>
      <c r="D2509" t="s">
        <v>268</v>
      </c>
      <c r="E2509" t="s">
        <v>204</v>
      </c>
      <c r="F2509" t="s">
        <v>209</v>
      </c>
      <c r="G2509" t="s">
        <v>202</v>
      </c>
      <c r="H2509">
        <v>0</v>
      </c>
    </row>
    <row r="2510" spans="1:8" x14ac:dyDescent="0.3">
      <c r="A2510">
        <v>2019</v>
      </c>
      <c r="B2510" t="s">
        <v>14</v>
      </c>
      <c r="C2510" t="s">
        <v>267</v>
      </c>
      <c r="D2510" t="s">
        <v>268</v>
      </c>
      <c r="E2510" t="s">
        <v>205</v>
      </c>
      <c r="F2510" t="s">
        <v>209</v>
      </c>
      <c r="G2510" t="s">
        <v>202</v>
      </c>
      <c r="H2510">
        <v>0</v>
      </c>
    </row>
    <row r="2511" spans="1:8" x14ac:dyDescent="0.3">
      <c r="A2511">
        <v>2019</v>
      </c>
      <c r="B2511" t="s">
        <v>14</v>
      </c>
      <c r="C2511" t="s">
        <v>267</v>
      </c>
      <c r="D2511" t="s">
        <v>268</v>
      </c>
      <c r="E2511" t="s">
        <v>206</v>
      </c>
      <c r="F2511" t="s">
        <v>209</v>
      </c>
      <c r="G2511" t="s">
        <v>202</v>
      </c>
      <c r="H2511">
        <v>0</v>
      </c>
    </row>
    <row r="2512" spans="1:8" x14ac:dyDescent="0.3">
      <c r="A2512">
        <v>2019</v>
      </c>
      <c r="B2512" t="s">
        <v>15</v>
      </c>
      <c r="C2512" t="s">
        <v>267</v>
      </c>
      <c r="D2512" t="s">
        <v>268</v>
      </c>
      <c r="E2512" t="s">
        <v>1</v>
      </c>
      <c r="F2512" t="s">
        <v>209</v>
      </c>
      <c r="G2512" t="s">
        <v>202</v>
      </c>
      <c r="H2512">
        <v>7</v>
      </c>
    </row>
    <row r="2513" spans="1:8" x14ac:dyDescent="0.3">
      <c r="A2513">
        <v>2019</v>
      </c>
      <c r="B2513" t="s">
        <v>15</v>
      </c>
      <c r="C2513" t="s">
        <v>267</v>
      </c>
      <c r="D2513" t="s">
        <v>268</v>
      </c>
      <c r="E2513" t="s">
        <v>203</v>
      </c>
      <c r="F2513" t="s">
        <v>209</v>
      </c>
      <c r="G2513" t="s">
        <v>202</v>
      </c>
      <c r="H2513">
        <v>1</v>
      </c>
    </row>
    <row r="2514" spans="1:8" x14ac:dyDescent="0.3">
      <c r="A2514">
        <v>2019</v>
      </c>
      <c r="B2514" t="s">
        <v>15</v>
      </c>
      <c r="C2514" t="s">
        <v>267</v>
      </c>
      <c r="D2514" t="s">
        <v>268</v>
      </c>
      <c r="E2514" t="s">
        <v>204</v>
      </c>
      <c r="F2514" t="s">
        <v>209</v>
      </c>
      <c r="G2514" t="s">
        <v>202</v>
      </c>
      <c r="H2514">
        <v>1</v>
      </c>
    </row>
    <row r="2515" spans="1:8" x14ac:dyDescent="0.3">
      <c r="A2515">
        <v>2019</v>
      </c>
      <c r="B2515" t="s">
        <v>15</v>
      </c>
      <c r="C2515" t="s">
        <v>267</v>
      </c>
      <c r="D2515" t="s">
        <v>268</v>
      </c>
      <c r="E2515" t="s">
        <v>205</v>
      </c>
      <c r="F2515" t="s">
        <v>209</v>
      </c>
      <c r="G2515" t="s">
        <v>202</v>
      </c>
      <c r="H2515">
        <v>0</v>
      </c>
    </row>
    <row r="2516" spans="1:8" x14ac:dyDescent="0.3">
      <c r="A2516">
        <v>2019</v>
      </c>
      <c r="B2516" t="s">
        <v>15</v>
      </c>
      <c r="C2516" t="s">
        <v>267</v>
      </c>
      <c r="D2516" t="s">
        <v>268</v>
      </c>
      <c r="E2516" t="s">
        <v>206</v>
      </c>
      <c r="F2516" t="s">
        <v>209</v>
      </c>
      <c r="G2516" t="s">
        <v>202</v>
      </c>
    </row>
    <row r="2517" spans="1:8" x14ac:dyDescent="0.3">
      <c r="A2517">
        <v>2019</v>
      </c>
      <c r="B2517" t="s">
        <v>16</v>
      </c>
      <c r="C2517" t="s">
        <v>267</v>
      </c>
      <c r="D2517" t="s">
        <v>268</v>
      </c>
      <c r="E2517" t="s">
        <v>1</v>
      </c>
      <c r="F2517" t="s">
        <v>209</v>
      </c>
      <c r="G2517" t="s">
        <v>202</v>
      </c>
      <c r="H2517">
        <v>0</v>
      </c>
    </row>
    <row r="2518" spans="1:8" x14ac:dyDescent="0.3">
      <c r="A2518">
        <v>2019</v>
      </c>
      <c r="B2518" t="s">
        <v>16</v>
      </c>
      <c r="C2518" t="s">
        <v>267</v>
      </c>
      <c r="D2518" t="s">
        <v>268</v>
      </c>
      <c r="E2518" t="s">
        <v>203</v>
      </c>
      <c r="F2518" t="s">
        <v>209</v>
      </c>
      <c r="G2518" t="s">
        <v>202</v>
      </c>
      <c r="H2518">
        <v>0</v>
      </c>
    </row>
    <row r="2519" spans="1:8" x14ac:dyDescent="0.3">
      <c r="A2519">
        <v>2019</v>
      </c>
      <c r="B2519" t="s">
        <v>16</v>
      </c>
      <c r="C2519" t="s">
        <v>267</v>
      </c>
      <c r="D2519" t="s">
        <v>268</v>
      </c>
      <c r="E2519" t="s">
        <v>204</v>
      </c>
      <c r="F2519" t="s">
        <v>209</v>
      </c>
      <c r="G2519" t="s">
        <v>202</v>
      </c>
      <c r="H2519">
        <v>0</v>
      </c>
    </row>
    <row r="2520" spans="1:8" x14ac:dyDescent="0.3">
      <c r="A2520">
        <v>2019</v>
      </c>
      <c r="B2520" t="s">
        <v>16</v>
      </c>
      <c r="C2520" t="s">
        <v>267</v>
      </c>
      <c r="D2520" t="s">
        <v>268</v>
      </c>
      <c r="E2520" t="s">
        <v>205</v>
      </c>
      <c r="F2520" t="s">
        <v>209</v>
      </c>
      <c r="G2520" t="s">
        <v>202</v>
      </c>
      <c r="H2520">
        <v>0</v>
      </c>
    </row>
    <row r="2521" spans="1:8" x14ac:dyDescent="0.3">
      <c r="A2521">
        <v>2019</v>
      </c>
      <c r="B2521" t="s">
        <v>16</v>
      </c>
      <c r="C2521" t="s">
        <v>267</v>
      </c>
      <c r="D2521" t="s">
        <v>268</v>
      </c>
      <c r="E2521" t="s">
        <v>206</v>
      </c>
      <c r="F2521" t="s">
        <v>209</v>
      </c>
      <c r="G2521" t="s">
        <v>202</v>
      </c>
      <c r="H2521">
        <v>0</v>
      </c>
    </row>
    <row r="2522" spans="1:8" x14ac:dyDescent="0.3">
      <c r="A2522">
        <v>2019</v>
      </c>
      <c r="B2522" t="s">
        <v>17</v>
      </c>
      <c r="C2522" t="s">
        <v>267</v>
      </c>
      <c r="D2522" t="s">
        <v>268</v>
      </c>
      <c r="E2522" t="s">
        <v>1</v>
      </c>
      <c r="F2522" t="s">
        <v>209</v>
      </c>
      <c r="G2522" t="s">
        <v>202</v>
      </c>
      <c r="H2522">
        <v>5</v>
      </c>
    </row>
    <row r="2523" spans="1:8" x14ac:dyDescent="0.3">
      <c r="A2523">
        <v>2019</v>
      </c>
      <c r="B2523" t="s">
        <v>17</v>
      </c>
      <c r="C2523" t="s">
        <v>267</v>
      </c>
      <c r="D2523" t="s">
        <v>268</v>
      </c>
      <c r="E2523" t="s">
        <v>203</v>
      </c>
      <c r="F2523" t="s">
        <v>209</v>
      </c>
      <c r="G2523" t="s">
        <v>202</v>
      </c>
      <c r="H2523">
        <v>1</v>
      </c>
    </row>
    <row r="2524" spans="1:8" x14ac:dyDescent="0.3">
      <c r="A2524">
        <v>2019</v>
      </c>
      <c r="B2524" t="s">
        <v>17</v>
      </c>
      <c r="C2524" t="s">
        <v>267</v>
      </c>
      <c r="D2524" t="s">
        <v>268</v>
      </c>
      <c r="E2524" t="s">
        <v>204</v>
      </c>
      <c r="F2524" t="s">
        <v>209</v>
      </c>
      <c r="G2524" t="s">
        <v>202</v>
      </c>
      <c r="H2524">
        <v>0</v>
      </c>
    </row>
    <row r="2525" spans="1:8" x14ac:dyDescent="0.3">
      <c r="A2525">
        <v>2019</v>
      </c>
      <c r="B2525" t="s">
        <v>17</v>
      </c>
      <c r="C2525" t="s">
        <v>267</v>
      </c>
      <c r="D2525" t="s">
        <v>268</v>
      </c>
      <c r="E2525" t="s">
        <v>205</v>
      </c>
      <c r="F2525" t="s">
        <v>209</v>
      </c>
      <c r="G2525" t="s">
        <v>202</v>
      </c>
      <c r="H2525">
        <v>0</v>
      </c>
    </row>
    <row r="2526" spans="1:8" x14ac:dyDescent="0.3">
      <c r="A2526">
        <v>2019</v>
      </c>
      <c r="B2526" t="s">
        <v>17</v>
      </c>
      <c r="C2526" t="s">
        <v>267</v>
      </c>
      <c r="D2526" t="s">
        <v>268</v>
      </c>
      <c r="E2526" t="s">
        <v>206</v>
      </c>
      <c r="F2526" t="s">
        <v>209</v>
      </c>
      <c r="G2526" t="s">
        <v>202</v>
      </c>
      <c r="H2526">
        <v>19</v>
      </c>
    </row>
    <row r="2527" spans="1:8" x14ac:dyDescent="0.3">
      <c r="A2527">
        <v>2019</v>
      </c>
      <c r="B2527" t="s">
        <v>163</v>
      </c>
      <c r="C2527" t="s">
        <v>267</v>
      </c>
      <c r="D2527" t="s">
        <v>268</v>
      </c>
      <c r="E2527" t="s">
        <v>1</v>
      </c>
      <c r="F2527" t="s">
        <v>209</v>
      </c>
      <c r="G2527" t="s">
        <v>202</v>
      </c>
      <c r="H2527">
        <v>2</v>
      </c>
    </row>
    <row r="2528" spans="1:8" x14ac:dyDescent="0.3">
      <c r="A2528">
        <v>2019</v>
      </c>
      <c r="B2528" t="s">
        <v>163</v>
      </c>
      <c r="C2528" t="s">
        <v>267</v>
      </c>
      <c r="D2528" t="s">
        <v>268</v>
      </c>
      <c r="E2528" t="s">
        <v>203</v>
      </c>
      <c r="F2528" t="s">
        <v>209</v>
      </c>
      <c r="G2528" t="s">
        <v>202</v>
      </c>
      <c r="H2528">
        <v>0</v>
      </c>
    </row>
    <row r="2529" spans="1:8" x14ac:dyDescent="0.3">
      <c r="A2529">
        <v>2019</v>
      </c>
      <c r="B2529" t="s">
        <v>163</v>
      </c>
      <c r="C2529" t="s">
        <v>267</v>
      </c>
      <c r="D2529" t="s">
        <v>268</v>
      </c>
      <c r="E2529" t="s">
        <v>204</v>
      </c>
      <c r="F2529" t="s">
        <v>209</v>
      </c>
      <c r="G2529" t="s">
        <v>202</v>
      </c>
      <c r="H2529">
        <v>0</v>
      </c>
    </row>
    <row r="2530" spans="1:8" x14ac:dyDescent="0.3">
      <c r="A2530">
        <v>2019</v>
      </c>
      <c r="B2530" t="s">
        <v>163</v>
      </c>
      <c r="C2530" t="s">
        <v>267</v>
      </c>
      <c r="D2530" t="s">
        <v>268</v>
      </c>
      <c r="E2530" t="s">
        <v>205</v>
      </c>
      <c r="F2530" t="s">
        <v>209</v>
      </c>
      <c r="G2530" t="s">
        <v>202</v>
      </c>
      <c r="H2530">
        <v>0</v>
      </c>
    </row>
    <row r="2531" spans="1:8" x14ac:dyDescent="0.3">
      <c r="A2531">
        <v>2019</v>
      </c>
      <c r="B2531" t="s">
        <v>163</v>
      </c>
      <c r="C2531" t="s">
        <v>267</v>
      </c>
      <c r="D2531" t="s">
        <v>268</v>
      </c>
      <c r="E2531" t="s">
        <v>206</v>
      </c>
      <c r="F2531" t="s">
        <v>209</v>
      </c>
      <c r="G2531" t="s">
        <v>202</v>
      </c>
      <c r="H2531">
        <v>4</v>
      </c>
    </row>
    <row r="2532" spans="1:8" x14ac:dyDescent="0.3">
      <c r="A2532">
        <v>2019</v>
      </c>
      <c r="B2532" t="s">
        <v>20</v>
      </c>
      <c r="C2532" t="s">
        <v>267</v>
      </c>
      <c r="D2532" t="s">
        <v>268</v>
      </c>
      <c r="E2532" t="s">
        <v>1</v>
      </c>
      <c r="F2532" t="s">
        <v>209</v>
      </c>
      <c r="G2532" t="s">
        <v>202</v>
      </c>
      <c r="H2532">
        <v>3</v>
      </c>
    </row>
    <row r="2533" spans="1:8" x14ac:dyDescent="0.3">
      <c r="A2533">
        <v>2019</v>
      </c>
      <c r="B2533" t="s">
        <v>20</v>
      </c>
      <c r="C2533" t="s">
        <v>267</v>
      </c>
      <c r="D2533" t="s">
        <v>268</v>
      </c>
      <c r="E2533" t="s">
        <v>203</v>
      </c>
      <c r="F2533" t="s">
        <v>209</v>
      </c>
      <c r="G2533" t="s">
        <v>202</v>
      </c>
      <c r="H2533">
        <v>0</v>
      </c>
    </row>
    <row r="2534" spans="1:8" x14ac:dyDescent="0.3">
      <c r="A2534">
        <v>2019</v>
      </c>
      <c r="B2534" t="s">
        <v>20</v>
      </c>
      <c r="C2534" t="s">
        <v>267</v>
      </c>
      <c r="D2534" t="s">
        <v>268</v>
      </c>
      <c r="E2534" t="s">
        <v>204</v>
      </c>
      <c r="F2534" t="s">
        <v>209</v>
      </c>
      <c r="G2534" t="s">
        <v>202</v>
      </c>
      <c r="H2534">
        <v>0</v>
      </c>
    </row>
    <row r="2535" spans="1:8" x14ac:dyDescent="0.3">
      <c r="A2535">
        <v>2019</v>
      </c>
      <c r="B2535" t="s">
        <v>20</v>
      </c>
      <c r="C2535" t="s">
        <v>267</v>
      </c>
      <c r="D2535" t="s">
        <v>268</v>
      </c>
      <c r="E2535" t="s">
        <v>205</v>
      </c>
      <c r="F2535" t="s">
        <v>209</v>
      </c>
      <c r="G2535" t="s">
        <v>202</v>
      </c>
      <c r="H2535">
        <v>0</v>
      </c>
    </row>
    <row r="2536" spans="1:8" x14ac:dyDescent="0.3">
      <c r="A2536">
        <v>2019</v>
      </c>
      <c r="B2536" t="s">
        <v>20</v>
      </c>
      <c r="C2536" t="s">
        <v>267</v>
      </c>
      <c r="D2536" t="s">
        <v>268</v>
      </c>
      <c r="E2536" t="s">
        <v>206</v>
      </c>
      <c r="F2536" t="s">
        <v>209</v>
      </c>
      <c r="G2536" t="s">
        <v>202</v>
      </c>
    </row>
    <row r="2537" spans="1:8" x14ac:dyDescent="0.3">
      <c r="A2537">
        <v>2019</v>
      </c>
      <c r="B2537" t="s">
        <v>21</v>
      </c>
      <c r="C2537" t="s">
        <v>267</v>
      </c>
      <c r="D2537" t="s">
        <v>268</v>
      </c>
      <c r="E2537" t="s">
        <v>1</v>
      </c>
      <c r="F2537" t="s">
        <v>209</v>
      </c>
      <c r="G2537" t="s">
        <v>202</v>
      </c>
      <c r="H2537">
        <v>0</v>
      </c>
    </row>
    <row r="2538" spans="1:8" x14ac:dyDescent="0.3">
      <c r="A2538">
        <v>2019</v>
      </c>
      <c r="B2538" t="s">
        <v>21</v>
      </c>
      <c r="C2538" t="s">
        <v>267</v>
      </c>
      <c r="D2538" t="s">
        <v>268</v>
      </c>
      <c r="E2538" t="s">
        <v>203</v>
      </c>
      <c r="F2538" t="s">
        <v>209</v>
      </c>
      <c r="G2538" t="s">
        <v>202</v>
      </c>
      <c r="H2538">
        <v>0</v>
      </c>
    </row>
    <row r="2539" spans="1:8" x14ac:dyDescent="0.3">
      <c r="A2539">
        <v>2019</v>
      </c>
      <c r="B2539" t="s">
        <v>21</v>
      </c>
      <c r="C2539" t="s">
        <v>267</v>
      </c>
      <c r="D2539" t="s">
        <v>268</v>
      </c>
      <c r="E2539" t="s">
        <v>204</v>
      </c>
      <c r="F2539" t="s">
        <v>209</v>
      </c>
      <c r="G2539" t="s">
        <v>202</v>
      </c>
      <c r="H2539">
        <v>0</v>
      </c>
    </row>
    <row r="2540" spans="1:8" x14ac:dyDescent="0.3">
      <c r="A2540">
        <v>2019</v>
      </c>
      <c r="B2540" t="s">
        <v>21</v>
      </c>
      <c r="C2540" t="s">
        <v>267</v>
      </c>
      <c r="D2540" t="s">
        <v>268</v>
      </c>
      <c r="E2540" t="s">
        <v>205</v>
      </c>
      <c r="F2540" t="s">
        <v>209</v>
      </c>
      <c r="G2540" t="s">
        <v>202</v>
      </c>
      <c r="H2540">
        <v>0</v>
      </c>
    </row>
    <row r="2541" spans="1:8" x14ac:dyDescent="0.3">
      <c r="A2541">
        <v>2019</v>
      </c>
      <c r="B2541" t="s">
        <v>21</v>
      </c>
      <c r="C2541" t="s">
        <v>267</v>
      </c>
      <c r="D2541" t="s">
        <v>268</v>
      </c>
      <c r="E2541" t="s">
        <v>206</v>
      </c>
      <c r="F2541" t="s">
        <v>209</v>
      </c>
      <c r="G2541" t="s">
        <v>202</v>
      </c>
      <c r="H2541">
        <v>0</v>
      </c>
    </row>
    <row r="2542" spans="1:8" x14ac:dyDescent="0.3">
      <c r="A2542">
        <v>2019</v>
      </c>
      <c r="B2542" t="s">
        <v>22</v>
      </c>
      <c r="C2542" t="s">
        <v>267</v>
      </c>
      <c r="D2542" t="s">
        <v>268</v>
      </c>
      <c r="E2542" t="s">
        <v>1</v>
      </c>
      <c r="F2542" t="s">
        <v>209</v>
      </c>
      <c r="G2542" t="s">
        <v>202</v>
      </c>
      <c r="H2542">
        <v>2</v>
      </c>
    </row>
    <row r="2543" spans="1:8" x14ac:dyDescent="0.3">
      <c r="A2543">
        <v>2019</v>
      </c>
      <c r="B2543" t="s">
        <v>22</v>
      </c>
      <c r="C2543" t="s">
        <v>267</v>
      </c>
      <c r="D2543" t="s">
        <v>268</v>
      </c>
      <c r="E2543" t="s">
        <v>203</v>
      </c>
      <c r="F2543" t="s">
        <v>209</v>
      </c>
      <c r="G2543" t="s">
        <v>202</v>
      </c>
      <c r="H2543">
        <v>0</v>
      </c>
    </row>
    <row r="2544" spans="1:8" x14ac:dyDescent="0.3">
      <c r="A2544">
        <v>2019</v>
      </c>
      <c r="B2544" t="s">
        <v>22</v>
      </c>
      <c r="C2544" t="s">
        <v>267</v>
      </c>
      <c r="D2544" t="s">
        <v>268</v>
      </c>
      <c r="E2544" t="s">
        <v>204</v>
      </c>
      <c r="F2544" t="s">
        <v>209</v>
      </c>
      <c r="G2544" t="s">
        <v>202</v>
      </c>
      <c r="H2544">
        <v>0</v>
      </c>
    </row>
    <row r="2545" spans="1:8" x14ac:dyDescent="0.3">
      <c r="A2545">
        <v>2019</v>
      </c>
      <c r="B2545" t="s">
        <v>22</v>
      </c>
      <c r="C2545" t="s">
        <v>267</v>
      </c>
      <c r="D2545" t="s">
        <v>268</v>
      </c>
      <c r="E2545" t="s">
        <v>205</v>
      </c>
      <c r="F2545" t="s">
        <v>209</v>
      </c>
      <c r="G2545" t="s">
        <v>202</v>
      </c>
      <c r="H2545">
        <v>0</v>
      </c>
    </row>
    <row r="2546" spans="1:8" x14ac:dyDescent="0.3">
      <c r="A2546">
        <v>2019</v>
      </c>
      <c r="B2546" t="s">
        <v>22</v>
      </c>
      <c r="C2546" t="s">
        <v>267</v>
      </c>
      <c r="D2546" t="s">
        <v>268</v>
      </c>
      <c r="E2546" t="s">
        <v>206</v>
      </c>
      <c r="F2546" t="s">
        <v>209</v>
      </c>
      <c r="G2546" t="s">
        <v>202</v>
      </c>
      <c r="H2546">
        <v>0</v>
      </c>
    </row>
    <row r="2547" spans="1:8" x14ac:dyDescent="0.3">
      <c r="A2547">
        <v>2019</v>
      </c>
      <c r="B2547" t="s">
        <v>23</v>
      </c>
      <c r="C2547" t="s">
        <v>267</v>
      </c>
      <c r="D2547" t="s">
        <v>268</v>
      </c>
      <c r="E2547" t="s">
        <v>1</v>
      </c>
      <c r="F2547" t="s">
        <v>209</v>
      </c>
      <c r="G2547" t="s">
        <v>202</v>
      </c>
      <c r="H2547">
        <v>0</v>
      </c>
    </row>
    <row r="2548" spans="1:8" x14ac:dyDescent="0.3">
      <c r="A2548">
        <v>2019</v>
      </c>
      <c r="B2548" t="s">
        <v>23</v>
      </c>
      <c r="C2548" t="s">
        <v>267</v>
      </c>
      <c r="D2548" t="s">
        <v>268</v>
      </c>
      <c r="E2548" t="s">
        <v>203</v>
      </c>
      <c r="F2548" t="s">
        <v>209</v>
      </c>
      <c r="G2548" t="s">
        <v>202</v>
      </c>
      <c r="H2548">
        <v>0</v>
      </c>
    </row>
    <row r="2549" spans="1:8" x14ac:dyDescent="0.3">
      <c r="A2549">
        <v>2019</v>
      </c>
      <c r="B2549" t="s">
        <v>23</v>
      </c>
      <c r="C2549" t="s">
        <v>267</v>
      </c>
      <c r="D2549" t="s">
        <v>268</v>
      </c>
      <c r="E2549" t="s">
        <v>204</v>
      </c>
      <c r="F2549" t="s">
        <v>209</v>
      </c>
      <c r="G2549" t="s">
        <v>202</v>
      </c>
      <c r="H2549">
        <v>0</v>
      </c>
    </row>
    <row r="2550" spans="1:8" x14ac:dyDescent="0.3">
      <c r="A2550">
        <v>2019</v>
      </c>
      <c r="B2550" t="s">
        <v>23</v>
      </c>
      <c r="C2550" t="s">
        <v>267</v>
      </c>
      <c r="D2550" t="s">
        <v>268</v>
      </c>
      <c r="E2550" t="s">
        <v>205</v>
      </c>
      <c r="F2550" t="s">
        <v>209</v>
      </c>
      <c r="G2550" t="s">
        <v>202</v>
      </c>
      <c r="H2550">
        <v>0</v>
      </c>
    </row>
    <row r="2551" spans="1:8" x14ac:dyDescent="0.3">
      <c r="A2551">
        <v>2019</v>
      </c>
      <c r="B2551" t="s">
        <v>23</v>
      </c>
      <c r="C2551" t="s">
        <v>267</v>
      </c>
      <c r="D2551" t="s">
        <v>268</v>
      </c>
      <c r="E2551" t="s">
        <v>206</v>
      </c>
      <c r="F2551" t="s">
        <v>209</v>
      </c>
      <c r="G2551" t="s">
        <v>202</v>
      </c>
      <c r="H2551">
        <v>0</v>
      </c>
    </row>
    <row r="2552" spans="1:8" x14ac:dyDescent="0.3">
      <c r="A2552">
        <v>2019</v>
      </c>
      <c r="B2552" t="s">
        <v>54</v>
      </c>
      <c r="C2552" t="s">
        <v>267</v>
      </c>
      <c r="D2552" t="s">
        <v>268</v>
      </c>
      <c r="E2552" t="s">
        <v>1</v>
      </c>
      <c r="F2552" t="s">
        <v>209</v>
      </c>
      <c r="G2552" t="s">
        <v>202</v>
      </c>
      <c r="H2552" t="s">
        <v>274</v>
      </c>
    </row>
    <row r="2553" spans="1:8" x14ac:dyDescent="0.3">
      <c r="A2553">
        <v>2019</v>
      </c>
      <c r="B2553" t="s">
        <v>54</v>
      </c>
      <c r="C2553" t="s">
        <v>267</v>
      </c>
      <c r="D2553" t="s">
        <v>268</v>
      </c>
      <c r="E2553" t="s">
        <v>203</v>
      </c>
      <c r="F2553" t="s">
        <v>209</v>
      </c>
      <c r="G2553" t="s">
        <v>202</v>
      </c>
      <c r="H2553" t="s">
        <v>274</v>
      </c>
    </row>
    <row r="2554" spans="1:8" x14ac:dyDescent="0.3">
      <c r="A2554">
        <v>2019</v>
      </c>
      <c r="B2554" t="s">
        <v>54</v>
      </c>
      <c r="C2554" t="s">
        <v>267</v>
      </c>
      <c r="D2554" t="s">
        <v>268</v>
      </c>
      <c r="E2554" t="s">
        <v>204</v>
      </c>
      <c r="F2554" t="s">
        <v>209</v>
      </c>
      <c r="G2554" t="s">
        <v>202</v>
      </c>
      <c r="H2554" t="s">
        <v>274</v>
      </c>
    </row>
    <row r="2555" spans="1:8" x14ac:dyDescent="0.3">
      <c r="A2555">
        <v>2019</v>
      </c>
      <c r="B2555" t="s">
        <v>54</v>
      </c>
      <c r="C2555" t="s">
        <v>267</v>
      </c>
      <c r="D2555" t="s">
        <v>268</v>
      </c>
      <c r="E2555" t="s">
        <v>205</v>
      </c>
      <c r="F2555" t="s">
        <v>209</v>
      </c>
      <c r="G2555" t="s">
        <v>202</v>
      </c>
      <c r="H2555" t="s">
        <v>274</v>
      </c>
    </row>
    <row r="2556" spans="1:8" x14ac:dyDescent="0.3">
      <c r="A2556">
        <v>2019</v>
      </c>
      <c r="B2556" t="s">
        <v>54</v>
      </c>
      <c r="C2556" t="s">
        <v>267</v>
      </c>
      <c r="D2556" t="s">
        <v>268</v>
      </c>
      <c r="E2556" t="s">
        <v>206</v>
      </c>
      <c r="F2556" t="s">
        <v>209</v>
      </c>
      <c r="G2556" t="s">
        <v>202</v>
      </c>
      <c r="H2556" t="s">
        <v>274</v>
      </c>
    </row>
    <row r="2557" spans="1:8" x14ac:dyDescent="0.3">
      <c r="A2557">
        <v>2019</v>
      </c>
      <c r="B2557" t="s">
        <v>48</v>
      </c>
      <c r="C2557" t="s">
        <v>267</v>
      </c>
      <c r="D2557" t="s">
        <v>268</v>
      </c>
      <c r="E2557" t="s">
        <v>1</v>
      </c>
      <c r="F2557" t="s">
        <v>209</v>
      </c>
      <c r="G2557" t="s">
        <v>202</v>
      </c>
      <c r="H2557">
        <v>2</v>
      </c>
    </row>
    <row r="2558" spans="1:8" x14ac:dyDescent="0.3">
      <c r="A2558">
        <v>2019</v>
      </c>
      <c r="B2558" t="s">
        <v>48</v>
      </c>
      <c r="C2558" t="s">
        <v>267</v>
      </c>
      <c r="D2558" t="s">
        <v>268</v>
      </c>
      <c r="E2558" t="s">
        <v>203</v>
      </c>
      <c r="F2558" t="s">
        <v>209</v>
      </c>
      <c r="G2558" t="s">
        <v>202</v>
      </c>
      <c r="H2558">
        <v>0</v>
      </c>
    </row>
    <row r="2559" spans="1:8" x14ac:dyDescent="0.3">
      <c r="A2559">
        <v>2019</v>
      </c>
      <c r="B2559" t="s">
        <v>48</v>
      </c>
      <c r="C2559" t="s">
        <v>267</v>
      </c>
      <c r="D2559" t="s">
        <v>268</v>
      </c>
      <c r="E2559" t="s">
        <v>204</v>
      </c>
      <c r="F2559" t="s">
        <v>209</v>
      </c>
      <c r="G2559" t="s">
        <v>202</v>
      </c>
      <c r="H2559">
        <v>0</v>
      </c>
    </row>
    <row r="2560" spans="1:8" x14ac:dyDescent="0.3">
      <c r="A2560">
        <v>2019</v>
      </c>
      <c r="B2560" t="s">
        <v>48</v>
      </c>
      <c r="C2560" t="s">
        <v>267</v>
      </c>
      <c r="D2560" t="s">
        <v>268</v>
      </c>
      <c r="E2560" t="s">
        <v>205</v>
      </c>
      <c r="F2560" t="s">
        <v>209</v>
      </c>
      <c r="G2560" t="s">
        <v>202</v>
      </c>
      <c r="H2560">
        <v>0</v>
      </c>
    </row>
    <row r="2561" spans="1:8" x14ac:dyDescent="0.3">
      <c r="A2561">
        <v>2019</v>
      </c>
      <c r="B2561" t="s">
        <v>48</v>
      </c>
      <c r="C2561" t="s">
        <v>267</v>
      </c>
      <c r="D2561" t="s">
        <v>268</v>
      </c>
      <c r="E2561" t="s">
        <v>206</v>
      </c>
      <c r="F2561" t="s">
        <v>209</v>
      </c>
      <c r="G2561" t="s">
        <v>202</v>
      </c>
      <c r="H2561">
        <v>0</v>
      </c>
    </row>
    <row r="2562" spans="1:8" x14ac:dyDescent="0.3">
      <c r="A2562">
        <v>2019</v>
      </c>
      <c r="B2562" t="s">
        <v>24</v>
      </c>
      <c r="C2562" t="s">
        <v>267</v>
      </c>
      <c r="D2562" t="s">
        <v>268</v>
      </c>
      <c r="E2562" t="s">
        <v>1</v>
      </c>
      <c r="F2562" t="s">
        <v>209</v>
      </c>
      <c r="G2562" t="s">
        <v>202</v>
      </c>
      <c r="H2562">
        <v>0</v>
      </c>
    </row>
    <row r="2563" spans="1:8" x14ac:dyDescent="0.3">
      <c r="A2563">
        <v>2019</v>
      </c>
      <c r="B2563" t="s">
        <v>24</v>
      </c>
      <c r="C2563" t="s">
        <v>267</v>
      </c>
      <c r="D2563" t="s">
        <v>268</v>
      </c>
      <c r="E2563" t="s">
        <v>203</v>
      </c>
      <c r="F2563" t="s">
        <v>209</v>
      </c>
      <c r="G2563" t="s">
        <v>202</v>
      </c>
      <c r="H2563">
        <v>0</v>
      </c>
    </row>
    <row r="2564" spans="1:8" x14ac:dyDescent="0.3">
      <c r="A2564">
        <v>2019</v>
      </c>
      <c r="B2564" t="s">
        <v>24</v>
      </c>
      <c r="C2564" t="s">
        <v>267</v>
      </c>
      <c r="D2564" t="s">
        <v>268</v>
      </c>
      <c r="E2564" t="s">
        <v>204</v>
      </c>
      <c r="F2564" t="s">
        <v>209</v>
      </c>
      <c r="G2564" t="s">
        <v>202</v>
      </c>
      <c r="H2564">
        <v>0</v>
      </c>
    </row>
    <row r="2565" spans="1:8" x14ac:dyDescent="0.3">
      <c r="A2565">
        <v>2019</v>
      </c>
      <c r="B2565" t="s">
        <v>24</v>
      </c>
      <c r="C2565" t="s">
        <v>267</v>
      </c>
      <c r="D2565" t="s">
        <v>268</v>
      </c>
      <c r="E2565" t="s">
        <v>205</v>
      </c>
      <c r="F2565" t="s">
        <v>209</v>
      </c>
      <c r="G2565" t="s">
        <v>202</v>
      </c>
      <c r="H2565">
        <v>0</v>
      </c>
    </row>
    <row r="2566" spans="1:8" x14ac:dyDescent="0.3">
      <c r="A2566">
        <v>2019</v>
      </c>
      <c r="B2566" t="s">
        <v>24</v>
      </c>
      <c r="C2566" t="s">
        <v>267</v>
      </c>
      <c r="D2566" t="s">
        <v>268</v>
      </c>
      <c r="E2566" t="s">
        <v>206</v>
      </c>
      <c r="F2566" t="s">
        <v>209</v>
      </c>
      <c r="G2566" t="s">
        <v>202</v>
      </c>
      <c r="H2566">
        <v>0</v>
      </c>
    </row>
    <row r="2567" spans="1:8" x14ac:dyDescent="0.3">
      <c r="A2567">
        <v>2019</v>
      </c>
      <c r="B2567" t="s">
        <v>214</v>
      </c>
      <c r="C2567" t="s">
        <v>267</v>
      </c>
      <c r="D2567" t="s">
        <v>268</v>
      </c>
      <c r="E2567" t="s">
        <v>1</v>
      </c>
      <c r="F2567" t="s">
        <v>209</v>
      </c>
      <c r="G2567" t="s">
        <v>202</v>
      </c>
      <c r="H2567">
        <v>0</v>
      </c>
    </row>
    <row r="2568" spans="1:8" x14ac:dyDescent="0.3">
      <c r="A2568">
        <v>2019</v>
      </c>
      <c r="B2568" t="s">
        <v>214</v>
      </c>
      <c r="C2568" t="s">
        <v>267</v>
      </c>
      <c r="D2568" t="s">
        <v>268</v>
      </c>
      <c r="E2568" t="s">
        <v>203</v>
      </c>
      <c r="F2568" t="s">
        <v>209</v>
      </c>
      <c r="G2568" t="s">
        <v>202</v>
      </c>
      <c r="H2568">
        <v>0</v>
      </c>
    </row>
    <row r="2569" spans="1:8" x14ac:dyDescent="0.3">
      <c r="A2569">
        <v>2019</v>
      </c>
      <c r="B2569" t="s">
        <v>214</v>
      </c>
      <c r="C2569" t="s">
        <v>267</v>
      </c>
      <c r="D2569" t="s">
        <v>268</v>
      </c>
      <c r="E2569" t="s">
        <v>204</v>
      </c>
      <c r="F2569" t="s">
        <v>209</v>
      </c>
      <c r="G2569" t="s">
        <v>202</v>
      </c>
      <c r="H2569">
        <v>0</v>
      </c>
    </row>
    <row r="2570" spans="1:8" x14ac:dyDescent="0.3">
      <c r="A2570">
        <v>2019</v>
      </c>
      <c r="B2570" t="s">
        <v>214</v>
      </c>
      <c r="C2570" t="s">
        <v>267</v>
      </c>
      <c r="D2570" t="s">
        <v>268</v>
      </c>
      <c r="E2570" t="s">
        <v>205</v>
      </c>
      <c r="F2570" t="s">
        <v>209</v>
      </c>
      <c r="G2570" t="s">
        <v>202</v>
      </c>
      <c r="H2570">
        <v>0</v>
      </c>
    </row>
    <row r="2571" spans="1:8" x14ac:dyDescent="0.3">
      <c r="A2571">
        <v>2019</v>
      </c>
      <c r="B2571" t="s">
        <v>214</v>
      </c>
      <c r="C2571" t="s">
        <v>267</v>
      </c>
      <c r="D2571" t="s">
        <v>268</v>
      </c>
      <c r="E2571" t="s">
        <v>206</v>
      </c>
      <c r="F2571" t="s">
        <v>209</v>
      </c>
      <c r="G2571" t="s">
        <v>202</v>
      </c>
      <c r="H2571">
        <v>0</v>
      </c>
    </row>
    <row r="2572" spans="1:8" x14ac:dyDescent="0.3">
      <c r="A2572">
        <v>2019</v>
      </c>
      <c r="B2572" t="s">
        <v>26</v>
      </c>
      <c r="C2572" t="s">
        <v>267</v>
      </c>
      <c r="D2572" t="s">
        <v>268</v>
      </c>
      <c r="E2572" t="s">
        <v>1</v>
      </c>
      <c r="F2572" t="s">
        <v>209</v>
      </c>
      <c r="G2572" t="s">
        <v>202</v>
      </c>
      <c r="H2572">
        <v>0</v>
      </c>
    </row>
    <row r="2573" spans="1:8" x14ac:dyDescent="0.3">
      <c r="A2573">
        <v>2019</v>
      </c>
      <c r="B2573" t="s">
        <v>26</v>
      </c>
      <c r="C2573" t="s">
        <v>267</v>
      </c>
      <c r="D2573" t="s">
        <v>268</v>
      </c>
      <c r="E2573" t="s">
        <v>203</v>
      </c>
      <c r="F2573" t="s">
        <v>209</v>
      </c>
      <c r="G2573" t="s">
        <v>202</v>
      </c>
      <c r="H2573">
        <v>0</v>
      </c>
    </row>
    <row r="2574" spans="1:8" x14ac:dyDescent="0.3">
      <c r="A2574">
        <v>2019</v>
      </c>
      <c r="B2574" t="s">
        <v>26</v>
      </c>
      <c r="C2574" t="s">
        <v>267</v>
      </c>
      <c r="D2574" t="s">
        <v>268</v>
      </c>
      <c r="E2574" t="s">
        <v>204</v>
      </c>
      <c r="F2574" t="s">
        <v>209</v>
      </c>
      <c r="G2574" t="s">
        <v>202</v>
      </c>
      <c r="H2574">
        <v>0</v>
      </c>
    </row>
    <row r="2575" spans="1:8" x14ac:dyDescent="0.3">
      <c r="A2575">
        <v>2019</v>
      </c>
      <c r="B2575" t="s">
        <v>26</v>
      </c>
      <c r="C2575" t="s">
        <v>267</v>
      </c>
      <c r="D2575" t="s">
        <v>268</v>
      </c>
      <c r="E2575" t="s">
        <v>205</v>
      </c>
      <c r="F2575" t="s">
        <v>209</v>
      </c>
      <c r="G2575" t="s">
        <v>202</v>
      </c>
      <c r="H2575">
        <v>0</v>
      </c>
    </row>
    <row r="2576" spans="1:8" x14ac:dyDescent="0.3">
      <c r="A2576">
        <v>2019</v>
      </c>
      <c r="B2576" t="s">
        <v>26</v>
      </c>
      <c r="C2576" t="s">
        <v>267</v>
      </c>
      <c r="D2576" t="s">
        <v>268</v>
      </c>
      <c r="E2576" t="s">
        <v>206</v>
      </c>
      <c r="F2576" t="s">
        <v>209</v>
      </c>
      <c r="G2576" t="s">
        <v>202</v>
      </c>
      <c r="H2576">
        <v>0</v>
      </c>
    </row>
    <row r="2577" spans="1:8" x14ac:dyDescent="0.3">
      <c r="A2577">
        <v>2019</v>
      </c>
      <c r="B2577" t="s">
        <v>27</v>
      </c>
      <c r="C2577" t="s">
        <v>267</v>
      </c>
      <c r="D2577" t="s">
        <v>268</v>
      </c>
      <c r="E2577" t="s">
        <v>1</v>
      </c>
      <c r="F2577" t="s">
        <v>209</v>
      </c>
      <c r="G2577" t="s">
        <v>202</v>
      </c>
      <c r="H2577">
        <v>2</v>
      </c>
    </row>
    <row r="2578" spans="1:8" x14ac:dyDescent="0.3">
      <c r="A2578">
        <v>2019</v>
      </c>
      <c r="B2578" t="s">
        <v>27</v>
      </c>
      <c r="C2578" t="s">
        <v>267</v>
      </c>
      <c r="D2578" t="s">
        <v>268</v>
      </c>
      <c r="E2578" t="s">
        <v>203</v>
      </c>
      <c r="F2578" t="s">
        <v>209</v>
      </c>
      <c r="G2578" t="s">
        <v>202</v>
      </c>
      <c r="H2578">
        <v>1</v>
      </c>
    </row>
    <row r="2579" spans="1:8" x14ac:dyDescent="0.3">
      <c r="A2579">
        <v>2019</v>
      </c>
      <c r="B2579" t="s">
        <v>27</v>
      </c>
      <c r="C2579" t="s">
        <v>267</v>
      </c>
      <c r="D2579" t="s">
        <v>268</v>
      </c>
      <c r="E2579" t="s">
        <v>204</v>
      </c>
      <c r="F2579" t="s">
        <v>209</v>
      </c>
      <c r="G2579" t="s">
        <v>202</v>
      </c>
      <c r="H2579">
        <v>0</v>
      </c>
    </row>
    <row r="2580" spans="1:8" x14ac:dyDescent="0.3">
      <c r="A2580">
        <v>2019</v>
      </c>
      <c r="B2580" t="s">
        <v>27</v>
      </c>
      <c r="C2580" t="s">
        <v>267</v>
      </c>
      <c r="D2580" t="s">
        <v>268</v>
      </c>
      <c r="E2580" t="s">
        <v>205</v>
      </c>
      <c r="F2580" t="s">
        <v>209</v>
      </c>
      <c r="G2580" t="s">
        <v>202</v>
      </c>
      <c r="H2580">
        <v>0</v>
      </c>
    </row>
    <row r="2581" spans="1:8" x14ac:dyDescent="0.3">
      <c r="A2581">
        <v>2019</v>
      </c>
      <c r="B2581" t="s">
        <v>27</v>
      </c>
      <c r="C2581" t="s">
        <v>267</v>
      </c>
      <c r="D2581" t="s">
        <v>268</v>
      </c>
      <c r="E2581" t="s">
        <v>206</v>
      </c>
      <c r="F2581" t="s">
        <v>209</v>
      </c>
      <c r="G2581" t="s">
        <v>202</v>
      </c>
      <c r="H2581">
        <v>80</v>
      </c>
    </row>
    <row r="2582" spans="1:8" x14ac:dyDescent="0.3">
      <c r="A2582">
        <v>2019</v>
      </c>
      <c r="B2582" t="s">
        <v>219</v>
      </c>
      <c r="C2582" t="s">
        <v>267</v>
      </c>
      <c r="D2582" t="s">
        <v>268</v>
      </c>
      <c r="E2582" t="s">
        <v>1</v>
      </c>
      <c r="F2582" t="s">
        <v>209</v>
      </c>
      <c r="G2582" t="s">
        <v>202</v>
      </c>
    </row>
    <row r="2583" spans="1:8" x14ac:dyDescent="0.3">
      <c r="A2583">
        <v>2019</v>
      </c>
      <c r="B2583" t="s">
        <v>219</v>
      </c>
      <c r="C2583" t="s">
        <v>267</v>
      </c>
      <c r="D2583" t="s">
        <v>268</v>
      </c>
      <c r="E2583" t="s">
        <v>203</v>
      </c>
      <c r="F2583" t="s">
        <v>209</v>
      </c>
      <c r="G2583" t="s">
        <v>202</v>
      </c>
    </row>
    <row r="2584" spans="1:8" x14ac:dyDescent="0.3">
      <c r="A2584">
        <v>2019</v>
      </c>
      <c r="B2584" t="s">
        <v>219</v>
      </c>
      <c r="C2584" t="s">
        <v>267</v>
      </c>
      <c r="D2584" t="s">
        <v>268</v>
      </c>
      <c r="E2584" t="s">
        <v>204</v>
      </c>
      <c r="F2584" t="s">
        <v>209</v>
      </c>
      <c r="G2584" t="s">
        <v>202</v>
      </c>
    </row>
    <row r="2585" spans="1:8" x14ac:dyDescent="0.3">
      <c r="A2585">
        <v>2019</v>
      </c>
      <c r="B2585" t="s">
        <v>219</v>
      </c>
      <c r="C2585" t="s">
        <v>267</v>
      </c>
      <c r="D2585" t="s">
        <v>268</v>
      </c>
      <c r="E2585" t="s">
        <v>205</v>
      </c>
      <c r="F2585" t="s">
        <v>209</v>
      </c>
      <c r="G2585" t="s">
        <v>202</v>
      </c>
    </row>
    <row r="2586" spans="1:8" x14ac:dyDescent="0.3">
      <c r="A2586">
        <v>2019</v>
      </c>
      <c r="B2586" t="s">
        <v>219</v>
      </c>
      <c r="C2586" t="s">
        <v>267</v>
      </c>
      <c r="D2586" t="s">
        <v>268</v>
      </c>
      <c r="E2586" t="s">
        <v>206</v>
      </c>
      <c r="F2586" t="s">
        <v>209</v>
      </c>
      <c r="G2586" t="s">
        <v>202</v>
      </c>
    </row>
    <row r="2587" spans="1:8" x14ac:dyDescent="0.3">
      <c r="A2587">
        <v>2019</v>
      </c>
      <c r="B2587" t="s">
        <v>46</v>
      </c>
      <c r="C2587" t="s">
        <v>267</v>
      </c>
      <c r="D2587" t="s">
        <v>268</v>
      </c>
      <c r="E2587" t="s">
        <v>1</v>
      </c>
      <c r="F2587" t="s">
        <v>209</v>
      </c>
      <c r="G2587" t="s">
        <v>202</v>
      </c>
    </row>
    <row r="2588" spans="1:8" x14ac:dyDescent="0.3">
      <c r="A2588">
        <v>2019</v>
      </c>
      <c r="B2588" t="s">
        <v>46</v>
      </c>
      <c r="C2588" t="s">
        <v>267</v>
      </c>
      <c r="D2588" t="s">
        <v>268</v>
      </c>
      <c r="E2588" t="s">
        <v>203</v>
      </c>
      <c r="F2588" t="s">
        <v>209</v>
      </c>
      <c r="G2588" t="s">
        <v>202</v>
      </c>
    </row>
    <row r="2589" spans="1:8" x14ac:dyDescent="0.3">
      <c r="A2589">
        <v>2019</v>
      </c>
      <c r="B2589" t="s">
        <v>46</v>
      </c>
      <c r="C2589" t="s">
        <v>267</v>
      </c>
      <c r="D2589" t="s">
        <v>268</v>
      </c>
      <c r="E2589" t="s">
        <v>204</v>
      </c>
      <c r="F2589" t="s">
        <v>209</v>
      </c>
      <c r="G2589" t="s">
        <v>202</v>
      </c>
    </row>
    <row r="2590" spans="1:8" x14ac:dyDescent="0.3">
      <c r="A2590">
        <v>2019</v>
      </c>
      <c r="B2590" t="s">
        <v>46</v>
      </c>
      <c r="C2590" t="s">
        <v>267</v>
      </c>
      <c r="D2590" t="s">
        <v>268</v>
      </c>
      <c r="E2590" t="s">
        <v>205</v>
      </c>
      <c r="F2590" t="s">
        <v>209</v>
      </c>
      <c r="G2590" t="s">
        <v>202</v>
      </c>
    </row>
    <row r="2591" spans="1:8" x14ac:dyDescent="0.3">
      <c r="A2591">
        <v>2019</v>
      </c>
      <c r="B2591" t="s">
        <v>46</v>
      </c>
      <c r="C2591" t="s">
        <v>267</v>
      </c>
      <c r="D2591" t="s">
        <v>268</v>
      </c>
      <c r="E2591" t="s">
        <v>206</v>
      </c>
      <c r="F2591" t="s">
        <v>209</v>
      </c>
      <c r="G2591" t="s">
        <v>202</v>
      </c>
    </row>
    <row r="2592" spans="1:8" x14ac:dyDescent="0.3">
      <c r="A2592">
        <v>2019</v>
      </c>
      <c r="B2592" t="s">
        <v>29</v>
      </c>
      <c r="C2592" t="s">
        <v>267</v>
      </c>
      <c r="D2592" t="s">
        <v>268</v>
      </c>
      <c r="E2592" t="s">
        <v>1</v>
      </c>
      <c r="F2592" t="s">
        <v>209</v>
      </c>
      <c r="G2592" t="s">
        <v>202</v>
      </c>
      <c r="H2592">
        <v>2</v>
      </c>
    </row>
    <row r="2593" spans="1:8" x14ac:dyDescent="0.3">
      <c r="A2593">
        <v>2019</v>
      </c>
      <c r="B2593" t="s">
        <v>29</v>
      </c>
      <c r="C2593" t="s">
        <v>267</v>
      </c>
      <c r="D2593" t="s">
        <v>268</v>
      </c>
      <c r="E2593" t="s">
        <v>203</v>
      </c>
      <c r="F2593" t="s">
        <v>209</v>
      </c>
      <c r="G2593" t="s">
        <v>202</v>
      </c>
      <c r="H2593">
        <v>0</v>
      </c>
    </row>
    <row r="2594" spans="1:8" x14ac:dyDescent="0.3">
      <c r="A2594">
        <v>2019</v>
      </c>
      <c r="B2594" t="s">
        <v>29</v>
      </c>
      <c r="C2594" t="s">
        <v>267</v>
      </c>
      <c r="D2594" t="s">
        <v>268</v>
      </c>
      <c r="E2594" t="s">
        <v>204</v>
      </c>
      <c r="F2594" t="s">
        <v>209</v>
      </c>
      <c r="G2594" t="s">
        <v>202</v>
      </c>
      <c r="H2594">
        <v>0</v>
      </c>
    </row>
    <row r="2595" spans="1:8" x14ac:dyDescent="0.3">
      <c r="A2595">
        <v>2019</v>
      </c>
      <c r="B2595" t="s">
        <v>29</v>
      </c>
      <c r="C2595" t="s">
        <v>267</v>
      </c>
      <c r="D2595" t="s">
        <v>268</v>
      </c>
      <c r="E2595" t="s">
        <v>205</v>
      </c>
      <c r="F2595" t="s">
        <v>209</v>
      </c>
      <c r="G2595" t="s">
        <v>202</v>
      </c>
      <c r="H2595">
        <v>0</v>
      </c>
    </row>
    <row r="2596" spans="1:8" x14ac:dyDescent="0.3">
      <c r="A2596">
        <v>2019</v>
      </c>
      <c r="B2596" t="s">
        <v>29</v>
      </c>
      <c r="C2596" t="s">
        <v>267</v>
      </c>
      <c r="D2596" t="s">
        <v>268</v>
      </c>
      <c r="E2596" t="s">
        <v>206</v>
      </c>
      <c r="F2596" t="s">
        <v>209</v>
      </c>
      <c r="G2596" t="s">
        <v>202</v>
      </c>
      <c r="H2596">
        <v>21</v>
      </c>
    </row>
    <row r="2597" spans="1:8" x14ac:dyDescent="0.3">
      <c r="A2597">
        <v>2019</v>
      </c>
      <c r="B2597" t="s">
        <v>30</v>
      </c>
      <c r="C2597" t="s">
        <v>267</v>
      </c>
      <c r="D2597" t="s">
        <v>268</v>
      </c>
      <c r="E2597" t="s">
        <v>1</v>
      </c>
      <c r="F2597" t="s">
        <v>209</v>
      </c>
      <c r="G2597" t="s">
        <v>202</v>
      </c>
      <c r="H2597">
        <v>2</v>
      </c>
    </row>
    <row r="2598" spans="1:8" x14ac:dyDescent="0.3">
      <c r="A2598">
        <v>2019</v>
      </c>
      <c r="B2598" t="s">
        <v>30</v>
      </c>
      <c r="C2598" t="s">
        <v>267</v>
      </c>
      <c r="D2598" t="s">
        <v>268</v>
      </c>
      <c r="E2598" t="s">
        <v>203</v>
      </c>
      <c r="F2598" t="s">
        <v>209</v>
      </c>
      <c r="G2598" t="s">
        <v>202</v>
      </c>
      <c r="H2598">
        <v>0</v>
      </c>
    </row>
    <row r="2599" spans="1:8" x14ac:dyDescent="0.3">
      <c r="A2599">
        <v>2019</v>
      </c>
      <c r="B2599" t="s">
        <v>30</v>
      </c>
      <c r="C2599" t="s">
        <v>267</v>
      </c>
      <c r="D2599" t="s">
        <v>268</v>
      </c>
      <c r="E2599" t="s">
        <v>204</v>
      </c>
      <c r="F2599" t="s">
        <v>209</v>
      </c>
      <c r="G2599" t="s">
        <v>202</v>
      </c>
      <c r="H2599">
        <v>0</v>
      </c>
    </row>
    <row r="2600" spans="1:8" x14ac:dyDescent="0.3">
      <c r="A2600">
        <v>2019</v>
      </c>
      <c r="B2600" t="s">
        <v>30</v>
      </c>
      <c r="C2600" t="s">
        <v>267</v>
      </c>
      <c r="D2600" t="s">
        <v>268</v>
      </c>
      <c r="E2600" t="s">
        <v>205</v>
      </c>
      <c r="F2600" t="s">
        <v>209</v>
      </c>
      <c r="G2600" t="s">
        <v>202</v>
      </c>
      <c r="H2600">
        <v>0</v>
      </c>
    </row>
    <row r="2601" spans="1:8" x14ac:dyDescent="0.3">
      <c r="A2601">
        <v>2019</v>
      </c>
      <c r="B2601" t="s">
        <v>30</v>
      </c>
      <c r="C2601" t="s">
        <v>267</v>
      </c>
      <c r="D2601" t="s">
        <v>268</v>
      </c>
      <c r="E2601" t="s">
        <v>206</v>
      </c>
      <c r="F2601" t="s">
        <v>209</v>
      </c>
      <c r="G2601" t="s">
        <v>202</v>
      </c>
      <c r="H2601">
        <v>8</v>
      </c>
    </row>
    <row r="2602" spans="1:8" x14ac:dyDescent="0.3">
      <c r="A2602">
        <v>2019</v>
      </c>
      <c r="B2602" t="s">
        <v>31</v>
      </c>
      <c r="C2602" t="s">
        <v>267</v>
      </c>
      <c r="D2602" t="s">
        <v>268</v>
      </c>
      <c r="E2602" t="s">
        <v>1</v>
      </c>
      <c r="F2602" t="s">
        <v>209</v>
      </c>
      <c r="G2602" t="s">
        <v>202</v>
      </c>
      <c r="H2602">
        <v>2</v>
      </c>
    </row>
    <row r="2603" spans="1:8" x14ac:dyDescent="0.3">
      <c r="A2603">
        <v>2019</v>
      </c>
      <c r="B2603" t="s">
        <v>31</v>
      </c>
      <c r="C2603" t="s">
        <v>267</v>
      </c>
      <c r="D2603" t="s">
        <v>268</v>
      </c>
      <c r="E2603" t="s">
        <v>203</v>
      </c>
      <c r="F2603" t="s">
        <v>209</v>
      </c>
      <c r="G2603" t="s">
        <v>202</v>
      </c>
      <c r="H2603">
        <v>0</v>
      </c>
    </row>
    <row r="2604" spans="1:8" x14ac:dyDescent="0.3">
      <c r="A2604">
        <v>2019</v>
      </c>
      <c r="B2604" t="s">
        <v>31</v>
      </c>
      <c r="C2604" t="s">
        <v>267</v>
      </c>
      <c r="D2604" t="s">
        <v>268</v>
      </c>
      <c r="E2604" t="s">
        <v>204</v>
      </c>
      <c r="F2604" t="s">
        <v>209</v>
      </c>
      <c r="G2604" t="s">
        <v>202</v>
      </c>
      <c r="H2604">
        <v>0</v>
      </c>
    </row>
    <row r="2605" spans="1:8" x14ac:dyDescent="0.3">
      <c r="A2605">
        <v>2019</v>
      </c>
      <c r="B2605" t="s">
        <v>31</v>
      </c>
      <c r="C2605" t="s">
        <v>267</v>
      </c>
      <c r="D2605" t="s">
        <v>268</v>
      </c>
      <c r="E2605" t="s">
        <v>205</v>
      </c>
      <c r="F2605" t="s">
        <v>209</v>
      </c>
      <c r="G2605" t="s">
        <v>202</v>
      </c>
      <c r="H2605">
        <v>0</v>
      </c>
    </row>
    <row r="2606" spans="1:8" x14ac:dyDescent="0.3">
      <c r="A2606">
        <v>2019</v>
      </c>
      <c r="B2606" t="s">
        <v>31</v>
      </c>
      <c r="C2606" t="s">
        <v>267</v>
      </c>
      <c r="D2606" t="s">
        <v>268</v>
      </c>
      <c r="E2606" t="s">
        <v>206</v>
      </c>
      <c r="F2606" t="s">
        <v>209</v>
      </c>
      <c r="G2606" t="s">
        <v>202</v>
      </c>
      <c r="H2606">
        <v>0</v>
      </c>
    </row>
    <row r="2607" spans="1:8" x14ac:dyDescent="0.3">
      <c r="A2607">
        <v>2019</v>
      </c>
      <c r="B2607" t="s">
        <v>32</v>
      </c>
      <c r="C2607" t="s">
        <v>267</v>
      </c>
      <c r="D2607" t="s">
        <v>268</v>
      </c>
      <c r="E2607" t="s">
        <v>1</v>
      </c>
      <c r="F2607" t="s">
        <v>209</v>
      </c>
      <c r="G2607" t="s">
        <v>202</v>
      </c>
      <c r="H2607">
        <v>3</v>
      </c>
    </row>
    <row r="2608" spans="1:8" x14ac:dyDescent="0.3">
      <c r="A2608">
        <v>2019</v>
      </c>
      <c r="B2608" t="s">
        <v>32</v>
      </c>
      <c r="C2608" t="s">
        <v>267</v>
      </c>
      <c r="D2608" t="s">
        <v>268</v>
      </c>
      <c r="E2608" t="s">
        <v>203</v>
      </c>
      <c r="F2608" t="s">
        <v>209</v>
      </c>
      <c r="G2608" t="s">
        <v>202</v>
      </c>
    </row>
    <row r="2609" spans="1:8" x14ac:dyDescent="0.3">
      <c r="A2609">
        <v>2019</v>
      </c>
      <c r="B2609" t="s">
        <v>32</v>
      </c>
      <c r="C2609" t="s">
        <v>267</v>
      </c>
      <c r="D2609" t="s">
        <v>268</v>
      </c>
      <c r="E2609" t="s">
        <v>204</v>
      </c>
      <c r="F2609" t="s">
        <v>209</v>
      </c>
      <c r="G2609" t="s">
        <v>202</v>
      </c>
    </row>
    <row r="2610" spans="1:8" x14ac:dyDescent="0.3">
      <c r="A2610">
        <v>2019</v>
      </c>
      <c r="B2610" t="s">
        <v>32</v>
      </c>
      <c r="C2610" t="s">
        <v>267</v>
      </c>
      <c r="D2610" t="s">
        <v>268</v>
      </c>
      <c r="E2610" t="s">
        <v>205</v>
      </c>
      <c r="F2610" t="s">
        <v>209</v>
      </c>
      <c r="G2610" t="s">
        <v>202</v>
      </c>
    </row>
    <row r="2611" spans="1:8" x14ac:dyDescent="0.3">
      <c r="A2611">
        <v>2019</v>
      </c>
      <c r="B2611" t="s">
        <v>32</v>
      </c>
      <c r="C2611" t="s">
        <v>267</v>
      </c>
      <c r="D2611" t="s">
        <v>268</v>
      </c>
      <c r="E2611" t="s">
        <v>206</v>
      </c>
      <c r="F2611" t="s">
        <v>209</v>
      </c>
      <c r="G2611" t="s">
        <v>202</v>
      </c>
    </row>
    <row r="2612" spans="1:8" x14ac:dyDescent="0.3">
      <c r="A2612">
        <v>2019</v>
      </c>
      <c r="B2612" t="s">
        <v>49</v>
      </c>
      <c r="C2612" t="s">
        <v>267</v>
      </c>
      <c r="D2612" t="s">
        <v>268</v>
      </c>
      <c r="E2612" t="s">
        <v>1</v>
      </c>
      <c r="F2612" t="s">
        <v>209</v>
      </c>
      <c r="G2612" t="s">
        <v>202</v>
      </c>
      <c r="H2612">
        <v>0</v>
      </c>
    </row>
    <row r="2613" spans="1:8" x14ac:dyDescent="0.3">
      <c r="A2613">
        <v>2019</v>
      </c>
      <c r="B2613" t="s">
        <v>49</v>
      </c>
      <c r="C2613" t="s">
        <v>267</v>
      </c>
      <c r="D2613" t="s">
        <v>268</v>
      </c>
      <c r="E2613" t="s">
        <v>203</v>
      </c>
      <c r="F2613" t="s">
        <v>209</v>
      </c>
      <c r="G2613" t="s">
        <v>202</v>
      </c>
      <c r="H2613">
        <v>0</v>
      </c>
    </row>
    <row r="2614" spans="1:8" x14ac:dyDescent="0.3">
      <c r="A2614">
        <v>2019</v>
      </c>
      <c r="B2614" t="s">
        <v>49</v>
      </c>
      <c r="C2614" t="s">
        <v>267</v>
      </c>
      <c r="D2614" t="s">
        <v>268</v>
      </c>
      <c r="E2614" t="s">
        <v>204</v>
      </c>
      <c r="F2614" t="s">
        <v>209</v>
      </c>
      <c r="G2614" t="s">
        <v>202</v>
      </c>
      <c r="H2614">
        <v>0</v>
      </c>
    </row>
    <row r="2615" spans="1:8" x14ac:dyDescent="0.3">
      <c r="A2615">
        <v>2019</v>
      </c>
      <c r="B2615" t="s">
        <v>49</v>
      </c>
      <c r="C2615" t="s">
        <v>267</v>
      </c>
      <c r="D2615" t="s">
        <v>268</v>
      </c>
      <c r="E2615" t="s">
        <v>205</v>
      </c>
      <c r="F2615" t="s">
        <v>209</v>
      </c>
      <c r="G2615" t="s">
        <v>202</v>
      </c>
      <c r="H2615">
        <v>0</v>
      </c>
    </row>
    <row r="2616" spans="1:8" x14ac:dyDescent="0.3">
      <c r="A2616">
        <v>2019</v>
      </c>
      <c r="B2616" t="s">
        <v>49</v>
      </c>
      <c r="C2616" t="s">
        <v>267</v>
      </c>
      <c r="D2616" t="s">
        <v>268</v>
      </c>
      <c r="E2616" t="s">
        <v>206</v>
      </c>
      <c r="F2616" t="s">
        <v>209</v>
      </c>
      <c r="G2616" t="s">
        <v>202</v>
      </c>
      <c r="H2616">
        <v>0</v>
      </c>
    </row>
    <row r="2617" spans="1:8" x14ac:dyDescent="0.3">
      <c r="A2617">
        <v>2019</v>
      </c>
      <c r="B2617" t="s">
        <v>33</v>
      </c>
      <c r="C2617" t="s">
        <v>267</v>
      </c>
      <c r="D2617" t="s">
        <v>268</v>
      </c>
      <c r="E2617" t="s">
        <v>1</v>
      </c>
      <c r="F2617" t="s">
        <v>209</v>
      </c>
      <c r="G2617" t="s">
        <v>202</v>
      </c>
      <c r="H2617">
        <v>3</v>
      </c>
    </row>
    <row r="2618" spans="1:8" x14ac:dyDescent="0.3">
      <c r="A2618">
        <v>2019</v>
      </c>
      <c r="B2618" t="s">
        <v>33</v>
      </c>
      <c r="C2618" t="s">
        <v>267</v>
      </c>
      <c r="D2618" t="s">
        <v>268</v>
      </c>
      <c r="E2618" t="s">
        <v>203</v>
      </c>
      <c r="F2618" t="s">
        <v>209</v>
      </c>
      <c r="G2618" t="s">
        <v>202</v>
      </c>
      <c r="H2618">
        <v>0</v>
      </c>
    </row>
    <row r="2619" spans="1:8" x14ac:dyDescent="0.3">
      <c r="A2619">
        <v>2019</v>
      </c>
      <c r="B2619" t="s">
        <v>33</v>
      </c>
      <c r="C2619" t="s">
        <v>267</v>
      </c>
      <c r="D2619" t="s">
        <v>268</v>
      </c>
      <c r="E2619" t="s">
        <v>204</v>
      </c>
      <c r="F2619" t="s">
        <v>209</v>
      </c>
      <c r="G2619" t="s">
        <v>202</v>
      </c>
      <c r="H2619">
        <v>0</v>
      </c>
    </row>
    <row r="2620" spans="1:8" x14ac:dyDescent="0.3">
      <c r="A2620">
        <v>2019</v>
      </c>
      <c r="B2620" t="s">
        <v>33</v>
      </c>
      <c r="C2620" t="s">
        <v>267</v>
      </c>
      <c r="D2620" t="s">
        <v>268</v>
      </c>
      <c r="E2620" t="s">
        <v>205</v>
      </c>
      <c r="F2620" t="s">
        <v>209</v>
      </c>
      <c r="G2620" t="s">
        <v>202</v>
      </c>
      <c r="H2620">
        <v>0</v>
      </c>
    </row>
    <row r="2621" spans="1:8" x14ac:dyDescent="0.3">
      <c r="A2621">
        <v>2019</v>
      </c>
      <c r="B2621" t="s">
        <v>33</v>
      </c>
      <c r="C2621" t="s">
        <v>267</v>
      </c>
      <c r="D2621" t="s">
        <v>268</v>
      </c>
      <c r="E2621" t="s">
        <v>206</v>
      </c>
      <c r="F2621" t="s">
        <v>209</v>
      </c>
      <c r="G2621" t="s">
        <v>202</v>
      </c>
      <c r="H2621">
        <v>0</v>
      </c>
    </row>
    <row r="2622" spans="1:8" x14ac:dyDescent="0.3">
      <c r="A2622">
        <v>2019</v>
      </c>
      <c r="B2622" t="s">
        <v>34</v>
      </c>
      <c r="C2622" t="s">
        <v>267</v>
      </c>
      <c r="D2622" t="s">
        <v>268</v>
      </c>
      <c r="E2622" t="s">
        <v>1</v>
      </c>
      <c r="F2622" t="s">
        <v>209</v>
      </c>
      <c r="G2622" t="s">
        <v>202</v>
      </c>
      <c r="H2622">
        <v>1</v>
      </c>
    </row>
    <row r="2623" spans="1:8" x14ac:dyDescent="0.3">
      <c r="A2623">
        <v>2019</v>
      </c>
      <c r="B2623" t="s">
        <v>34</v>
      </c>
      <c r="C2623" t="s">
        <v>267</v>
      </c>
      <c r="D2623" t="s">
        <v>268</v>
      </c>
      <c r="E2623" t="s">
        <v>203</v>
      </c>
      <c r="F2623" t="s">
        <v>209</v>
      </c>
      <c r="G2623" t="s">
        <v>202</v>
      </c>
      <c r="H2623">
        <v>0</v>
      </c>
    </row>
    <row r="2624" spans="1:8" x14ac:dyDescent="0.3">
      <c r="A2624">
        <v>2019</v>
      </c>
      <c r="B2624" t="s">
        <v>34</v>
      </c>
      <c r="C2624" t="s">
        <v>267</v>
      </c>
      <c r="D2624" t="s">
        <v>268</v>
      </c>
      <c r="E2624" t="s">
        <v>204</v>
      </c>
      <c r="F2624" t="s">
        <v>209</v>
      </c>
      <c r="G2624" t="s">
        <v>202</v>
      </c>
      <c r="H2624">
        <v>0</v>
      </c>
    </row>
    <row r="2625" spans="1:8" x14ac:dyDescent="0.3">
      <c r="A2625">
        <v>2019</v>
      </c>
      <c r="B2625" t="s">
        <v>34</v>
      </c>
      <c r="C2625" t="s">
        <v>267</v>
      </c>
      <c r="D2625" t="s">
        <v>268</v>
      </c>
      <c r="E2625" t="s">
        <v>205</v>
      </c>
      <c r="F2625" t="s">
        <v>209</v>
      </c>
      <c r="G2625" t="s">
        <v>202</v>
      </c>
      <c r="H2625">
        <v>0</v>
      </c>
    </row>
    <row r="2626" spans="1:8" x14ac:dyDescent="0.3">
      <c r="A2626">
        <v>2019</v>
      </c>
      <c r="B2626" t="s">
        <v>34</v>
      </c>
      <c r="C2626" t="s">
        <v>267</v>
      </c>
      <c r="D2626" t="s">
        <v>268</v>
      </c>
      <c r="E2626" t="s">
        <v>206</v>
      </c>
      <c r="F2626" t="s">
        <v>209</v>
      </c>
      <c r="G2626" t="s">
        <v>202</v>
      </c>
      <c r="H2626">
        <v>0</v>
      </c>
    </row>
    <row r="2627" spans="1:8" x14ac:dyDescent="0.3">
      <c r="A2627">
        <v>2019</v>
      </c>
      <c r="B2627" t="s">
        <v>35</v>
      </c>
      <c r="C2627" t="s">
        <v>267</v>
      </c>
      <c r="D2627" t="s">
        <v>268</v>
      </c>
      <c r="E2627" t="s">
        <v>1</v>
      </c>
      <c r="F2627" t="s">
        <v>209</v>
      </c>
      <c r="G2627" t="s">
        <v>202</v>
      </c>
      <c r="H2627">
        <v>2</v>
      </c>
    </row>
    <row r="2628" spans="1:8" x14ac:dyDescent="0.3">
      <c r="A2628">
        <v>2019</v>
      </c>
      <c r="B2628" t="s">
        <v>35</v>
      </c>
      <c r="C2628" t="s">
        <v>267</v>
      </c>
      <c r="D2628" t="s">
        <v>268</v>
      </c>
      <c r="E2628" t="s">
        <v>203</v>
      </c>
      <c r="F2628" t="s">
        <v>209</v>
      </c>
      <c r="G2628" t="s">
        <v>202</v>
      </c>
      <c r="H2628">
        <v>0</v>
      </c>
    </row>
    <row r="2629" spans="1:8" x14ac:dyDescent="0.3">
      <c r="A2629">
        <v>2019</v>
      </c>
      <c r="B2629" t="s">
        <v>35</v>
      </c>
      <c r="C2629" t="s">
        <v>267</v>
      </c>
      <c r="D2629" t="s">
        <v>268</v>
      </c>
      <c r="E2629" t="s">
        <v>204</v>
      </c>
      <c r="F2629" t="s">
        <v>209</v>
      </c>
      <c r="G2629" t="s">
        <v>202</v>
      </c>
      <c r="H2629">
        <v>0</v>
      </c>
    </row>
    <row r="2630" spans="1:8" x14ac:dyDescent="0.3">
      <c r="A2630">
        <v>2019</v>
      </c>
      <c r="B2630" t="s">
        <v>35</v>
      </c>
      <c r="C2630" t="s">
        <v>267</v>
      </c>
      <c r="D2630" t="s">
        <v>268</v>
      </c>
      <c r="E2630" t="s">
        <v>205</v>
      </c>
      <c r="F2630" t="s">
        <v>209</v>
      </c>
      <c r="G2630" t="s">
        <v>202</v>
      </c>
      <c r="H2630">
        <v>0</v>
      </c>
    </row>
    <row r="2631" spans="1:8" x14ac:dyDescent="0.3">
      <c r="A2631">
        <v>2019</v>
      </c>
      <c r="B2631" t="s">
        <v>35</v>
      </c>
      <c r="C2631" t="s">
        <v>267</v>
      </c>
      <c r="D2631" t="s">
        <v>268</v>
      </c>
      <c r="E2631" t="s">
        <v>206</v>
      </c>
      <c r="F2631" t="s">
        <v>209</v>
      </c>
      <c r="G2631" t="s">
        <v>202</v>
      </c>
    </row>
    <row r="2632" spans="1:8" x14ac:dyDescent="0.3">
      <c r="A2632">
        <v>2019</v>
      </c>
      <c r="B2632" t="s">
        <v>36</v>
      </c>
      <c r="C2632" t="s">
        <v>267</v>
      </c>
      <c r="D2632" t="s">
        <v>268</v>
      </c>
      <c r="E2632" t="s">
        <v>1</v>
      </c>
      <c r="F2632" t="s">
        <v>209</v>
      </c>
      <c r="G2632" t="s">
        <v>202</v>
      </c>
      <c r="H2632">
        <v>3</v>
      </c>
    </row>
    <row r="2633" spans="1:8" x14ac:dyDescent="0.3">
      <c r="A2633">
        <v>2019</v>
      </c>
      <c r="B2633" t="s">
        <v>36</v>
      </c>
      <c r="C2633" t="s">
        <v>267</v>
      </c>
      <c r="D2633" t="s">
        <v>268</v>
      </c>
      <c r="E2633" t="s">
        <v>203</v>
      </c>
      <c r="F2633" t="s">
        <v>209</v>
      </c>
      <c r="G2633" t="s">
        <v>202</v>
      </c>
      <c r="H2633">
        <v>0</v>
      </c>
    </row>
    <row r="2634" spans="1:8" x14ac:dyDescent="0.3">
      <c r="A2634">
        <v>2019</v>
      </c>
      <c r="B2634" t="s">
        <v>36</v>
      </c>
      <c r="C2634" t="s">
        <v>267</v>
      </c>
      <c r="D2634" t="s">
        <v>268</v>
      </c>
      <c r="E2634" t="s">
        <v>204</v>
      </c>
      <c r="F2634" t="s">
        <v>209</v>
      </c>
      <c r="G2634" t="s">
        <v>202</v>
      </c>
      <c r="H2634">
        <v>0</v>
      </c>
    </row>
    <row r="2635" spans="1:8" x14ac:dyDescent="0.3">
      <c r="A2635">
        <v>2019</v>
      </c>
      <c r="B2635" t="s">
        <v>36</v>
      </c>
      <c r="C2635" t="s">
        <v>267</v>
      </c>
      <c r="D2635" t="s">
        <v>268</v>
      </c>
      <c r="E2635" t="s">
        <v>205</v>
      </c>
      <c r="F2635" t="s">
        <v>209</v>
      </c>
      <c r="G2635" t="s">
        <v>202</v>
      </c>
      <c r="H2635">
        <v>0</v>
      </c>
    </row>
    <row r="2636" spans="1:8" x14ac:dyDescent="0.3">
      <c r="A2636">
        <v>2019</v>
      </c>
      <c r="B2636" t="s">
        <v>36</v>
      </c>
      <c r="C2636" t="s">
        <v>267</v>
      </c>
      <c r="D2636" t="s">
        <v>268</v>
      </c>
      <c r="E2636" t="s">
        <v>206</v>
      </c>
      <c r="F2636" t="s">
        <v>209</v>
      </c>
      <c r="G2636" t="s">
        <v>202</v>
      </c>
      <c r="H2636">
        <v>0</v>
      </c>
    </row>
    <row r="2637" spans="1:8" x14ac:dyDescent="0.3">
      <c r="A2637">
        <v>2019</v>
      </c>
      <c r="B2637" t="s">
        <v>37</v>
      </c>
      <c r="C2637" t="s">
        <v>267</v>
      </c>
      <c r="D2637" t="s">
        <v>268</v>
      </c>
      <c r="E2637" t="s">
        <v>1</v>
      </c>
      <c r="F2637" t="s">
        <v>209</v>
      </c>
      <c r="G2637" t="s">
        <v>202</v>
      </c>
      <c r="H2637">
        <v>1</v>
      </c>
    </row>
    <row r="2638" spans="1:8" x14ac:dyDescent="0.3">
      <c r="A2638">
        <v>2019</v>
      </c>
      <c r="B2638" t="s">
        <v>37</v>
      </c>
      <c r="C2638" t="s">
        <v>267</v>
      </c>
      <c r="D2638" t="s">
        <v>268</v>
      </c>
      <c r="E2638" t="s">
        <v>203</v>
      </c>
      <c r="F2638" t="s">
        <v>209</v>
      </c>
      <c r="G2638" t="s">
        <v>202</v>
      </c>
      <c r="H2638">
        <v>0</v>
      </c>
    </row>
    <row r="2639" spans="1:8" x14ac:dyDescent="0.3">
      <c r="A2639">
        <v>2019</v>
      </c>
      <c r="B2639" t="s">
        <v>37</v>
      </c>
      <c r="C2639" t="s">
        <v>267</v>
      </c>
      <c r="D2639" t="s">
        <v>268</v>
      </c>
      <c r="E2639" t="s">
        <v>204</v>
      </c>
      <c r="F2639" t="s">
        <v>209</v>
      </c>
      <c r="G2639" t="s">
        <v>202</v>
      </c>
      <c r="H2639">
        <v>0</v>
      </c>
    </row>
    <row r="2640" spans="1:8" x14ac:dyDescent="0.3">
      <c r="A2640">
        <v>2019</v>
      </c>
      <c r="B2640" t="s">
        <v>37</v>
      </c>
      <c r="C2640" t="s">
        <v>267</v>
      </c>
      <c r="D2640" t="s">
        <v>268</v>
      </c>
      <c r="E2640" t="s">
        <v>205</v>
      </c>
      <c r="F2640" t="s">
        <v>209</v>
      </c>
      <c r="G2640" t="s">
        <v>202</v>
      </c>
      <c r="H2640">
        <v>0</v>
      </c>
    </row>
    <row r="2641" spans="1:8" x14ac:dyDescent="0.3">
      <c r="A2641">
        <v>2019</v>
      </c>
      <c r="B2641" t="s">
        <v>37</v>
      </c>
      <c r="C2641" t="s">
        <v>267</v>
      </c>
      <c r="D2641" t="s">
        <v>268</v>
      </c>
      <c r="E2641" t="s">
        <v>206</v>
      </c>
      <c r="F2641" t="s">
        <v>209</v>
      </c>
      <c r="G2641" t="s">
        <v>202</v>
      </c>
      <c r="H2641">
        <v>0</v>
      </c>
    </row>
    <row r="2642" spans="1:8" x14ac:dyDescent="0.3">
      <c r="A2642">
        <v>2019</v>
      </c>
      <c r="B2642" t="s">
        <v>38</v>
      </c>
      <c r="C2642" t="s">
        <v>267</v>
      </c>
      <c r="D2642" t="s">
        <v>268</v>
      </c>
      <c r="E2642" t="s">
        <v>1</v>
      </c>
      <c r="F2642" t="s">
        <v>209</v>
      </c>
      <c r="G2642" t="s">
        <v>202</v>
      </c>
      <c r="H2642">
        <v>1</v>
      </c>
    </row>
    <row r="2643" spans="1:8" x14ac:dyDescent="0.3">
      <c r="A2643">
        <v>2019</v>
      </c>
      <c r="B2643" t="s">
        <v>38</v>
      </c>
      <c r="C2643" t="s">
        <v>267</v>
      </c>
      <c r="D2643" t="s">
        <v>268</v>
      </c>
      <c r="E2643" t="s">
        <v>203</v>
      </c>
      <c r="F2643" t="s">
        <v>209</v>
      </c>
      <c r="G2643" t="s">
        <v>202</v>
      </c>
      <c r="H2643">
        <v>0</v>
      </c>
    </row>
    <row r="2644" spans="1:8" x14ac:dyDescent="0.3">
      <c r="A2644">
        <v>2019</v>
      </c>
      <c r="B2644" t="s">
        <v>38</v>
      </c>
      <c r="C2644" t="s">
        <v>267</v>
      </c>
      <c r="D2644" t="s">
        <v>268</v>
      </c>
      <c r="E2644" t="s">
        <v>204</v>
      </c>
      <c r="F2644" t="s">
        <v>209</v>
      </c>
      <c r="G2644" t="s">
        <v>202</v>
      </c>
      <c r="H2644">
        <v>0</v>
      </c>
    </row>
    <row r="2645" spans="1:8" x14ac:dyDescent="0.3">
      <c r="A2645">
        <v>2019</v>
      </c>
      <c r="B2645" t="s">
        <v>38</v>
      </c>
      <c r="C2645" t="s">
        <v>267</v>
      </c>
      <c r="D2645" t="s">
        <v>268</v>
      </c>
      <c r="E2645" t="s">
        <v>205</v>
      </c>
      <c r="F2645" t="s">
        <v>209</v>
      </c>
      <c r="G2645" t="s">
        <v>202</v>
      </c>
      <c r="H2645">
        <v>0</v>
      </c>
    </row>
    <row r="2646" spans="1:8" x14ac:dyDescent="0.3">
      <c r="A2646">
        <v>2019</v>
      </c>
      <c r="B2646" t="s">
        <v>38</v>
      </c>
      <c r="C2646" t="s">
        <v>267</v>
      </c>
      <c r="D2646" t="s">
        <v>268</v>
      </c>
      <c r="E2646" t="s">
        <v>206</v>
      </c>
      <c r="F2646" t="s">
        <v>209</v>
      </c>
      <c r="G2646" t="s">
        <v>202</v>
      </c>
      <c r="H2646">
        <v>0</v>
      </c>
    </row>
    <row r="2647" spans="1:8" x14ac:dyDescent="0.3">
      <c r="A2647">
        <v>2019</v>
      </c>
      <c r="B2647" t="s">
        <v>39</v>
      </c>
      <c r="C2647" t="s">
        <v>267</v>
      </c>
      <c r="D2647" t="s">
        <v>268</v>
      </c>
      <c r="E2647" t="s">
        <v>1</v>
      </c>
      <c r="F2647" t="s">
        <v>209</v>
      </c>
      <c r="G2647" t="s">
        <v>202</v>
      </c>
      <c r="H2647">
        <v>8</v>
      </c>
    </row>
    <row r="2648" spans="1:8" x14ac:dyDescent="0.3">
      <c r="A2648">
        <v>2019</v>
      </c>
      <c r="B2648" t="s">
        <v>39</v>
      </c>
      <c r="C2648" t="s">
        <v>267</v>
      </c>
      <c r="D2648" t="s">
        <v>268</v>
      </c>
      <c r="E2648" t="s">
        <v>203</v>
      </c>
      <c r="F2648" t="s">
        <v>209</v>
      </c>
      <c r="G2648" t="s">
        <v>202</v>
      </c>
      <c r="H2648">
        <v>0</v>
      </c>
    </row>
    <row r="2649" spans="1:8" x14ac:dyDescent="0.3">
      <c r="A2649">
        <v>2019</v>
      </c>
      <c r="B2649" t="s">
        <v>39</v>
      </c>
      <c r="C2649" t="s">
        <v>267</v>
      </c>
      <c r="D2649" t="s">
        <v>268</v>
      </c>
      <c r="E2649" t="s">
        <v>204</v>
      </c>
      <c r="F2649" t="s">
        <v>209</v>
      </c>
      <c r="G2649" t="s">
        <v>202</v>
      </c>
      <c r="H2649">
        <v>0</v>
      </c>
    </row>
    <row r="2650" spans="1:8" x14ac:dyDescent="0.3">
      <c r="A2650">
        <v>2019</v>
      </c>
      <c r="B2650" t="s">
        <v>39</v>
      </c>
      <c r="C2650" t="s">
        <v>267</v>
      </c>
      <c r="D2650" t="s">
        <v>268</v>
      </c>
      <c r="E2650" t="s">
        <v>205</v>
      </c>
      <c r="F2650" t="s">
        <v>209</v>
      </c>
      <c r="G2650" t="s">
        <v>202</v>
      </c>
      <c r="H2650">
        <v>0</v>
      </c>
    </row>
    <row r="2651" spans="1:8" x14ac:dyDescent="0.3">
      <c r="A2651">
        <v>2019</v>
      </c>
      <c r="B2651" t="s">
        <v>39</v>
      </c>
      <c r="C2651" t="s">
        <v>267</v>
      </c>
      <c r="D2651" t="s">
        <v>268</v>
      </c>
      <c r="E2651" t="s">
        <v>206</v>
      </c>
      <c r="F2651" t="s">
        <v>209</v>
      </c>
      <c r="G2651" t="s">
        <v>202</v>
      </c>
      <c r="H2651">
        <v>0</v>
      </c>
    </row>
    <row r="2652" spans="1:8" x14ac:dyDescent="0.3">
      <c r="A2652">
        <v>2019</v>
      </c>
      <c r="B2652" t="s">
        <v>50</v>
      </c>
      <c r="C2652" t="s">
        <v>267</v>
      </c>
      <c r="D2652" t="s">
        <v>268</v>
      </c>
      <c r="E2652" t="s">
        <v>1</v>
      </c>
      <c r="F2652" t="s">
        <v>209</v>
      </c>
      <c r="G2652" t="s">
        <v>202</v>
      </c>
      <c r="H2652">
        <v>0</v>
      </c>
    </row>
    <row r="2653" spans="1:8" x14ac:dyDescent="0.3">
      <c r="A2653">
        <v>2019</v>
      </c>
      <c r="B2653" t="s">
        <v>50</v>
      </c>
      <c r="C2653" t="s">
        <v>267</v>
      </c>
      <c r="D2653" t="s">
        <v>268</v>
      </c>
      <c r="E2653" t="s">
        <v>203</v>
      </c>
      <c r="F2653" t="s">
        <v>209</v>
      </c>
      <c r="G2653" t="s">
        <v>202</v>
      </c>
      <c r="H2653">
        <v>0</v>
      </c>
    </row>
    <row r="2654" spans="1:8" x14ac:dyDescent="0.3">
      <c r="A2654">
        <v>2019</v>
      </c>
      <c r="B2654" t="s">
        <v>50</v>
      </c>
      <c r="C2654" t="s">
        <v>267</v>
      </c>
      <c r="D2654" t="s">
        <v>268</v>
      </c>
      <c r="E2654" t="s">
        <v>204</v>
      </c>
      <c r="F2654" t="s">
        <v>209</v>
      </c>
      <c r="G2654" t="s">
        <v>202</v>
      </c>
      <c r="H2654">
        <v>0</v>
      </c>
    </row>
    <row r="2655" spans="1:8" x14ac:dyDescent="0.3">
      <c r="A2655">
        <v>2019</v>
      </c>
      <c r="B2655" t="s">
        <v>50</v>
      </c>
      <c r="C2655" t="s">
        <v>267</v>
      </c>
      <c r="D2655" t="s">
        <v>268</v>
      </c>
      <c r="E2655" t="s">
        <v>205</v>
      </c>
      <c r="F2655" t="s">
        <v>209</v>
      </c>
      <c r="G2655" t="s">
        <v>202</v>
      </c>
      <c r="H2655">
        <v>0</v>
      </c>
    </row>
    <row r="2656" spans="1:8" x14ac:dyDescent="0.3">
      <c r="A2656">
        <v>2019</v>
      </c>
      <c r="B2656" t="s">
        <v>50</v>
      </c>
      <c r="C2656" t="s">
        <v>267</v>
      </c>
      <c r="D2656" t="s">
        <v>268</v>
      </c>
      <c r="E2656" t="s">
        <v>206</v>
      </c>
      <c r="F2656" t="s">
        <v>209</v>
      </c>
      <c r="G2656" t="s">
        <v>202</v>
      </c>
      <c r="H2656">
        <v>0</v>
      </c>
    </row>
    <row r="2657" spans="1:8" x14ac:dyDescent="0.3">
      <c r="A2657">
        <v>2019</v>
      </c>
      <c r="B2657" t="s">
        <v>40</v>
      </c>
      <c r="C2657" t="s">
        <v>267</v>
      </c>
      <c r="D2657" t="s">
        <v>268</v>
      </c>
      <c r="E2657" t="s">
        <v>1</v>
      </c>
      <c r="F2657" t="s">
        <v>209</v>
      </c>
      <c r="G2657" t="s">
        <v>202</v>
      </c>
      <c r="H2657">
        <v>5</v>
      </c>
    </row>
    <row r="2658" spans="1:8" x14ac:dyDescent="0.3">
      <c r="A2658">
        <v>2019</v>
      </c>
      <c r="B2658" t="s">
        <v>40</v>
      </c>
      <c r="C2658" t="s">
        <v>267</v>
      </c>
      <c r="D2658" t="s">
        <v>268</v>
      </c>
      <c r="E2658" t="s">
        <v>203</v>
      </c>
      <c r="F2658" t="s">
        <v>209</v>
      </c>
      <c r="G2658" t="s">
        <v>202</v>
      </c>
      <c r="H2658">
        <v>0</v>
      </c>
    </row>
    <row r="2659" spans="1:8" x14ac:dyDescent="0.3">
      <c r="A2659">
        <v>2019</v>
      </c>
      <c r="B2659" t="s">
        <v>40</v>
      </c>
      <c r="C2659" t="s">
        <v>267</v>
      </c>
      <c r="D2659" t="s">
        <v>268</v>
      </c>
      <c r="E2659" t="s">
        <v>204</v>
      </c>
      <c r="F2659" t="s">
        <v>209</v>
      </c>
      <c r="G2659" t="s">
        <v>202</v>
      </c>
      <c r="H2659">
        <v>0</v>
      </c>
    </row>
    <row r="2660" spans="1:8" x14ac:dyDescent="0.3">
      <c r="A2660">
        <v>2019</v>
      </c>
      <c r="B2660" t="s">
        <v>40</v>
      </c>
      <c r="C2660" t="s">
        <v>267</v>
      </c>
      <c r="D2660" t="s">
        <v>268</v>
      </c>
      <c r="E2660" t="s">
        <v>205</v>
      </c>
      <c r="F2660" t="s">
        <v>209</v>
      </c>
      <c r="G2660" t="s">
        <v>202</v>
      </c>
      <c r="H2660">
        <v>0</v>
      </c>
    </row>
    <row r="2661" spans="1:8" x14ac:dyDescent="0.3">
      <c r="A2661">
        <v>2019</v>
      </c>
      <c r="B2661" t="s">
        <v>40</v>
      </c>
      <c r="C2661" t="s">
        <v>267</v>
      </c>
      <c r="D2661" t="s">
        <v>268</v>
      </c>
      <c r="E2661" t="s">
        <v>206</v>
      </c>
      <c r="F2661" t="s">
        <v>209</v>
      </c>
      <c r="G2661" t="s">
        <v>202</v>
      </c>
      <c r="H2661">
        <v>0</v>
      </c>
    </row>
    <row r="2662" spans="1:8" x14ac:dyDescent="0.3">
      <c r="A2662">
        <v>2019</v>
      </c>
      <c r="B2662" t="s">
        <v>41</v>
      </c>
      <c r="C2662" t="s">
        <v>267</v>
      </c>
      <c r="D2662" t="s">
        <v>268</v>
      </c>
      <c r="E2662" t="s">
        <v>1</v>
      </c>
      <c r="F2662" t="s">
        <v>209</v>
      </c>
      <c r="G2662" t="s">
        <v>202</v>
      </c>
      <c r="H2662">
        <v>1</v>
      </c>
    </row>
    <row r="2663" spans="1:8" x14ac:dyDescent="0.3">
      <c r="A2663">
        <v>2019</v>
      </c>
      <c r="B2663" t="s">
        <v>41</v>
      </c>
      <c r="C2663" t="s">
        <v>267</v>
      </c>
      <c r="D2663" t="s">
        <v>268</v>
      </c>
      <c r="E2663" t="s">
        <v>203</v>
      </c>
      <c r="F2663" t="s">
        <v>209</v>
      </c>
      <c r="G2663" t="s">
        <v>202</v>
      </c>
      <c r="H2663">
        <v>1</v>
      </c>
    </row>
    <row r="2664" spans="1:8" x14ac:dyDescent="0.3">
      <c r="A2664">
        <v>2019</v>
      </c>
      <c r="B2664" t="s">
        <v>41</v>
      </c>
      <c r="C2664" t="s">
        <v>267</v>
      </c>
      <c r="D2664" t="s">
        <v>268</v>
      </c>
      <c r="E2664" t="s">
        <v>204</v>
      </c>
      <c r="F2664" t="s">
        <v>209</v>
      </c>
      <c r="G2664" t="s">
        <v>202</v>
      </c>
      <c r="H2664">
        <v>0</v>
      </c>
    </row>
    <row r="2665" spans="1:8" x14ac:dyDescent="0.3">
      <c r="A2665">
        <v>2019</v>
      </c>
      <c r="B2665" t="s">
        <v>41</v>
      </c>
      <c r="C2665" t="s">
        <v>267</v>
      </c>
      <c r="D2665" t="s">
        <v>268</v>
      </c>
      <c r="E2665" t="s">
        <v>205</v>
      </c>
      <c r="F2665" t="s">
        <v>209</v>
      </c>
      <c r="G2665" t="s">
        <v>202</v>
      </c>
      <c r="H2665">
        <v>0</v>
      </c>
    </row>
    <row r="2666" spans="1:8" x14ac:dyDescent="0.3">
      <c r="A2666">
        <v>2019</v>
      </c>
      <c r="B2666" t="s">
        <v>41</v>
      </c>
      <c r="C2666" t="s">
        <v>267</v>
      </c>
      <c r="D2666" t="s">
        <v>268</v>
      </c>
      <c r="E2666" t="s">
        <v>206</v>
      </c>
      <c r="F2666" t="s">
        <v>209</v>
      </c>
      <c r="G2666" t="s">
        <v>202</v>
      </c>
      <c r="H2666">
        <v>24</v>
      </c>
    </row>
    <row r="2667" spans="1:8" x14ac:dyDescent="0.3">
      <c r="A2667">
        <v>2019</v>
      </c>
      <c r="B2667" t="s">
        <v>42</v>
      </c>
      <c r="C2667" t="s">
        <v>267</v>
      </c>
      <c r="D2667" t="s">
        <v>268</v>
      </c>
      <c r="E2667" t="s">
        <v>1</v>
      </c>
      <c r="F2667" t="s">
        <v>209</v>
      </c>
      <c r="G2667" t="s">
        <v>202</v>
      </c>
      <c r="H2667">
        <v>0</v>
      </c>
    </row>
    <row r="2668" spans="1:8" x14ac:dyDescent="0.3">
      <c r="A2668">
        <v>2019</v>
      </c>
      <c r="B2668" t="s">
        <v>42</v>
      </c>
      <c r="C2668" t="s">
        <v>267</v>
      </c>
      <c r="D2668" t="s">
        <v>268</v>
      </c>
      <c r="E2668" t="s">
        <v>203</v>
      </c>
      <c r="F2668" t="s">
        <v>209</v>
      </c>
      <c r="G2668" t="s">
        <v>202</v>
      </c>
      <c r="H2668">
        <v>0</v>
      </c>
    </row>
    <row r="2669" spans="1:8" x14ac:dyDescent="0.3">
      <c r="A2669">
        <v>2019</v>
      </c>
      <c r="B2669" t="s">
        <v>42</v>
      </c>
      <c r="C2669" t="s">
        <v>267</v>
      </c>
      <c r="D2669" t="s">
        <v>268</v>
      </c>
      <c r="E2669" t="s">
        <v>204</v>
      </c>
      <c r="F2669" t="s">
        <v>209</v>
      </c>
      <c r="G2669" t="s">
        <v>202</v>
      </c>
      <c r="H2669">
        <v>0</v>
      </c>
    </row>
    <row r="2670" spans="1:8" x14ac:dyDescent="0.3">
      <c r="A2670">
        <v>2019</v>
      </c>
      <c r="B2670" t="s">
        <v>42</v>
      </c>
      <c r="C2670" t="s">
        <v>267</v>
      </c>
      <c r="D2670" t="s">
        <v>268</v>
      </c>
      <c r="E2670" t="s">
        <v>205</v>
      </c>
      <c r="F2670" t="s">
        <v>209</v>
      </c>
      <c r="G2670" t="s">
        <v>202</v>
      </c>
      <c r="H2670">
        <v>0</v>
      </c>
    </row>
    <row r="2671" spans="1:8" x14ac:dyDescent="0.3">
      <c r="A2671">
        <v>2019</v>
      </c>
      <c r="B2671" t="s">
        <v>42</v>
      </c>
      <c r="C2671" t="s">
        <v>267</v>
      </c>
      <c r="D2671" t="s">
        <v>268</v>
      </c>
      <c r="E2671" t="s">
        <v>206</v>
      </c>
      <c r="F2671" t="s">
        <v>209</v>
      </c>
      <c r="G2671" t="s">
        <v>202</v>
      </c>
      <c r="H2671">
        <v>0</v>
      </c>
    </row>
    <row r="2672" spans="1:8" x14ac:dyDescent="0.3">
      <c r="A2672">
        <v>2019</v>
      </c>
      <c r="B2672" t="s">
        <v>215</v>
      </c>
      <c r="C2672" t="s">
        <v>267</v>
      </c>
      <c r="D2672" t="s">
        <v>268</v>
      </c>
      <c r="E2672" t="s">
        <v>1</v>
      </c>
      <c r="F2672" t="s">
        <v>209</v>
      </c>
      <c r="G2672" t="s">
        <v>202</v>
      </c>
      <c r="H2672">
        <v>0</v>
      </c>
    </row>
    <row r="2673" spans="1:8" x14ac:dyDescent="0.3">
      <c r="A2673">
        <v>2019</v>
      </c>
      <c r="B2673" t="s">
        <v>215</v>
      </c>
      <c r="C2673" t="s">
        <v>267</v>
      </c>
      <c r="D2673" t="s">
        <v>268</v>
      </c>
      <c r="E2673" t="s">
        <v>203</v>
      </c>
      <c r="F2673" t="s">
        <v>209</v>
      </c>
      <c r="G2673" t="s">
        <v>202</v>
      </c>
      <c r="H2673">
        <v>0</v>
      </c>
    </row>
    <row r="2674" spans="1:8" x14ac:dyDescent="0.3">
      <c r="A2674">
        <v>2019</v>
      </c>
      <c r="B2674" t="s">
        <v>215</v>
      </c>
      <c r="C2674" t="s">
        <v>267</v>
      </c>
      <c r="D2674" t="s">
        <v>268</v>
      </c>
      <c r="E2674" t="s">
        <v>204</v>
      </c>
      <c r="F2674" t="s">
        <v>209</v>
      </c>
      <c r="G2674" t="s">
        <v>202</v>
      </c>
      <c r="H2674">
        <v>0</v>
      </c>
    </row>
    <row r="2675" spans="1:8" x14ac:dyDescent="0.3">
      <c r="A2675">
        <v>2019</v>
      </c>
      <c r="B2675" t="s">
        <v>215</v>
      </c>
      <c r="C2675" t="s">
        <v>267</v>
      </c>
      <c r="D2675" t="s">
        <v>268</v>
      </c>
      <c r="E2675" t="s">
        <v>205</v>
      </c>
      <c r="F2675" t="s">
        <v>209</v>
      </c>
      <c r="G2675" t="s">
        <v>202</v>
      </c>
      <c r="H2675">
        <v>0</v>
      </c>
    </row>
    <row r="2676" spans="1:8" x14ac:dyDescent="0.3">
      <c r="A2676">
        <v>2019</v>
      </c>
      <c r="B2676" t="s">
        <v>215</v>
      </c>
      <c r="C2676" t="s">
        <v>267</v>
      </c>
      <c r="D2676" t="s">
        <v>268</v>
      </c>
      <c r="E2676" t="s">
        <v>206</v>
      </c>
      <c r="F2676" t="s">
        <v>209</v>
      </c>
      <c r="G2676" t="s">
        <v>202</v>
      </c>
      <c r="H2676">
        <v>0</v>
      </c>
    </row>
    <row r="2677" spans="1:8" x14ac:dyDescent="0.3">
      <c r="A2677">
        <v>2019</v>
      </c>
      <c r="B2677" t="s">
        <v>43</v>
      </c>
      <c r="C2677" t="s">
        <v>267</v>
      </c>
      <c r="D2677" t="s">
        <v>268</v>
      </c>
      <c r="E2677" t="s">
        <v>1</v>
      </c>
      <c r="F2677" t="s">
        <v>209</v>
      </c>
      <c r="G2677" t="s">
        <v>202</v>
      </c>
      <c r="H2677">
        <v>1</v>
      </c>
    </row>
    <row r="2678" spans="1:8" x14ac:dyDescent="0.3">
      <c r="A2678">
        <v>2019</v>
      </c>
      <c r="B2678" t="s">
        <v>43</v>
      </c>
      <c r="C2678" t="s">
        <v>267</v>
      </c>
      <c r="D2678" t="s">
        <v>268</v>
      </c>
      <c r="E2678" t="s">
        <v>203</v>
      </c>
      <c r="F2678" t="s">
        <v>209</v>
      </c>
      <c r="G2678" t="s">
        <v>202</v>
      </c>
      <c r="H2678">
        <v>0</v>
      </c>
    </row>
    <row r="2679" spans="1:8" x14ac:dyDescent="0.3">
      <c r="A2679">
        <v>2019</v>
      </c>
      <c r="B2679" t="s">
        <v>43</v>
      </c>
      <c r="C2679" t="s">
        <v>267</v>
      </c>
      <c r="D2679" t="s">
        <v>268</v>
      </c>
      <c r="E2679" t="s">
        <v>204</v>
      </c>
      <c r="F2679" t="s">
        <v>209</v>
      </c>
      <c r="G2679" t="s">
        <v>202</v>
      </c>
      <c r="H2679">
        <v>0</v>
      </c>
    </row>
    <row r="2680" spans="1:8" x14ac:dyDescent="0.3">
      <c r="A2680">
        <v>2019</v>
      </c>
      <c r="B2680" t="s">
        <v>43</v>
      </c>
      <c r="C2680" t="s">
        <v>267</v>
      </c>
      <c r="D2680" t="s">
        <v>268</v>
      </c>
      <c r="E2680" t="s">
        <v>205</v>
      </c>
      <c r="F2680" t="s">
        <v>209</v>
      </c>
      <c r="G2680" t="s">
        <v>202</v>
      </c>
      <c r="H2680">
        <v>0</v>
      </c>
    </row>
    <row r="2681" spans="1:8" x14ac:dyDescent="0.3">
      <c r="A2681">
        <v>2019</v>
      </c>
      <c r="B2681" t="s">
        <v>43</v>
      </c>
      <c r="C2681" t="s">
        <v>267</v>
      </c>
      <c r="D2681" t="s">
        <v>268</v>
      </c>
      <c r="E2681" t="s">
        <v>206</v>
      </c>
      <c r="F2681" t="s">
        <v>209</v>
      </c>
      <c r="G2681" t="s">
        <v>202</v>
      </c>
      <c r="H2681">
        <v>0</v>
      </c>
    </row>
    <row r="2682" spans="1:8" x14ac:dyDescent="0.3">
      <c r="A2682">
        <v>2019</v>
      </c>
      <c r="B2682" t="s">
        <v>52</v>
      </c>
      <c r="C2682" t="s">
        <v>267</v>
      </c>
      <c r="D2682" t="s">
        <v>268</v>
      </c>
      <c r="E2682" t="s">
        <v>1</v>
      </c>
      <c r="F2682" t="s">
        <v>209</v>
      </c>
      <c r="G2682" t="s">
        <v>202</v>
      </c>
      <c r="H2682">
        <v>0</v>
      </c>
    </row>
    <row r="2683" spans="1:8" x14ac:dyDescent="0.3">
      <c r="A2683">
        <v>2019</v>
      </c>
      <c r="B2683" t="s">
        <v>52</v>
      </c>
      <c r="C2683" t="s">
        <v>267</v>
      </c>
      <c r="D2683" t="s">
        <v>268</v>
      </c>
      <c r="E2683" t="s">
        <v>203</v>
      </c>
      <c r="F2683" t="s">
        <v>209</v>
      </c>
      <c r="G2683" t="s">
        <v>202</v>
      </c>
      <c r="H2683">
        <v>0</v>
      </c>
    </row>
    <row r="2684" spans="1:8" x14ac:dyDescent="0.3">
      <c r="A2684">
        <v>2019</v>
      </c>
      <c r="B2684" t="s">
        <v>52</v>
      </c>
      <c r="C2684" t="s">
        <v>267</v>
      </c>
      <c r="D2684" t="s">
        <v>268</v>
      </c>
      <c r="E2684" t="s">
        <v>204</v>
      </c>
      <c r="F2684" t="s">
        <v>209</v>
      </c>
      <c r="G2684" t="s">
        <v>202</v>
      </c>
      <c r="H2684">
        <v>0</v>
      </c>
    </row>
    <row r="2685" spans="1:8" x14ac:dyDescent="0.3">
      <c r="A2685">
        <v>2019</v>
      </c>
      <c r="B2685" t="s">
        <v>52</v>
      </c>
      <c r="C2685" t="s">
        <v>267</v>
      </c>
      <c r="D2685" t="s">
        <v>268</v>
      </c>
      <c r="E2685" t="s">
        <v>205</v>
      </c>
      <c r="F2685" t="s">
        <v>209</v>
      </c>
      <c r="G2685" t="s">
        <v>202</v>
      </c>
      <c r="H2685">
        <v>0</v>
      </c>
    </row>
    <row r="2686" spans="1:8" x14ac:dyDescent="0.3">
      <c r="A2686">
        <v>2019</v>
      </c>
      <c r="B2686" t="s">
        <v>52</v>
      </c>
      <c r="C2686" t="s">
        <v>267</v>
      </c>
      <c r="D2686" t="s">
        <v>268</v>
      </c>
      <c r="E2686" t="s">
        <v>206</v>
      </c>
      <c r="F2686" t="s">
        <v>209</v>
      </c>
      <c r="G2686" t="s">
        <v>202</v>
      </c>
      <c r="H2686">
        <v>0</v>
      </c>
    </row>
    <row r="2687" spans="1:8" x14ac:dyDescent="0.3">
      <c r="A2687">
        <v>2019</v>
      </c>
      <c r="B2687" t="s">
        <v>44</v>
      </c>
      <c r="C2687" t="s">
        <v>267</v>
      </c>
      <c r="D2687" t="s">
        <v>268</v>
      </c>
      <c r="E2687" t="s">
        <v>1</v>
      </c>
      <c r="F2687" t="s">
        <v>209</v>
      </c>
      <c r="G2687" t="s">
        <v>202</v>
      </c>
      <c r="H2687">
        <v>1</v>
      </c>
    </row>
    <row r="2688" spans="1:8" x14ac:dyDescent="0.3">
      <c r="A2688">
        <v>2019</v>
      </c>
      <c r="B2688" t="s">
        <v>44</v>
      </c>
      <c r="C2688" t="s">
        <v>267</v>
      </c>
      <c r="D2688" t="s">
        <v>268</v>
      </c>
      <c r="E2688" t="s">
        <v>203</v>
      </c>
      <c r="F2688" t="s">
        <v>209</v>
      </c>
      <c r="G2688" t="s">
        <v>202</v>
      </c>
      <c r="H2688">
        <v>1</v>
      </c>
    </row>
    <row r="2689" spans="1:8" x14ac:dyDescent="0.3">
      <c r="A2689">
        <v>2019</v>
      </c>
      <c r="B2689" t="s">
        <v>44</v>
      </c>
      <c r="C2689" t="s">
        <v>267</v>
      </c>
      <c r="D2689" t="s">
        <v>268</v>
      </c>
      <c r="E2689" t="s">
        <v>204</v>
      </c>
      <c r="F2689" t="s">
        <v>209</v>
      </c>
      <c r="G2689" t="s">
        <v>202</v>
      </c>
      <c r="H2689">
        <v>0</v>
      </c>
    </row>
    <row r="2690" spans="1:8" x14ac:dyDescent="0.3">
      <c r="A2690">
        <v>2019</v>
      </c>
      <c r="B2690" t="s">
        <v>44</v>
      </c>
      <c r="C2690" t="s">
        <v>267</v>
      </c>
      <c r="D2690" t="s">
        <v>268</v>
      </c>
      <c r="E2690" t="s">
        <v>205</v>
      </c>
      <c r="F2690" t="s">
        <v>209</v>
      </c>
      <c r="G2690" t="s">
        <v>202</v>
      </c>
      <c r="H2690">
        <v>0</v>
      </c>
    </row>
    <row r="2691" spans="1:8" x14ac:dyDescent="0.3">
      <c r="A2691">
        <v>2019</v>
      </c>
      <c r="B2691" t="s">
        <v>44</v>
      </c>
      <c r="C2691" t="s">
        <v>267</v>
      </c>
      <c r="D2691" t="s">
        <v>268</v>
      </c>
      <c r="E2691" t="s">
        <v>206</v>
      </c>
      <c r="F2691" t="s">
        <v>209</v>
      </c>
      <c r="G2691" t="s">
        <v>202</v>
      </c>
      <c r="H2691">
        <v>19</v>
      </c>
    </row>
    <row r="2692" spans="1:8" x14ac:dyDescent="0.3">
      <c r="A2692">
        <v>2019</v>
      </c>
      <c r="B2692" t="s">
        <v>53</v>
      </c>
      <c r="C2692" t="s">
        <v>267</v>
      </c>
      <c r="D2692" t="s">
        <v>268</v>
      </c>
      <c r="E2692" t="s">
        <v>1</v>
      </c>
      <c r="F2692" t="s">
        <v>209</v>
      </c>
      <c r="G2692" t="s">
        <v>202</v>
      </c>
      <c r="H2692">
        <v>2</v>
      </c>
    </row>
    <row r="2693" spans="1:8" x14ac:dyDescent="0.3">
      <c r="A2693">
        <v>2019</v>
      </c>
      <c r="B2693" t="s">
        <v>53</v>
      </c>
      <c r="C2693" t="s">
        <v>267</v>
      </c>
      <c r="D2693" t="s">
        <v>268</v>
      </c>
      <c r="E2693" t="s">
        <v>203</v>
      </c>
      <c r="F2693" t="s">
        <v>209</v>
      </c>
      <c r="G2693" t="s">
        <v>202</v>
      </c>
      <c r="H2693">
        <v>0</v>
      </c>
    </row>
    <row r="2694" spans="1:8" x14ac:dyDescent="0.3">
      <c r="A2694">
        <v>2019</v>
      </c>
      <c r="B2694" t="s">
        <v>53</v>
      </c>
      <c r="C2694" t="s">
        <v>267</v>
      </c>
      <c r="D2694" t="s">
        <v>268</v>
      </c>
      <c r="E2694" t="s">
        <v>204</v>
      </c>
      <c r="F2694" t="s">
        <v>209</v>
      </c>
      <c r="G2694" t="s">
        <v>202</v>
      </c>
      <c r="H2694">
        <v>0</v>
      </c>
    </row>
    <row r="2695" spans="1:8" x14ac:dyDescent="0.3">
      <c r="A2695">
        <v>2019</v>
      </c>
      <c r="B2695" t="s">
        <v>53</v>
      </c>
      <c r="C2695" t="s">
        <v>267</v>
      </c>
      <c r="D2695" t="s">
        <v>268</v>
      </c>
      <c r="E2695" t="s">
        <v>205</v>
      </c>
      <c r="F2695" t="s">
        <v>209</v>
      </c>
      <c r="G2695" t="s">
        <v>202</v>
      </c>
      <c r="H2695">
        <v>0</v>
      </c>
    </row>
    <row r="2696" spans="1:8" x14ac:dyDescent="0.3">
      <c r="A2696">
        <v>2019</v>
      </c>
      <c r="B2696" t="s">
        <v>53</v>
      </c>
      <c r="C2696" t="s">
        <v>267</v>
      </c>
      <c r="D2696" t="s">
        <v>268</v>
      </c>
      <c r="E2696" t="s">
        <v>206</v>
      </c>
      <c r="F2696" t="s">
        <v>209</v>
      </c>
      <c r="G2696" t="s">
        <v>202</v>
      </c>
      <c r="H2696">
        <v>0</v>
      </c>
    </row>
    <row r="2697" spans="1:8" x14ac:dyDescent="0.3">
      <c r="A2697">
        <v>2019</v>
      </c>
      <c r="B2697" t="s">
        <v>197</v>
      </c>
      <c r="C2697" t="s">
        <v>267</v>
      </c>
      <c r="D2697" t="s">
        <v>268</v>
      </c>
      <c r="E2697" t="s">
        <v>1</v>
      </c>
      <c r="F2697" t="s">
        <v>209</v>
      </c>
      <c r="G2697" t="s">
        <v>202</v>
      </c>
      <c r="H2697">
        <v>4</v>
      </c>
    </row>
    <row r="2698" spans="1:8" x14ac:dyDescent="0.3">
      <c r="A2698">
        <v>2019</v>
      </c>
      <c r="B2698" t="s">
        <v>197</v>
      </c>
      <c r="C2698" t="s">
        <v>267</v>
      </c>
      <c r="D2698" t="s">
        <v>268</v>
      </c>
      <c r="E2698" t="s">
        <v>203</v>
      </c>
      <c r="F2698" t="s">
        <v>209</v>
      </c>
      <c r="G2698" t="s">
        <v>202</v>
      </c>
      <c r="H2698">
        <v>0</v>
      </c>
    </row>
    <row r="2699" spans="1:8" x14ac:dyDescent="0.3">
      <c r="A2699">
        <v>2019</v>
      </c>
      <c r="B2699" t="s">
        <v>197</v>
      </c>
      <c r="C2699" t="s">
        <v>267</v>
      </c>
      <c r="D2699" t="s">
        <v>268</v>
      </c>
      <c r="E2699" t="s">
        <v>204</v>
      </c>
      <c r="F2699" t="s">
        <v>209</v>
      </c>
      <c r="G2699" t="s">
        <v>202</v>
      </c>
      <c r="H2699">
        <v>0</v>
      </c>
    </row>
    <row r="2700" spans="1:8" x14ac:dyDescent="0.3">
      <c r="A2700">
        <v>2019</v>
      </c>
      <c r="B2700" t="s">
        <v>197</v>
      </c>
      <c r="C2700" t="s">
        <v>267</v>
      </c>
      <c r="D2700" t="s">
        <v>268</v>
      </c>
      <c r="E2700" t="s">
        <v>205</v>
      </c>
      <c r="F2700" t="s">
        <v>209</v>
      </c>
      <c r="G2700" t="s">
        <v>202</v>
      </c>
    </row>
    <row r="2701" spans="1:8" x14ac:dyDescent="0.3">
      <c r="A2701">
        <v>2019</v>
      </c>
      <c r="B2701" t="s">
        <v>197</v>
      </c>
      <c r="C2701" t="s">
        <v>267</v>
      </c>
      <c r="D2701" t="s">
        <v>268</v>
      </c>
      <c r="E2701" t="s">
        <v>206</v>
      </c>
      <c r="F2701" t="s">
        <v>209</v>
      </c>
      <c r="G2701" t="s">
        <v>202</v>
      </c>
      <c r="H2701">
        <v>98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71CC-14E6-4A89-AC18-43502C34A9ED}">
  <sheetPr codeName="Sheet53"/>
  <dimension ref="A1:T48"/>
  <sheetViews>
    <sheetView workbookViewId="0">
      <selection activeCell="A4" sqref="A2:J4"/>
    </sheetView>
  </sheetViews>
  <sheetFormatPr defaultColWidth="8.7265625" defaultRowHeight="14.5" x14ac:dyDescent="0.35"/>
  <cols>
    <col min="1" max="1" width="38.26953125" style="257" bestFit="1" customWidth="1"/>
    <col min="2" max="4" width="8.7265625" style="260" customWidth="1"/>
    <col min="5" max="5" width="6.7265625" style="260" customWidth="1"/>
    <col min="6" max="8" width="8.7265625" style="257" customWidth="1"/>
    <col min="9" max="9" width="8.7265625" style="257"/>
    <col min="10" max="12" width="8.7265625" style="257" customWidth="1"/>
    <col min="13" max="13" width="8.7265625" style="257"/>
    <col min="14" max="16" width="8.7265625" style="257" customWidth="1"/>
    <col min="17" max="17" width="8.7265625" style="257"/>
    <col min="18" max="20" width="8.7265625" style="257" customWidth="1"/>
    <col min="21" max="16384" width="8.7265625" style="257"/>
  </cols>
  <sheetData>
    <row r="1" spans="1:20" x14ac:dyDescent="0.35">
      <c r="B1" s="262" t="s">
        <v>253</v>
      </c>
      <c r="C1" s="262"/>
      <c r="D1" s="262"/>
      <c r="F1" s="258" t="s">
        <v>225</v>
      </c>
      <c r="G1" s="258"/>
      <c r="H1" s="258"/>
      <c r="J1" s="258" t="s">
        <v>227</v>
      </c>
      <c r="K1" s="258"/>
      <c r="L1" s="258"/>
      <c r="N1" s="258" t="s">
        <v>228</v>
      </c>
      <c r="O1" s="258"/>
      <c r="P1" s="258"/>
      <c r="R1" s="258" t="s">
        <v>229</v>
      </c>
      <c r="S1" s="258"/>
      <c r="T1" s="258"/>
    </row>
    <row r="2" spans="1:20" x14ac:dyDescent="0.35">
      <c r="B2" s="260" t="s">
        <v>254</v>
      </c>
      <c r="C2" s="260" t="s">
        <v>255</v>
      </c>
      <c r="F2" s="257" t="s">
        <v>150</v>
      </c>
      <c r="G2" s="257" t="s">
        <v>226</v>
      </c>
      <c r="J2" s="257" t="s">
        <v>150</v>
      </c>
      <c r="K2" s="257" t="s">
        <v>226</v>
      </c>
      <c r="N2" s="257" t="s">
        <v>150</v>
      </c>
      <c r="O2" s="257" t="s">
        <v>226</v>
      </c>
      <c r="R2" s="257" t="s">
        <v>150</v>
      </c>
      <c r="S2" s="257" t="s">
        <v>226</v>
      </c>
    </row>
    <row r="3" spans="1:20" x14ac:dyDescent="0.35">
      <c r="A3" s="257" t="s">
        <v>6</v>
      </c>
      <c r="B3" s="260">
        <f>SUM(B4:B48)</f>
        <v>122</v>
      </c>
      <c r="C3" s="260">
        <f>SUM(C4:C48)</f>
        <v>806</v>
      </c>
      <c r="F3" s="259">
        <f>VLOOKUP($A3,'(2017-18d)'!$B:$F,2,FALSE)</f>
        <v>638</v>
      </c>
      <c r="G3" s="259">
        <f>VLOOKUP($A3,'(2018-19d)'!$B:$F,2,FALSE)</f>
        <v>551</v>
      </c>
      <c r="H3" s="221">
        <f>(G3/F3)-1</f>
        <v>-0.13636363636363635</v>
      </c>
      <c r="J3" s="259">
        <f>VLOOKUP($A3,'(2017-18c)'!$B:$F,2,FALSE)</f>
        <v>898</v>
      </c>
      <c r="K3" s="259">
        <f>VLOOKUP($A3,'(2018-19c)'!$B:$F,2,FALSE)</f>
        <v>966</v>
      </c>
      <c r="L3" s="221">
        <f>(K3/J3)-1</f>
        <v>7.572383073496658E-2</v>
      </c>
      <c r="N3" s="259">
        <f>VLOOKUP($A3,'(2017-18b)'!$B:$F,2,FALSE)</f>
        <v>741</v>
      </c>
      <c r="O3" s="259">
        <f>VLOOKUP($A3,'(2018-19b)'!$B:$F,2,FALSE)</f>
        <v>806</v>
      </c>
      <c r="P3" s="221">
        <f>(O3/N3)-1</f>
        <v>8.7719298245614086E-2</v>
      </c>
      <c r="R3" s="259">
        <f>VLOOKUP($A3,'(2017-18b)'!$B:$F,3,FALSE)</f>
        <v>311</v>
      </c>
      <c r="S3" s="259">
        <f>VLOOKUP($A3,'(2018-19b)'!$B:$F,3,FALSE)</f>
        <v>323</v>
      </c>
      <c r="T3" s="221">
        <f>(S3/R3)-1</f>
        <v>3.8585209003215493E-2</v>
      </c>
    </row>
    <row r="4" spans="1:20" x14ac:dyDescent="0.35">
      <c r="A4" s="261" t="s">
        <v>8</v>
      </c>
      <c r="B4" s="260">
        <f>IF(ISERROR(VLOOKUP(A4,IRS!A:B,2,FALSE)),0,VLOOKUP(A4,IRS!A:B,2,FALSE))</f>
        <v>1</v>
      </c>
      <c r="C4" s="260">
        <f>VLOOKUP(A4,'(2018-19b)'!B:C,2,FALSE)</f>
        <v>9</v>
      </c>
      <c r="F4" s="259">
        <f>VLOOKUP($A4,'(2017-18d)'!$B:$F,2,FALSE)</f>
        <v>16</v>
      </c>
      <c r="G4" s="259">
        <f>VLOOKUP($A4,'(2018-19d)'!$B:$F,2,FALSE)</f>
        <v>20</v>
      </c>
      <c r="H4" s="221">
        <f t="shared" ref="H4:H48" si="0">(G4/F4)-1</f>
        <v>0.25</v>
      </c>
      <c r="J4" s="259">
        <f>VLOOKUP($A4,'(2017-18c)'!$B:$F,2,FALSE)</f>
        <v>18</v>
      </c>
      <c r="K4" s="259">
        <f>VLOOKUP($A4,'(2018-19c)'!$B:$F,2,FALSE)</f>
        <v>19</v>
      </c>
      <c r="L4" s="221">
        <f t="shared" ref="L4:L48" si="1">(K4/J4)-1</f>
        <v>5.555555555555558E-2</v>
      </c>
      <c r="N4" s="259">
        <f>VLOOKUP($A4,'(2017-18b)'!$B:$F,2,FALSE)</f>
        <v>8</v>
      </c>
      <c r="O4" s="259">
        <f>VLOOKUP($A4,'(2018-19b)'!$B:$F,2,FALSE)</f>
        <v>9</v>
      </c>
      <c r="P4" s="221">
        <f t="shared" ref="P4:P48" si="2">(O4/N4)-1</f>
        <v>0.125</v>
      </c>
      <c r="R4" s="259">
        <f>VLOOKUP($A4,'(2017-18b)'!$B:$F,3,FALSE)</f>
        <v>6</v>
      </c>
      <c r="S4" s="259">
        <f>VLOOKUP($A4,'(2018-19b)'!$B:$F,3,FALSE)</f>
        <v>3</v>
      </c>
      <c r="T4" s="221">
        <f t="shared" ref="T4:T48" si="3">(S4/R4)-1</f>
        <v>-0.5</v>
      </c>
    </row>
    <row r="5" spans="1:20" x14ac:dyDescent="0.35">
      <c r="A5" s="261" t="s">
        <v>9</v>
      </c>
      <c r="B5" s="260">
        <f>IF(ISERROR(VLOOKUP(A5,IRS!A:B,2,FALSE)),0,VLOOKUP(A5,IRS!A:B,2,FALSE))</f>
        <v>0</v>
      </c>
      <c r="C5" s="260">
        <f>VLOOKUP(A5,'(2018-19b)'!B:C,2,FALSE)</f>
        <v>9</v>
      </c>
      <c r="F5" s="259">
        <f>VLOOKUP($A5,'(2017-18d)'!$B:$F,2,FALSE)</f>
        <v>8</v>
      </c>
      <c r="G5" s="259">
        <f>VLOOKUP($A5,'(2018-19d)'!$B:$F,2,FALSE)</f>
        <v>10</v>
      </c>
      <c r="H5" s="221">
        <f t="shared" si="0"/>
        <v>0.25</v>
      </c>
      <c r="J5" s="259">
        <f>VLOOKUP($A5,'(2017-18c)'!$B:$F,2,FALSE)</f>
        <v>11</v>
      </c>
      <c r="K5" s="259">
        <f>VLOOKUP($A5,'(2018-19c)'!$B:$F,2,FALSE)</f>
        <v>27</v>
      </c>
      <c r="L5" s="221">
        <f t="shared" si="1"/>
        <v>1.4545454545454546</v>
      </c>
      <c r="N5" s="259">
        <f>VLOOKUP($A5,'(2017-18b)'!$B:$F,2,FALSE)</f>
        <v>11</v>
      </c>
      <c r="O5" s="259">
        <f>VLOOKUP($A5,'(2018-19b)'!$B:$F,2,FALSE)</f>
        <v>9</v>
      </c>
      <c r="P5" s="221">
        <f t="shared" si="2"/>
        <v>-0.18181818181818177</v>
      </c>
      <c r="R5" s="259">
        <f>VLOOKUP($A5,'(2017-18b)'!$B:$F,3,FALSE)</f>
        <v>9</v>
      </c>
      <c r="S5" s="259">
        <f>VLOOKUP($A5,'(2018-19b)'!$B:$F,3,FALSE)</f>
        <v>7</v>
      </c>
      <c r="T5" s="221">
        <f t="shared" si="3"/>
        <v>-0.22222222222222221</v>
      </c>
    </row>
    <row r="6" spans="1:20" x14ac:dyDescent="0.35">
      <c r="A6" s="261" t="s">
        <v>10</v>
      </c>
      <c r="B6" s="260">
        <f>IF(ISERROR(VLOOKUP(A6,IRS!A:B,2,FALSE)),0,VLOOKUP(A6,IRS!A:B,2,FALSE))</f>
        <v>0</v>
      </c>
      <c r="C6" s="260">
        <f>VLOOKUP(A6,'(2018-19b)'!B:C,2,FALSE)</f>
        <v>24</v>
      </c>
      <c r="F6" s="259">
        <f>VLOOKUP($A6,'(2017-18d)'!$B:$F,2,FALSE)</f>
        <v>14</v>
      </c>
      <c r="G6" s="259">
        <f>VLOOKUP($A6,'(2018-19d)'!$B:$F,2,FALSE)</f>
        <v>12</v>
      </c>
      <c r="H6" s="221">
        <f t="shared" si="0"/>
        <v>-0.1428571428571429</v>
      </c>
      <c r="J6" s="259">
        <f>VLOOKUP($A6,'(2017-18c)'!$B:$F,2,FALSE)</f>
        <v>22</v>
      </c>
      <c r="K6" s="259">
        <f>VLOOKUP($A6,'(2018-19c)'!$B:$F,2,FALSE)</f>
        <v>18</v>
      </c>
      <c r="L6" s="221">
        <f t="shared" si="1"/>
        <v>-0.18181818181818177</v>
      </c>
      <c r="N6" s="259">
        <f>VLOOKUP($A6,'(2017-18b)'!$B:$F,2,FALSE)</f>
        <v>7</v>
      </c>
      <c r="O6" s="259">
        <f>VLOOKUP($A6,'(2018-19b)'!$B:$F,2,FALSE)</f>
        <v>24</v>
      </c>
      <c r="P6" s="221">
        <f t="shared" si="2"/>
        <v>2.4285714285714284</v>
      </c>
      <c r="R6" s="259">
        <f>VLOOKUP($A6,'(2017-18b)'!$B:$F,3,FALSE)</f>
        <v>9</v>
      </c>
      <c r="S6" s="259">
        <f>VLOOKUP($A6,'(2018-19b)'!$B:$F,3,FALSE)</f>
        <v>2</v>
      </c>
      <c r="T6" s="221">
        <f t="shared" si="3"/>
        <v>-0.77777777777777779</v>
      </c>
    </row>
    <row r="7" spans="1:20" x14ac:dyDescent="0.35">
      <c r="A7" s="261" t="s">
        <v>11</v>
      </c>
      <c r="B7" s="260">
        <f>IF(ISERROR(VLOOKUP(A7,IRS!A:B,2,FALSE)),0,VLOOKUP(A7,IRS!A:B,2,FALSE))</f>
        <v>0</v>
      </c>
      <c r="C7" s="260">
        <f>VLOOKUP(A7,'(2018-19b)'!B:C,2,FALSE)</f>
        <v>6</v>
      </c>
      <c r="F7" s="259">
        <f>VLOOKUP($A7,'(2017-18d)'!$B:$F,2,FALSE)</f>
        <v>1</v>
      </c>
      <c r="G7" s="259">
        <f>VLOOKUP($A7,'(2018-19d)'!$B:$F,2,FALSE)</f>
        <v>10</v>
      </c>
      <c r="H7" s="221">
        <f t="shared" si="0"/>
        <v>9</v>
      </c>
      <c r="J7" s="259">
        <f>VLOOKUP($A7,'(2017-18c)'!$B:$F,2,FALSE)</f>
        <v>15</v>
      </c>
      <c r="K7" s="259">
        <f>VLOOKUP($A7,'(2018-19c)'!$B:$F,2,FALSE)</f>
        <v>19</v>
      </c>
      <c r="L7" s="221">
        <f t="shared" si="1"/>
        <v>0.26666666666666661</v>
      </c>
      <c r="N7" s="259">
        <f>VLOOKUP($A7,'(2017-18b)'!$B:$F,2,FALSE)</f>
        <v>3</v>
      </c>
      <c r="O7" s="259">
        <f>VLOOKUP($A7,'(2018-19b)'!$B:$F,2,FALSE)</f>
        <v>6</v>
      </c>
      <c r="P7" s="221">
        <f t="shared" si="2"/>
        <v>1</v>
      </c>
      <c r="R7" s="259">
        <f>VLOOKUP($A7,'(2017-18b)'!$B:$F,3,FALSE)</f>
        <v>5</v>
      </c>
      <c r="S7" s="259">
        <f>VLOOKUP($A7,'(2018-19b)'!$B:$F,3,FALSE)</f>
        <v>1</v>
      </c>
      <c r="T7" s="221">
        <f t="shared" si="3"/>
        <v>-0.8</v>
      </c>
    </row>
    <row r="8" spans="1:20" x14ac:dyDescent="0.35">
      <c r="A8" s="261" t="s">
        <v>12</v>
      </c>
      <c r="B8" s="260">
        <f>IF(ISERROR(VLOOKUP(A8,IRS!A:B,2,FALSE)),0,VLOOKUP(A8,IRS!A:B,2,FALSE))</f>
        <v>1</v>
      </c>
      <c r="C8" s="260">
        <f>VLOOKUP(A8,'(2018-19b)'!B:C,2,FALSE)</f>
        <v>73</v>
      </c>
      <c r="F8" s="259">
        <f>VLOOKUP($A8,'(2017-18d)'!$B:$F,2,FALSE)</f>
        <v>22</v>
      </c>
      <c r="G8" s="259">
        <f>VLOOKUP($A8,'(2018-19d)'!$B:$F,2,FALSE)</f>
        <v>15</v>
      </c>
      <c r="H8" s="221">
        <f t="shared" si="0"/>
        <v>-0.31818181818181823</v>
      </c>
      <c r="J8" s="259">
        <f>VLOOKUP($A8,'(2017-18c)'!$B:$F,2,FALSE)</f>
        <v>21</v>
      </c>
      <c r="K8" s="259">
        <f>VLOOKUP($A8,'(2018-19c)'!$B:$F,2,FALSE)</f>
        <v>19</v>
      </c>
      <c r="L8" s="221">
        <f t="shared" si="1"/>
        <v>-9.5238095238095233E-2</v>
      </c>
      <c r="N8" s="259">
        <f>VLOOKUP($A8,'(2017-18b)'!$B:$F,2,FALSE)</f>
        <v>20</v>
      </c>
      <c r="O8" s="259">
        <f>VLOOKUP($A8,'(2018-19b)'!$B:$F,2,FALSE)</f>
        <v>73</v>
      </c>
      <c r="P8" s="221">
        <f t="shared" si="2"/>
        <v>2.65</v>
      </c>
      <c r="R8" s="259">
        <f>VLOOKUP($A8,'(2017-18b)'!$B:$F,3,FALSE)</f>
        <v>11</v>
      </c>
      <c r="S8" s="259">
        <f>VLOOKUP($A8,'(2018-19b)'!$B:$F,3,FALSE)</f>
        <v>15</v>
      </c>
      <c r="T8" s="221">
        <f t="shared" si="3"/>
        <v>0.36363636363636354</v>
      </c>
    </row>
    <row r="9" spans="1:20" x14ac:dyDescent="0.35">
      <c r="A9" s="261" t="s">
        <v>13</v>
      </c>
      <c r="B9" s="260">
        <f>IF(ISERROR(VLOOKUP(A9,IRS!A:B,2,FALSE)),0,VLOOKUP(A9,IRS!A:B,2,FALSE))</f>
        <v>0</v>
      </c>
      <c r="C9" s="260">
        <f>VLOOKUP(A9,'(2018-19b)'!B:C,2,FALSE)</f>
        <v>9</v>
      </c>
      <c r="F9" s="259">
        <f>VLOOKUP($A9,'(2017-18d)'!$B:$F,2,FALSE)</f>
        <v>7</v>
      </c>
      <c r="G9" s="259">
        <f>VLOOKUP($A9,'(2018-19d)'!$B:$F,2,FALSE)</f>
        <v>16</v>
      </c>
      <c r="H9" s="221">
        <f t="shared" si="0"/>
        <v>1.2857142857142856</v>
      </c>
      <c r="J9" s="259">
        <f>VLOOKUP($A9,'(2017-18c)'!$B:$F,2,FALSE)</f>
        <v>12</v>
      </c>
      <c r="K9" s="259">
        <f>VLOOKUP($A9,'(2018-19c)'!$B:$F,2,FALSE)</f>
        <v>7</v>
      </c>
      <c r="L9" s="221">
        <f t="shared" si="1"/>
        <v>-0.41666666666666663</v>
      </c>
      <c r="N9" s="259">
        <f>VLOOKUP($A9,'(2017-18b)'!$B:$F,2,FALSE)</f>
        <v>7</v>
      </c>
      <c r="O9" s="259">
        <f>VLOOKUP($A9,'(2018-19b)'!$B:$F,2,FALSE)</f>
        <v>9</v>
      </c>
      <c r="P9" s="221">
        <f t="shared" si="2"/>
        <v>0.28571428571428581</v>
      </c>
      <c r="R9" s="259">
        <f>VLOOKUP($A9,'(2017-18b)'!$B:$F,3,FALSE)</f>
        <v>0</v>
      </c>
      <c r="S9" s="259">
        <f>VLOOKUP($A9,'(2018-19b)'!$B:$F,3,FALSE)</f>
        <v>3</v>
      </c>
      <c r="T9" s="221" t="e">
        <f t="shared" si="3"/>
        <v>#DIV/0!</v>
      </c>
    </row>
    <row r="10" spans="1:20" x14ac:dyDescent="0.35">
      <c r="A10" s="261" t="s">
        <v>14</v>
      </c>
      <c r="B10" s="260">
        <f>IF(ISERROR(VLOOKUP(A10,IRS!A:B,2,FALSE)),0,VLOOKUP(A10,IRS!A:B,2,FALSE))</f>
        <v>1</v>
      </c>
      <c r="C10" s="260">
        <f>VLOOKUP(A10,'(2018-19b)'!B:C,2,FALSE)</f>
        <v>3</v>
      </c>
      <c r="F10" s="259">
        <f>VLOOKUP($A10,'(2017-18d)'!$B:$F,2,FALSE)</f>
        <v>0</v>
      </c>
      <c r="G10" s="259">
        <f>VLOOKUP($A10,'(2018-19d)'!$B:$F,2,FALSE)</f>
        <v>5</v>
      </c>
      <c r="H10" s="221" t="e">
        <f t="shared" si="0"/>
        <v>#DIV/0!</v>
      </c>
      <c r="J10" s="259">
        <f>VLOOKUP($A10,'(2017-18c)'!$B:$F,2,FALSE)</f>
        <v>2</v>
      </c>
      <c r="K10" s="259">
        <f>VLOOKUP($A10,'(2018-19c)'!$B:$F,2,FALSE)</f>
        <v>4</v>
      </c>
      <c r="L10" s="221">
        <f t="shared" si="1"/>
        <v>1</v>
      </c>
      <c r="N10" s="259">
        <f>VLOOKUP($A10,'(2017-18b)'!$B:$F,2,FALSE)</f>
        <v>3</v>
      </c>
      <c r="O10" s="259">
        <f>VLOOKUP($A10,'(2018-19b)'!$B:$F,2,FALSE)</f>
        <v>3</v>
      </c>
      <c r="P10" s="221">
        <f t="shared" si="2"/>
        <v>0</v>
      </c>
      <c r="R10" s="259">
        <f>VLOOKUP($A10,'(2017-18b)'!$B:$F,3,FALSE)</f>
        <v>0</v>
      </c>
      <c r="S10" s="259">
        <f>VLOOKUP($A10,'(2018-19b)'!$B:$F,3,FALSE)</f>
        <v>1</v>
      </c>
      <c r="T10" s="221" t="e">
        <f t="shared" si="3"/>
        <v>#DIV/0!</v>
      </c>
    </row>
    <row r="11" spans="1:20" x14ac:dyDescent="0.35">
      <c r="A11" s="261" t="s">
        <v>15</v>
      </c>
      <c r="B11" s="260">
        <f>IF(ISERROR(VLOOKUP(A11,IRS!A:B,2,FALSE)),0,VLOOKUP(A11,IRS!A:B,2,FALSE))</f>
        <v>0</v>
      </c>
      <c r="C11" s="260">
        <f>VLOOKUP(A11,'(2018-19b)'!B:C,2,FALSE)</f>
        <v>1</v>
      </c>
      <c r="F11" s="259">
        <f>VLOOKUP($A11,'(2017-18d)'!$B:$F,2,FALSE)</f>
        <v>11</v>
      </c>
      <c r="G11" s="259">
        <f>VLOOKUP($A11,'(2018-19d)'!$B:$F,2,FALSE)</f>
        <v>11</v>
      </c>
      <c r="H11" s="221">
        <f t="shared" si="0"/>
        <v>0</v>
      </c>
      <c r="J11" s="259">
        <f>VLOOKUP($A11,'(2017-18c)'!$B:$F,2,FALSE)</f>
        <v>23</v>
      </c>
      <c r="K11" s="259">
        <f>VLOOKUP($A11,'(2018-19c)'!$B:$F,2,FALSE)</f>
        <v>22</v>
      </c>
      <c r="L11" s="221">
        <f t="shared" si="1"/>
        <v>-4.3478260869565188E-2</v>
      </c>
      <c r="N11" s="259">
        <f>VLOOKUP($A11,'(2017-18b)'!$B:$F,2,FALSE)</f>
        <v>17</v>
      </c>
      <c r="O11" s="259">
        <f>VLOOKUP($A11,'(2018-19b)'!$B:$F,2,FALSE)</f>
        <v>1</v>
      </c>
      <c r="P11" s="221">
        <f t="shared" si="2"/>
        <v>-0.94117647058823528</v>
      </c>
      <c r="R11" s="259">
        <f>VLOOKUP($A11,'(2017-18b)'!$B:$F,3,FALSE)</f>
        <v>2</v>
      </c>
      <c r="S11" s="259">
        <f>VLOOKUP($A11,'(2018-19b)'!$B:$F,3,FALSE)</f>
        <v>4</v>
      </c>
      <c r="T11" s="221">
        <f t="shared" si="3"/>
        <v>1</v>
      </c>
    </row>
    <row r="12" spans="1:20" x14ac:dyDescent="0.35">
      <c r="A12" s="261" t="s">
        <v>16</v>
      </c>
      <c r="B12" s="260">
        <f>IF(ISERROR(VLOOKUP(A12,IRS!A:B,2,FALSE)),0,VLOOKUP(A12,IRS!A:B,2,FALSE))</f>
        <v>0</v>
      </c>
      <c r="C12" s="260">
        <f>VLOOKUP(A12,'(2018-19b)'!B:C,2,FALSE)</f>
        <v>6</v>
      </c>
      <c r="F12" s="259">
        <f>VLOOKUP($A12,'(2017-18d)'!$B:$F,2,FALSE)</f>
        <v>5</v>
      </c>
      <c r="G12" s="259">
        <f>VLOOKUP($A12,'(2018-19d)'!$B:$F,2,FALSE)</f>
        <v>6</v>
      </c>
      <c r="H12" s="221">
        <f t="shared" si="0"/>
        <v>0.19999999999999996</v>
      </c>
      <c r="J12" s="259">
        <f>VLOOKUP($A12,'(2017-18c)'!$B:$F,2,FALSE)</f>
        <v>7</v>
      </c>
      <c r="K12" s="259">
        <f>VLOOKUP($A12,'(2018-19c)'!$B:$F,2,FALSE)</f>
        <v>12</v>
      </c>
      <c r="L12" s="221">
        <f t="shared" si="1"/>
        <v>0.71428571428571419</v>
      </c>
      <c r="N12" s="259">
        <f>VLOOKUP($A12,'(2017-18b)'!$B:$F,2,FALSE)</f>
        <v>9</v>
      </c>
      <c r="O12" s="259">
        <f>VLOOKUP($A12,'(2018-19b)'!$B:$F,2,FALSE)</f>
        <v>6</v>
      </c>
      <c r="P12" s="221">
        <f t="shared" si="2"/>
        <v>-0.33333333333333337</v>
      </c>
      <c r="R12" s="259">
        <f>VLOOKUP($A12,'(2017-18b)'!$B:$F,3,FALSE)</f>
        <v>0</v>
      </c>
      <c r="S12" s="259">
        <f>VLOOKUP($A12,'(2018-19b)'!$B:$F,3,FALSE)</f>
        <v>5</v>
      </c>
      <c r="T12" s="221" t="e">
        <f t="shared" si="3"/>
        <v>#DIV/0!</v>
      </c>
    </row>
    <row r="13" spans="1:20" x14ac:dyDescent="0.35">
      <c r="A13" s="261" t="s">
        <v>17</v>
      </c>
      <c r="B13" s="260">
        <f>IF(ISERROR(VLOOKUP(A13,IRS!A:B,2,FALSE)),0,VLOOKUP(A13,IRS!A:B,2,FALSE))</f>
        <v>0</v>
      </c>
      <c r="C13" s="260">
        <f>VLOOKUP(A13,'(2018-19b)'!B:C,2,FALSE)</f>
        <v>6</v>
      </c>
      <c r="F13" s="259">
        <f>VLOOKUP($A13,'(2017-18d)'!$B:$F,2,FALSE)</f>
        <v>7</v>
      </c>
      <c r="G13" s="259">
        <f>VLOOKUP($A13,'(2018-19d)'!$B:$F,2,FALSE)</f>
        <v>10</v>
      </c>
      <c r="H13" s="221">
        <f t="shared" si="0"/>
        <v>0.4285714285714286</v>
      </c>
      <c r="J13" s="259">
        <f>VLOOKUP($A13,'(2017-18c)'!$B:$F,2,FALSE)</f>
        <v>8</v>
      </c>
      <c r="K13" s="259">
        <f>VLOOKUP($A13,'(2018-19c)'!$B:$F,2,FALSE)</f>
        <v>9</v>
      </c>
      <c r="L13" s="221">
        <f t="shared" si="1"/>
        <v>0.125</v>
      </c>
      <c r="N13" s="259">
        <f>VLOOKUP($A13,'(2017-18b)'!$B:$F,2,FALSE)</f>
        <v>5</v>
      </c>
      <c r="O13" s="259">
        <f>VLOOKUP($A13,'(2018-19b)'!$B:$F,2,FALSE)</f>
        <v>6</v>
      </c>
      <c r="P13" s="221">
        <f t="shared" si="2"/>
        <v>0.19999999999999996</v>
      </c>
      <c r="R13" s="259">
        <f>VLOOKUP($A13,'(2017-18b)'!$B:$F,3,FALSE)</f>
        <v>4</v>
      </c>
      <c r="S13" s="259">
        <f>VLOOKUP($A13,'(2018-19b)'!$B:$F,3,FALSE)</f>
        <v>1</v>
      </c>
      <c r="T13" s="221">
        <f t="shared" si="3"/>
        <v>-0.75</v>
      </c>
    </row>
    <row r="14" spans="1:20" x14ac:dyDescent="0.35">
      <c r="A14" s="261" t="s">
        <v>163</v>
      </c>
      <c r="B14" s="260">
        <f>IF(ISERROR(VLOOKUP(A14,IRS!A:B,2,FALSE)),0,VLOOKUP(A14,IRS!A:B,2,FALSE))</f>
        <v>1</v>
      </c>
      <c r="C14" s="260">
        <f>VLOOKUP(A14,'(2018-19b)'!B:C,2,FALSE)</f>
        <v>12</v>
      </c>
      <c r="F14" s="259">
        <f>VLOOKUP($A14,'(2017-18d)'!$B:$F,2,FALSE)</f>
        <v>4</v>
      </c>
      <c r="G14" s="259">
        <f>VLOOKUP($A14,'(2018-19d)'!$B:$F,2,FALSE)</f>
        <v>4</v>
      </c>
      <c r="H14" s="221">
        <f t="shared" si="0"/>
        <v>0</v>
      </c>
      <c r="J14" s="259">
        <f>VLOOKUP($A14,'(2017-18c)'!$B:$F,2,FALSE)</f>
        <v>18</v>
      </c>
      <c r="K14" s="259">
        <f>VLOOKUP($A14,'(2018-19c)'!$B:$F,2,FALSE)</f>
        <v>30</v>
      </c>
      <c r="L14" s="221">
        <f t="shared" si="1"/>
        <v>0.66666666666666674</v>
      </c>
      <c r="N14" s="259">
        <f>VLOOKUP($A14,'(2017-18b)'!$B:$F,2,FALSE)</f>
        <v>25</v>
      </c>
      <c r="O14" s="259">
        <f>VLOOKUP($A14,'(2018-19b)'!$B:$F,2,FALSE)</f>
        <v>12</v>
      </c>
      <c r="P14" s="221">
        <f t="shared" si="2"/>
        <v>-0.52</v>
      </c>
      <c r="R14" s="259">
        <f>VLOOKUP($A14,'(2017-18b)'!$B:$F,3,FALSE)</f>
        <v>11</v>
      </c>
      <c r="S14" s="259">
        <f>VLOOKUP($A14,'(2018-19b)'!$B:$F,3,FALSE)</f>
        <v>6</v>
      </c>
      <c r="T14" s="221">
        <f t="shared" si="3"/>
        <v>-0.45454545454545459</v>
      </c>
    </row>
    <row r="15" spans="1:20" x14ac:dyDescent="0.35">
      <c r="A15" s="261" t="s">
        <v>197</v>
      </c>
      <c r="B15" s="260">
        <f>IF(ISERROR(VLOOKUP(A15,IRS!A:B,2,FALSE)),0,VLOOKUP(A15,IRS!A:B,2,FALSE))</f>
        <v>2</v>
      </c>
      <c r="C15" s="260">
        <f>VLOOKUP(A15,'(2018-19b)'!B:C,2,FALSE)</f>
        <v>26</v>
      </c>
      <c r="F15" s="259">
        <f>VLOOKUP($A15,'(2017-18d)'!$B:$F,2,FALSE)</f>
        <v>14</v>
      </c>
      <c r="G15" s="259">
        <f>VLOOKUP($A15,'(2018-19d)'!$B:$F,2,FALSE)</f>
        <v>10</v>
      </c>
      <c r="H15" s="221">
        <f t="shared" si="0"/>
        <v>-0.2857142857142857</v>
      </c>
      <c r="I15" s="222"/>
      <c r="J15" s="259">
        <f>VLOOKUP($A15,'(2017-18c)'!$B:$F,2,FALSE)</f>
        <v>29</v>
      </c>
      <c r="K15" s="259">
        <f>VLOOKUP($A15,'(2018-19c)'!$B:$F,2,FALSE)</f>
        <v>28</v>
      </c>
      <c r="L15" s="221">
        <f t="shared" si="1"/>
        <v>-3.4482758620689613E-2</v>
      </c>
      <c r="M15" s="222"/>
      <c r="N15" s="259">
        <f>VLOOKUP($A15,'(2017-18b)'!$B:$F,2,FALSE)</f>
        <v>20</v>
      </c>
      <c r="O15" s="259">
        <f>VLOOKUP($A15,'(2018-19b)'!$B:$F,2,FALSE)</f>
        <v>26</v>
      </c>
      <c r="P15" s="221">
        <f t="shared" si="2"/>
        <v>0.30000000000000004</v>
      </c>
      <c r="Q15" s="222"/>
      <c r="R15" s="259">
        <f>VLOOKUP($A15,'(2017-18b)'!$B:$F,3,FALSE)</f>
        <v>13</v>
      </c>
      <c r="S15" s="259">
        <f>VLOOKUP($A15,'(2018-19b)'!$B:$F,3,FALSE)</f>
        <v>9</v>
      </c>
      <c r="T15" s="221">
        <f t="shared" si="3"/>
        <v>-0.30769230769230771</v>
      </c>
    </row>
    <row r="16" spans="1:20" x14ac:dyDescent="0.35">
      <c r="A16" s="261" t="s">
        <v>20</v>
      </c>
      <c r="B16" s="260">
        <f>IF(ISERROR(VLOOKUP(A16,IRS!A:B,2,FALSE)),0,VLOOKUP(A16,IRS!A:B,2,FALSE))</f>
        <v>2</v>
      </c>
      <c r="C16" s="260">
        <f>VLOOKUP(A16,'(2018-19b)'!B:C,2,FALSE)</f>
        <v>7</v>
      </c>
      <c r="F16" s="259">
        <f>VLOOKUP($A16,'(2017-18d)'!$B:$F,2,FALSE)</f>
        <v>5</v>
      </c>
      <c r="G16" s="259">
        <f>VLOOKUP($A16,'(2018-19d)'!$B:$F,2,FALSE)</f>
        <v>5</v>
      </c>
      <c r="H16" s="221">
        <f t="shared" si="0"/>
        <v>0</v>
      </c>
      <c r="J16" s="259">
        <f>VLOOKUP($A16,'(2017-18c)'!$B:$F,2,FALSE)</f>
        <v>2</v>
      </c>
      <c r="K16" s="259">
        <f>VLOOKUP($A16,'(2018-19c)'!$B:$F,2,FALSE)</f>
        <v>4</v>
      </c>
      <c r="L16" s="221">
        <f t="shared" si="1"/>
        <v>1</v>
      </c>
      <c r="N16" s="259">
        <f>VLOOKUP($A16,'(2017-18b)'!$B:$F,2,FALSE)</f>
        <v>1</v>
      </c>
      <c r="O16" s="259">
        <f>VLOOKUP($A16,'(2018-19b)'!$B:$F,2,FALSE)</f>
        <v>7</v>
      </c>
      <c r="P16" s="221">
        <f t="shared" si="2"/>
        <v>6</v>
      </c>
      <c r="R16" s="259">
        <f>VLOOKUP($A16,'(2017-18b)'!$B:$F,3,FALSE)</f>
        <v>2</v>
      </c>
      <c r="S16" s="259">
        <f>VLOOKUP($A16,'(2018-19b)'!$B:$F,3,FALSE)</f>
        <v>2</v>
      </c>
      <c r="T16" s="221">
        <f t="shared" si="3"/>
        <v>0</v>
      </c>
    </row>
    <row r="17" spans="1:20" x14ac:dyDescent="0.35">
      <c r="A17" s="261" t="s">
        <v>21</v>
      </c>
      <c r="B17" s="260">
        <f>IF(ISERROR(VLOOKUP(A17,IRS!A:B,2,FALSE)),0,VLOOKUP(A17,IRS!A:B,2,FALSE))</f>
        <v>0</v>
      </c>
      <c r="C17" s="260">
        <f>VLOOKUP(A17,'(2018-19b)'!B:C,2,FALSE)</f>
        <v>16</v>
      </c>
      <c r="F17" s="259">
        <f>VLOOKUP($A17,'(2017-18d)'!$B:$F,2,FALSE)</f>
        <v>12</v>
      </c>
      <c r="G17" s="259">
        <f>VLOOKUP($A17,'(2018-19d)'!$B:$F,2,FALSE)</f>
        <v>12</v>
      </c>
      <c r="H17" s="221">
        <f t="shared" si="0"/>
        <v>0</v>
      </c>
      <c r="J17" s="259">
        <f>VLOOKUP($A17,'(2017-18c)'!$B:$F,2,FALSE)</f>
        <v>19</v>
      </c>
      <c r="K17" s="259">
        <f>VLOOKUP($A17,'(2018-19c)'!$B:$F,2,FALSE)</f>
        <v>19</v>
      </c>
      <c r="L17" s="221">
        <f t="shared" si="1"/>
        <v>0</v>
      </c>
      <c r="N17" s="259">
        <f>VLOOKUP($A17,'(2017-18b)'!$B:$F,2,FALSE)</f>
        <v>26</v>
      </c>
      <c r="O17" s="259">
        <f>VLOOKUP($A17,'(2018-19b)'!$B:$F,2,FALSE)</f>
        <v>16</v>
      </c>
      <c r="P17" s="221">
        <f t="shared" si="2"/>
        <v>-0.38461538461538458</v>
      </c>
      <c r="R17" s="259">
        <f>VLOOKUP($A17,'(2017-18b)'!$B:$F,3,FALSE)</f>
        <v>14</v>
      </c>
      <c r="S17" s="259">
        <f>VLOOKUP($A17,'(2018-19b)'!$B:$F,3,FALSE)</f>
        <v>19</v>
      </c>
      <c r="T17" s="221">
        <f t="shared" si="3"/>
        <v>0.35714285714285721</v>
      </c>
    </row>
    <row r="18" spans="1:20" x14ac:dyDescent="0.35">
      <c r="A18" s="261" t="s">
        <v>22</v>
      </c>
      <c r="B18" s="260">
        <f>IF(ISERROR(VLOOKUP(A18,IRS!A:B,2,FALSE)),0,VLOOKUP(A18,IRS!A:B,2,FALSE))</f>
        <v>1</v>
      </c>
      <c r="C18" s="260">
        <f>VLOOKUP(A18,'(2018-19b)'!B:C,2,FALSE)</f>
        <v>34</v>
      </c>
      <c r="F18" s="259">
        <f>VLOOKUP($A18,'(2017-18d)'!$B:$F,2,FALSE)</f>
        <v>32</v>
      </c>
      <c r="G18" s="259">
        <f>VLOOKUP($A18,'(2018-19d)'!$B:$F,2,FALSE)</f>
        <v>20</v>
      </c>
      <c r="H18" s="221">
        <f t="shared" si="0"/>
        <v>-0.375</v>
      </c>
      <c r="I18" s="222"/>
      <c r="J18" s="259">
        <f>VLOOKUP($A18,'(2017-18c)'!$B:$F,2,FALSE)</f>
        <v>21</v>
      </c>
      <c r="K18" s="259">
        <f>VLOOKUP($A18,'(2018-19c)'!$B:$F,2,FALSE)</f>
        <v>35</v>
      </c>
      <c r="L18" s="221">
        <f t="shared" si="1"/>
        <v>0.66666666666666674</v>
      </c>
      <c r="M18" s="222"/>
      <c r="N18" s="259">
        <f>VLOOKUP($A18,'(2017-18b)'!$B:$F,2,FALSE)</f>
        <v>26</v>
      </c>
      <c r="O18" s="259">
        <f>VLOOKUP($A18,'(2018-19b)'!$B:$F,2,FALSE)</f>
        <v>34</v>
      </c>
      <c r="P18" s="221">
        <f t="shared" si="2"/>
        <v>0.30769230769230771</v>
      </c>
      <c r="Q18" s="222"/>
      <c r="R18" s="259">
        <f>VLOOKUP($A18,'(2017-18b)'!$B:$F,3,FALSE)</f>
        <v>7</v>
      </c>
      <c r="S18" s="259">
        <f>VLOOKUP($A18,'(2018-19b)'!$B:$F,3,FALSE)</f>
        <v>8</v>
      </c>
      <c r="T18" s="221">
        <f t="shared" si="3"/>
        <v>0.14285714285714279</v>
      </c>
    </row>
    <row r="19" spans="1:20" x14ac:dyDescent="0.35">
      <c r="A19" s="261" t="s">
        <v>23</v>
      </c>
      <c r="B19" s="260">
        <f>IF(ISERROR(VLOOKUP(A19,IRS!A:B,2,FALSE)),0,VLOOKUP(A19,IRS!A:B,2,FALSE))</f>
        <v>0</v>
      </c>
      <c r="C19" s="260">
        <f>VLOOKUP(A19,'(2018-19b)'!B:C,2,FALSE)</f>
        <v>9</v>
      </c>
      <c r="F19" s="259">
        <f>VLOOKUP($A19,'(2017-18d)'!$B:$F,2,FALSE)</f>
        <v>5</v>
      </c>
      <c r="G19" s="259">
        <f>VLOOKUP($A19,'(2018-19d)'!$B:$F,2,FALSE)</f>
        <v>9</v>
      </c>
      <c r="H19" s="221">
        <f t="shared" si="0"/>
        <v>0.8</v>
      </c>
      <c r="J19" s="259">
        <f>VLOOKUP($A19,'(2017-18c)'!$B:$F,2,FALSE)</f>
        <v>20</v>
      </c>
      <c r="K19" s="259">
        <f>VLOOKUP($A19,'(2018-19c)'!$B:$F,2,FALSE)</f>
        <v>14</v>
      </c>
      <c r="L19" s="221">
        <f t="shared" si="1"/>
        <v>-0.30000000000000004</v>
      </c>
      <c r="N19" s="259">
        <f>VLOOKUP($A19,'(2017-18b)'!$B:$F,2,FALSE)</f>
        <v>6</v>
      </c>
      <c r="O19" s="259">
        <f>VLOOKUP($A19,'(2018-19b)'!$B:$F,2,FALSE)</f>
        <v>9</v>
      </c>
      <c r="P19" s="221">
        <f t="shared" si="2"/>
        <v>0.5</v>
      </c>
      <c r="R19" s="259">
        <f>VLOOKUP($A19,'(2017-18b)'!$B:$F,3,FALSE)</f>
        <v>4</v>
      </c>
      <c r="S19" s="259">
        <f>VLOOKUP($A19,'(2018-19b)'!$B:$F,3,FALSE)</f>
        <v>6</v>
      </c>
      <c r="T19" s="221">
        <f t="shared" si="3"/>
        <v>0.5</v>
      </c>
    </row>
    <row r="20" spans="1:20" x14ac:dyDescent="0.35">
      <c r="A20" s="261" t="s">
        <v>54</v>
      </c>
      <c r="B20" s="260">
        <f>IF(ISERROR(VLOOKUP(A20,IRS!A:B,2,FALSE)),0,VLOOKUP(A20,IRS!A:B,2,FALSE))</f>
        <v>29</v>
      </c>
      <c r="C20" s="260">
        <f>VLOOKUP(A20,'(2018-19b)'!B:C,2,FALSE)</f>
        <v>114</v>
      </c>
      <c r="F20" s="259">
        <f>VLOOKUP($A20,'(2017-18d)'!$B:$F,2,FALSE)</f>
        <v>141</v>
      </c>
      <c r="G20" s="259">
        <f>VLOOKUP($A20,'(2018-19d)'!$B:$F,2,FALSE)</f>
        <v>123</v>
      </c>
      <c r="H20" s="221">
        <f t="shared" si="0"/>
        <v>-0.12765957446808507</v>
      </c>
      <c r="J20" s="259">
        <f>VLOOKUP($A20,'(2017-18c)'!$B:$F,2,FALSE)</f>
        <v>75</v>
      </c>
      <c r="K20" s="259">
        <f>VLOOKUP($A20,'(2018-19c)'!$B:$F,2,FALSE)</f>
        <v>92</v>
      </c>
      <c r="L20" s="221">
        <f t="shared" si="1"/>
        <v>0.22666666666666657</v>
      </c>
      <c r="N20" s="259">
        <f>VLOOKUP($A20,'(2017-18b)'!$B:$F,2,FALSE)</f>
        <v>179</v>
      </c>
      <c r="O20" s="259">
        <f>VLOOKUP($A20,'(2018-19b)'!$B:$F,2,FALSE)</f>
        <v>114</v>
      </c>
      <c r="P20" s="221">
        <f t="shared" si="2"/>
        <v>-0.36312849162011174</v>
      </c>
      <c r="R20" s="259">
        <f>VLOOKUP($A20,'(2017-18b)'!$B:$F,3,FALSE)</f>
        <v>46</v>
      </c>
      <c r="S20" s="259">
        <f>VLOOKUP($A20,'(2018-19b)'!$B:$F,3,FALSE)</f>
        <v>53</v>
      </c>
      <c r="T20" s="221">
        <f t="shared" si="3"/>
        <v>0.15217391304347827</v>
      </c>
    </row>
    <row r="21" spans="1:20" x14ac:dyDescent="0.35">
      <c r="A21" s="261" t="s">
        <v>48</v>
      </c>
      <c r="B21" s="260">
        <f>IF(ISERROR(VLOOKUP(A21,IRS!A:B,2,FALSE)),0,VLOOKUP(A21,IRS!A:B,2,FALSE))</f>
        <v>12</v>
      </c>
      <c r="C21" s="260">
        <f>VLOOKUP(A21,'(2018-19b)'!B:C,2,FALSE)</f>
        <v>46</v>
      </c>
      <c r="F21" s="259">
        <f>VLOOKUP($A21,'(2017-18d)'!$B:$F,2,FALSE)</f>
        <v>21</v>
      </c>
      <c r="G21" s="259">
        <f>VLOOKUP($A21,'(2018-19d)'!$B:$F,2,FALSE)</f>
        <v>22</v>
      </c>
      <c r="H21" s="221">
        <f t="shared" si="0"/>
        <v>4.7619047619047672E-2</v>
      </c>
      <c r="J21" s="259">
        <f>VLOOKUP($A21,'(2017-18c)'!$B:$F,2,FALSE)</f>
        <v>33</v>
      </c>
      <c r="K21" s="259">
        <f>VLOOKUP($A21,'(2018-19c)'!$B:$F,2,FALSE)</f>
        <v>26</v>
      </c>
      <c r="L21" s="221">
        <f t="shared" si="1"/>
        <v>-0.21212121212121215</v>
      </c>
      <c r="N21" s="259">
        <f>VLOOKUP($A21,'(2017-18b)'!$B:$F,2,FALSE)</f>
        <v>38</v>
      </c>
      <c r="O21" s="259">
        <f>VLOOKUP($A21,'(2018-19b)'!$B:$F,2,FALSE)</f>
        <v>46</v>
      </c>
      <c r="P21" s="221">
        <f t="shared" si="2"/>
        <v>0.21052631578947367</v>
      </c>
      <c r="R21" s="259">
        <f>VLOOKUP($A21,'(2017-18b)'!$B:$F,3,FALSE)</f>
        <v>13</v>
      </c>
      <c r="S21" s="259">
        <f>VLOOKUP($A21,'(2018-19b)'!$B:$F,3,FALSE)</f>
        <v>5</v>
      </c>
      <c r="T21" s="221">
        <f t="shared" si="3"/>
        <v>-0.61538461538461542</v>
      </c>
    </row>
    <row r="22" spans="1:20" x14ac:dyDescent="0.35">
      <c r="A22" s="261" t="s">
        <v>24</v>
      </c>
      <c r="B22" s="260">
        <f>IF(ISERROR(VLOOKUP(A22,IRS!A:B,2,FALSE)),0,VLOOKUP(A22,IRS!A:B,2,FALSE))</f>
        <v>2</v>
      </c>
      <c r="C22" s="260">
        <f>VLOOKUP(A22,'(2018-19b)'!B:C,2,FALSE)</f>
        <v>24</v>
      </c>
      <c r="F22" s="259">
        <f>VLOOKUP($A22,'(2017-18d)'!$B:$F,2,FALSE)</f>
        <v>14</v>
      </c>
      <c r="G22" s="259">
        <f>VLOOKUP($A22,'(2018-19d)'!$B:$F,2,FALSE)</f>
        <v>4</v>
      </c>
      <c r="H22" s="221">
        <f t="shared" si="0"/>
        <v>-0.7142857142857143</v>
      </c>
      <c r="J22" s="259">
        <f>VLOOKUP($A22,'(2017-18c)'!$B:$F,2,FALSE)</f>
        <v>33</v>
      </c>
      <c r="K22" s="259">
        <f>VLOOKUP($A22,'(2018-19c)'!$B:$F,2,FALSE)</f>
        <v>25</v>
      </c>
      <c r="L22" s="221">
        <f t="shared" si="1"/>
        <v>-0.24242424242424243</v>
      </c>
      <c r="N22" s="259">
        <f>VLOOKUP($A22,'(2017-18b)'!$B:$F,2,FALSE)</f>
        <v>29</v>
      </c>
      <c r="O22" s="259">
        <f>VLOOKUP($A22,'(2018-19b)'!$B:$F,2,FALSE)</f>
        <v>24</v>
      </c>
      <c r="P22" s="221">
        <f t="shared" si="2"/>
        <v>-0.17241379310344829</v>
      </c>
      <c r="R22" s="259">
        <f>VLOOKUP($A22,'(2017-18b)'!$B:$F,3,FALSE)</f>
        <v>2</v>
      </c>
      <c r="S22" s="259">
        <f>VLOOKUP($A22,'(2018-19b)'!$B:$F,3,FALSE)</f>
        <v>8</v>
      </c>
      <c r="T22" s="221">
        <f t="shared" si="3"/>
        <v>3</v>
      </c>
    </row>
    <row r="23" spans="1:20" x14ac:dyDescent="0.35">
      <c r="A23" s="261" t="s">
        <v>214</v>
      </c>
      <c r="B23" s="260">
        <f>IF(ISERROR(VLOOKUP(A23,IRS!A:B,2,FALSE)),0,VLOOKUP(A23,IRS!A:B,2,FALSE))</f>
        <v>0</v>
      </c>
      <c r="C23" s="260">
        <f>VLOOKUP(A23,'(2018-19b)'!B:C,2,FALSE)</f>
        <v>10</v>
      </c>
      <c r="F23" s="259">
        <f>VLOOKUP($A23,'(2017-18d)'!$B:$F,2,FALSE)</f>
        <v>13</v>
      </c>
      <c r="G23" s="259">
        <f>VLOOKUP($A23,'(2018-19d)'!$B:$F,2,FALSE)</f>
        <v>8</v>
      </c>
      <c r="H23" s="221">
        <f t="shared" si="0"/>
        <v>-0.38461538461538458</v>
      </c>
      <c r="J23" s="259">
        <f>VLOOKUP($A23,'(2017-18c)'!$B:$F,2,FALSE)</f>
        <v>41</v>
      </c>
      <c r="K23" s="259">
        <f>VLOOKUP($A23,'(2018-19c)'!$B:$F,2,FALSE)</f>
        <v>51</v>
      </c>
      <c r="L23" s="221">
        <f t="shared" si="1"/>
        <v>0.24390243902439024</v>
      </c>
      <c r="N23" s="259">
        <f>VLOOKUP($A23,'(2017-18b)'!$B:$F,2,FALSE)</f>
        <v>10</v>
      </c>
      <c r="O23" s="259">
        <f>VLOOKUP($A23,'(2018-19b)'!$B:$F,2,FALSE)</f>
        <v>10</v>
      </c>
      <c r="P23" s="221">
        <f t="shared" si="2"/>
        <v>0</v>
      </c>
      <c r="R23" s="259">
        <f>VLOOKUP($A23,'(2017-18b)'!$B:$F,3,FALSE)</f>
        <v>7</v>
      </c>
      <c r="S23" s="259">
        <f>VLOOKUP($A23,'(2018-19b)'!$B:$F,3,FALSE)</f>
        <v>2</v>
      </c>
      <c r="T23" s="221">
        <f t="shared" si="3"/>
        <v>-0.7142857142857143</v>
      </c>
    </row>
    <row r="24" spans="1:20" x14ac:dyDescent="0.35">
      <c r="A24" s="261" t="s">
        <v>26</v>
      </c>
      <c r="B24" s="260">
        <f>IF(ISERROR(VLOOKUP(A24,IRS!A:B,2,FALSE)),0,VLOOKUP(A24,IRS!A:B,2,FALSE))</f>
        <v>0</v>
      </c>
      <c r="C24" s="260">
        <f>VLOOKUP(A24,'(2018-19b)'!B:C,2,FALSE)</f>
        <v>26</v>
      </c>
      <c r="F24" s="259">
        <f>VLOOKUP($A24,'(2017-18d)'!$B:$F,2,FALSE)</f>
        <v>7</v>
      </c>
      <c r="G24" s="259">
        <f>VLOOKUP($A24,'(2018-19d)'!$B:$F,2,FALSE)</f>
        <v>4</v>
      </c>
      <c r="H24" s="221">
        <f t="shared" si="0"/>
        <v>-0.4285714285714286</v>
      </c>
      <c r="J24" s="259">
        <f>VLOOKUP($A24,'(2017-18c)'!$B:$F,2,FALSE)</f>
        <v>23</v>
      </c>
      <c r="K24" s="259">
        <f>VLOOKUP($A24,'(2018-19c)'!$B:$F,2,FALSE)</f>
        <v>22</v>
      </c>
      <c r="L24" s="221">
        <f t="shared" si="1"/>
        <v>-4.3478260869565188E-2</v>
      </c>
      <c r="N24" s="259">
        <f>VLOOKUP($A24,'(2017-18b)'!$B:$F,2,FALSE)</f>
        <v>18</v>
      </c>
      <c r="O24" s="259">
        <f>VLOOKUP($A24,'(2018-19b)'!$B:$F,2,FALSE)</f>
        <v>26</v>
      </c>
      <c r="P24" s="221">
        <f t="shared" si="2"/>
        <v>0.44444444444444442</v>
      </c>
      <c r="R24" s="259">
        <f>VLOOKUP($A24,'(2017-18b)'!$B:$F,3,FALSE)</f>
        <v>8</v>
      </c>
      <c r="S24" s="259">
        <f>VLOOKUP($A24,'(2018-19b)'!$B:$F,3,FALSE)</f>
        <v>9</v>
      </c>
      <c r="T24" s="221">
        <f t="shared" si="3"/>
        <v>0.125</v>
      </c>
    </row>
    <row r="25" spans="1:20" x14ac:dyDescent="0.35">
      <c r="A25" s="261" t="s">
        <v>27</v>
      </c>
      <c r="B25" s="260">
        <f>IF(ISERROR(VLOOKUP(A25,IRS!A:B,2,FALSE)),0,VLOOKUP(A25,IRS!A:B,2,FALSE))</f>
        <v>0</v>
      </c>
      <c r="C25" s="260">
        <f>VLOOKUP(A25,'(2018-19b)'!B:C,2,FALSE)</f>
        <v>12</v>
      </c>
      <c r="F25" s="259">
        <f>VLOOKUP($A25,'(2017-18d)'!$B:$F,2,FALSE)</f>
        <v>12</v>
      </c>
      <c r="G25" s="259">
        <f>VLOOKUP($A25,'(2018-19d)'!$B:$F,2,FALSE)</f>
        <v>11</v>
      </c>
      <c r="H25" s="221">
        <f t="shared" si="0"/>
        <v>-8.333333333333337E-2</v>
      </c>
      <c r="J25" s="259">
        <f>VLOOKUP($A25,'(2017-18c)'!$B:$F,2,FALSE)</f>
        <v>50</v>
      </c>
      <c r="K25" s="259">
        <f>VLOOKUP($A25,'(2018-19c)'!$B:$F,2,FALSE)</f>
        <v>51</v>
      </c>
      <c r="L25" s="221">
        <f t="shared" si="1"/>
        <v>2.0000000000000018E-2</v>
      </c>
      <c r="N25" s="259">
        <f>VLOOKUP($A25,'(2017-18b)'!$B:$F,2,FALSE)</f>
        <v>11</v>
      </c>
      <c r="O25" s="259">
        <f>VLOOKUP($A25,'(2018-19b)'!$B:$F,2,FALSE)</f>
        <v>12</v>
      </c>
      <c r="P25" s="221">
        <f t="shared" si="2"/>
        <v>9.0909090909090828E-2</v>
      </c>
      <c r="R25" s="259">
        <f>VLOOKUP($A25,'(2017-18b)'!$B:$F,3,FALSE)</f>
        <v>8</v>
      </c>
      <c r="S25" s="259">
        <f>VLOOKUP($A25,'(2018-19b)'!$B:$F,3,FALSE)</f>
        <v>6</v>
      </c>
      <c r="T25" s="221">
        <f t="shared" si="3"/>
        <v>-0.25</v>
      </c>
    </row>
    <row r="26" spans="1:20" x14ac:dyDescent="0.35">
      <c r="A26" s="261" t="s">
        <v>28</v>
      </c>
      <c r="B26" s="260">
        <f>IF(ISERROR(VLOOKUP(A26,IRS!A:B,2,FALSE)),0,VLOOKUP(A26,IRS!A:B,2,FALSE))</f>
        <v>0</v>
      </c>
      <c r="C26" s="260">
        <f>VLOOKUP(A26,'(2018-19b)'!B:C,2,FALSE)</f>
        <v>0</v>
      </c>
      <c r="F26" s="259">
        <f>VLOOKUP($A26,'(2017-18d)'!$B:$F,2,FALSE)</f>
        <v>3</v>
      </c>
      <c r="G26" s="259">
        <f>VLOOKUP($A26,'(2018-19d)'!$B:$F,2,FALSE)</f>
        <v>2</v>
      </c>
      <c r="H26" s="221">
        <f t="shared" si="0"/>
        <v>-0.33333333333333337</v>
      </c>
      <c r="J26" s="259">
        <f>VLOOKUP($A26,'(2017-18c)'!$B:$F,2,FALSE)</f>
        <v>2</v>
      </c>
      <c r="K26" s="259">
        <f>VLOOKUP($A26,'(2018-19c)'!$B:$F,2,FALSE)</f>
        <v>3</v>
      </c>
      <c r="L26" s="221">
        <f t="shared" si="1"/>
        <v>0.5</v>
      </c>
      <c r="N26" s="259">
        <f>VLOOKUP($A26,'(2017-18b)'!$B:$F,2,FALSE)</f>
        <v>2</v>
      </c>
      <c r="O26" s="259">
        <f>VLOOKUP($A26,'(2018-19b)'!$B:$F,2,FALSE)</f>
        <v>0</v>
      </c>
      <c r="P26" s="221">
        <f t="shared" si="2"/>
        <v>-1</v>
      </c>
      <c r="R26" s="259">
        <f>VLOOKUP($A26,'(2017-18b)'!$B:$F,3,FALSE)</f>
        <v>1</v>
      </c>
      <c r="S26" s="259">
        <f>VLOOKUP($A26,'(2018-19b)'!$B:$F,3,FALSE)</f>
        <v>0</v>
      </c>
      <c r="T26" s="221">
        <f t="shared" si="3"/>
        <v>-1</v>
      </c>
    </row>
    <row r="27" spans="1:20" x14ac:dyDescent="0.35">
      <c r="A27" s="261" t="s">
        <v>46</v>
      </c>
      <c r="B27" s="260">
        <f>IF(ISERROR(VLOOKUP(A27,IRS!A:B,2,FALSE)),0,VLOOKUP(A27,IRS!A:B,2,FALSE))</f>
        <v>0</v>
      </c>
      <c r="C27" s="260">
        <f>VLOOKUP(A27,'(2018-19b)'!B:C,2,FALSE)</f>
        <v>0</v>
      </c>
      <c r="F27" s="259">
        <f>VLOOKUP($A27,'(2017-18d)'!$B:$F,2,FALSE)</f>
        <v>0</v>
      </c>
      <c r="G27" s="259">
        <f>VLOOKUP($A27,'(2018-19d)'!$B:$F,2,FALSE)</f>
        <v>0</v>
      </c>
      <c r="H27" s="221" t="e">
        <f t="shared" si="0"/>
        <v>#DIV/0!</v>
      </c>
      <c r="J27" s="259">
        <f>VLOOKUP($A27,'(2017-18c)'!$B:$F,2,FALSE)</f>
        <v>0</v>
      </c>
      <c r="K27" s="259">
        <f>VLOOKUP($A27,'(2018-19c)'!$B:$F,2,FALSE)</f>
        <v>0</v>
      </c>
      <c r="L27" s="221" t="e">
        <f t="shared" si="1"/>
        <v>#DIV/0!</v>
      </c>
      <c r="N27" s="259">
        <f>VLOOKUP($A27,'(2017-18b)'!$B:$F,2,FALSE)</f>
        <v>0</v>
      </c>
      <c r="O27" s="259">
        <f>VLOOKUP($A27,'(2018-19b)'!$B:$F,2,FALSE)</f>
        <v>0</v>
      </c>
      <c r="P27" s="221" t="e">
        <f t="shared" si="2"/>
        <v>#DIV/0!</v>
      </c>
      <c r="R27" s="259">
        <f>VLOOKUP($A27,'(2017-18b)'!$B:$F,3,FALSE)</f>
        <v>0</v>
      </c>
      <c r="S27" s="259">
        <f>VLOOKUP($A27,'(2018-19b)'!$B:$F,3,FALSE)</f>
        <v>0</v>
      </c>
      <c r="T27" s="221" t="e">
        <f t="shared" si="3"/>
        <v>#DIV/0!</v>
      </c>
    </row>
    <row r="28" spans="1:20" x14ac:dyDescent="0.35">
      <c r="A28" s="261" t="s">
        <v>29</v>
      </c>
      <c r="B28" s="260">
        <f>IF(ISERROR(VLOOKUP(A28,IRS!A:B,2,FALSE)),0,VLOOKUP(A28,IRS!A:B,2,FALSE))</f>
        <v>1</v>
      </c>
      <c r="C28" s="260">
        <f>VLOOKUP(A28,'(2018-19b)'!B:C,2,FALSE)</f>
        <v>23</v>
      </c>
      <c r="F28" s="259">
        <f>VLOOKUP($A28,'(2017-18d)'!$B:$F,2,FALSE)</f>
        <v>18</v>
      </c>
      <c r="G28" s="259">
        <f>VLOOKUP($A28,'(2018-19d)'!$B:$F,2,FALSE)</f>
        <v>16</v>
      </c>
      <c r="H28" s="221">
        <f t="shared" si="0"/>
        <v>-0.11111111111111116</v>
      </c>
      <c r="J28" s="259">
        <f>VLOOKUP($A28,'(2017-18c)'!$B:$F,2,FALSE)</f>
        <v>10</v>
      </c>
      <c r="K28" s="259">
        <f>VLOOKUP($A28,'(2018-19c)'!$B:$F,2,FALSE)</f>
        <v>16</v>
      </c>
      <c r="L28" s="221">
        <f t="shared" si="1"/>
        <v>0.60000000000000009</v>
      </c>
      <c r="N28" s="259">
        <f>VLOOKUP($A28,'(2017-18b)'!$B:$F,2,FALSE)</f>
        <v>17</v>
      </c>
      <c r="O28" s="259">
        <f>VLOOKUP($A28,'(2018-19b)'!$B:$F,2,FALSE)</f>
        <v>23</v>
      </c>
      <c r="P28" s="221">
        <f t="shared" si="2"/>
        <v>0.35294117647058831</v>
      </c>
      <c r="R28" s="259">
        <f>VLOOKUP($A28,'(2017-18b)'!$B:$F,3,FALSE)</f>
        <v>11</v>
      </c>
      <c r="S28" s="259">
        <f>VLOOKUP($A28,'(2018-19b)'!$B:$F,3,FALSE)</f>
        <v>26</v>
      </c>
      <c r="T28" s="221">
        <f t="shared" si="3"/>
        <v>1.3636363636363638</v>
      </c>
    </row>
    <row r="29" spans="1:20" x14ac:dyDescent="0.35">
      <c r="A29" s="261" t="s">
        <v>30</v>
      </c>
      <c r="B29" s="260">
        <f>IF(ISERROR(VLOOKUP(A29,IRS!A:B,2,FALSE)),0,VLOOKUP(A29,IRS!A:B,2,FALSE))</f>
        <v>3</v>
      </c>
      <c r="C29" s="260">
        <f>VLOOKUP(A29,'(2018-19b)'!B:C,2,FALSE)</f>
        <v>16</v>
      </c>
      <c r="F29" s="259">
        <f>VLOOKUP($A29,'(2017-18d)'!$B:$F,2,FALSE)</f>
        <v>23</v>
      </c>
      <c r="G29" s="259">
        <f>VLOOKUP($A29,'(2018-19d)'!$B:$F,2,FALSE)</f>
        <v>15</v>
      </c>
      <c r="H29" s="221">
        <f t="shared" si="0"/>
        <v>-0.34782608695652173</v>
      </c>
      <c r="J29" s="259">
        <f>VLOOKUP($A29,'(2017-18c)'!$B:$F,2,FALSE)</f>
        <v>18</v>
      </c>
      <c r="K29" s="259">
        <f>VLOOKUP($A29,'(2018-19c)'!$B:$F,2,FALSE)</f>
        <v>18</v>
      </c>
      <c r="L29" s="221">
        <f t="shared" si="1"/>
        <v>0</v>
      </c>
      <c r="N29" s="259">
        <f>VLOOKUP($A29,'(2017-18b)'!$B:$F,2,FALSE)</f>
        <v>12</v>
      </c>
      <c r="O29" s="259">
        <f>VLOOKUP($A29,'(2018-19b)'!$B:$F,2,FALSE)</f>
        <v>16</v>
      </c>
      <c r="P29" s="221">
        <f t="shared" si="2"/>
        <v>0.33333333333333326</v>
      </c>
      <c r="R29" s="259">
        <f>VLOOKUP($A29,'(2017-18b)'!$B:$F,3,FALSE)</f>
        <v>3</v>
      </c>
      <c r="S29" s="259">
        <f>VLOOKUP($A29,'(2018-19b)'!$B:$F,3,FALSE)</f>
        <v>3</v>
      </c>
      <c r="T29" s="221">
        <f t="shared" si="3"/>
        <v>0</v>
      </c>
    </row>
    <row r="30" spans="1:20" x14ac:dyDescent="0.35">
      <c r="A30" s="261" t="s">
        <v>31</v>
      </c>
      <c r="B30" s="260">
        <f>IF(ISERROR(VLOOKUP(A30,IRS!A:B,2,FALSE)),0,VLOOKUP(A30,IRS!A:B,2,FALSE))</f>
        <v>0</v>
      </c>
      <c r="C30" s="260">
        <f>VLOOKUP(A30,'(2018-19b)'!B:C,2,FALSE)</f>
        <v>9</v>
      </c>
      <c r="F30" s="259">
        <f>VLOOKUP($A30,'(2017-18d)'!$B:$F,2,FALSE)</f>
        <v>7</v>
      </c>
      <c r="G30" s="259">
        <f>VLOOKUP($A30,'(2018-19d)'!$B:$F,2,FALSE)</f>
        <v>17</v>
      </c>
      <c r="H30" s="221">
        <f t="shared" si="0"/>
        <v>1.4285714285714284</v>
      </c>
      <c r="J30" s="259">
        <f>VLOOKUP($A30,'(2017-18c)'!$B:$F,2,FALSE)</f>
        <v>15</v>
      </c>
      <c r="K30" s="259">
        <f>VLOOKUP($A30,'(2018-19c)'!$B:$F,2,FALSE)</f>
        <v>14</v>
      </c>
      <c r="L30" s="221">
        <f t="shared" si="1"/>
        <v>-6.6666666666666652E-2</v>
      </c>
      <c r="N30" s="259">
        <f>VLOOKUP($A30,'(2017-18b)'!$B:$F,2,FALSE)</f>
        <v>14</v>
      </c>
      <c r="O30" s="259">
        <f>VLOOKUP($A30,'(2018-19b)'!$B:$F,2,FALSE)</f>
        <v>9</v>
      </c>
      <c r="P30" s="221">
        <f t="shared" si="2"/>
        <v>-0.3571428571428571</v>
      </c>
      <c r="R30" s="259">
        <f>VLOOKUP($A30,'(2017-18b)'!$B:$F,3,FALSE)</f>
        <v>2</v>
      </c>
      <c r="S30" s="259">
        <f>VLOOKUP($A30,'(2018-19b)'!$B:$F,3,FALSE)</f>
        <v>5</v>
      </c>
      <c r="T30" s="221">
        <f t="shared" si="3"/>
        <v>1.5</v>
      </c>
    </row>
    <row r="31" spans="1:20" x14ac:dyDescent="0.35">
      <c r="A31" s="261" t="s">
        <v>32</v>
      </c>
      <c r="B31" s="260">
        <f>IF(ISERROR(VLOOKUP(A31,IRS!A:B,2,FALSE)),0,VLOOKUP(A31,IRS!A:B,2,FALSE))</f>
        <v>9</v>
      </c>
      <c r="C31" s="260">
        <f>VLOOKUP(A31,'(2018-19b)'!B:C,2,FALSE)</f>
        <v>10</v>
      </c>
      <c r="F31" s="259">
        <f>VLOOKUP($A31,'(2017-18d)'!$B:$F,2,FALSE)</f>
        <v>11</v>
      </c>
      <c r="G31" s="259">
        <f>VLOOKUP($A31,'(2018-19d)'!$B:$F,2,FALSE)</f>
        <v>8</v>
      </c>
      <c r="H31" s="221">
        <f t="shared" si="0"/>
        <v>-0.27272727272727271</v>
      </c>
      <c r="J31" s="259">
        <f>VLOOKUP($A31,'(2017-18c)'!$B:$F,2,FALSE)</f>
        <v>13</v>
      </c>
      <c r="K31" s="259">
        <f>VLOOKUP($A31,'(2018-19c)'!$B:$F,2,FALSE)</f>
        <v>22</v>
      </c>
      <c r="L31" s="221">
        <f t="shared" si="1"/>
        <v>0.69230769230769229</v>
      </c>
      <c r="N31" s="259">
        <f>VLOOKUP($A31,'(2017-18b)'!$B:$F,2,FALSE)</f>
        <v>10</v>
      </c>
      <c r="O31" s="259">
        <f>VLOOKUP($A31,'(2018-19b)'!$B:$F,2,FALSE)</f>
        <v>10</v>
      </c>
      <c r="P31" s="221">
        <f t="shared" si="2"/>
        <v>0</v>
      </c>
      <c r="R31" s="259">
        <f>VLOOKUP($A31,'(2017-18b)'!$B:$F,3,FALSE)</f>
        <v>14</v>
      </c>
      <c r="S31" s="259">
        <f>VLOOKUP($A31,'(2018-19b)'!$B:$F,3,FALSE)</f>
        <v>6</v>
      </c>
      <c r="T31" s="221">
        <f t="shared" si="3"/>
        <v>-0.5714285714285714</v>
      </c>
    </row>
    <row r="32" spans="1:20" x14ac:dyDescent="0.35">
      <c r="A32" s="261" t="s">
        <v>49</v>
      </c>
      <c r="B32" s="260">
        <f>IF(ISERROR(VLOOKUP(A32,IRS!A:B,2,FALSE)),0,VLOOKUP(A32,IRS!A:B,2,FALSE))</f>
        <v>16</v>
      </c>
      <c r="C32" s="260">
        <f>VLOOKUP(A32,'(2018-19b)'!B:C,2,FALSE)</f>
        <v>19</v>
      </c>
      <c r="F32" s="259">
        <f>VLOOKUP($A32,'(2017-18d)'!$B:$F,2,FALSE)</f>
        <v>12</v>
      </c>
      <c r="G32" s="259">
        <f>VLOOKUP($A32,'(2018-19d)'!$B:$F,2,FALSE)</f>
        <v>2</v>
      </c>
      <c r="H32" s="221">
        <f t="shared" si="0"/>
        <v>-0.83333333333333337</v>
      </c>
      <c r="J32" s="259">
        <f>VLOOKUP($A32,'(2017-18c)'!$B:$F,2,FALSE)</f>
        <v>10</v>
      </c>
      <c r="K32" s="259">
        <f>VLOOKUP($A32,'(2018-19c)'!$B:$F,2,FALSE)</f>
        <v>8</v>
      </c>
      <c r="L32" s="221">
        <f t="shared" si="1"/>
        <v>-0.19999999999999996</v>
      </c>
      <c r="N32" s="259">
        <f>VLOOKUP($A32,'(2017-18b)'!$B:$F,2,FALSE)</f>
        <v>20</v>
      </c>
      <c r="O32" s="259">
        <f>VLOOKUP($A32,'(2018-19b)'!$B:$F,2,FALSE)</f>
        <v>19</v>
      </c>
      <c r="P32" s="221">
        <f t="shared" si="2"/>
        <v>-5.0000000000000044E-2</v>
      </c>
      <c r="R32" s="259">
        <f>VLOOKUP($A32,'(2017-18b)'!$B:$F,3,FALSE)</f>
        <v>0</v>
      </c>
      <c r="S32" s="259">
        <f>VLOOKUP($A32,'(2018-19b)'!$B:$F,3,FALSE)</f>
        <v>4</v>
      </c>
      <c r="T32" s="221" t="e">
        <f t="shared" si="3"/>
        <v>#DIV/0!</v>
      </c>
    </row>
    <row r="33" spans="1:20" x14ac:dyDescent="0.35">
      <c r="A33" s="261" t="s">
        <v>33</v>
      </c>
      <c r="B33" s="260">
        <f>IF(ISERROR(VLOOKUP(A33,IRS!A:B,2,FALSE)),0,VLOOKUP(A33,IRS!A:B,2,FALSE))</f>
        <v>0</v>
      </c>
      <c r="C33" s="260">
        <f>VLOOKUP(A33,'(2018-19b)'!B:C,2,FALSE)</f>
        <v>17</v>
      </c>
      <c r="F33" s="259">
        <f>VLOOKUP($A33,'(2017-18d)'!$B:$F,2,FALSE)</f>
        <v>10</v>
      </c>
      <c r="G33" s="259">
        <f>VLOOKUP($A33,'(2018-19d)'!$B:$F,2,FALSE)</f>
        <v>4</v>
      </c>
      <c r="H33" s="221">
        <f t="shared" si="0"/>
        <v>-0.6</v>
      </c>
      <c r="J33" s="259">
        <f>VLOOKUP($A33,'(2017-18c)'!$B:$F,2,FALSE)</f>
        <v>29</v>
      </c>
      <c r="K33" s="259">
        <f>VLOOKUP($A33,'(2018-19c)'!$B:$F,2,FALSE)</f>
        <v>26</v>
      </c>
      <c r="L33" s="221">
        <f t="shared" si="1"/>
        <v>-0.10344827586206895</v>
      </c>
      <c r="N33" s="259">
        <f>VLOOKUP($A33,'(2017-18b)'!$B:$F,2,FALSE)</f>
        <v>9</v>
      </c>
      <c r="O33" s="259">
        <f>VLOOKUP($A33,'(2018-19b)'!$B:$F,2,FALSE)</f>
        <v>17</v>
      </c>
      <c r="P33" s="221">
        <f t="shared" si="2"/>
        <v>0.88888888888888884</v>
      </c>
      <c r="R33" s="259">
        <f>VLOOKUP($A33,'(2017-18b)'!$B:$F,3,FALSE)</f>
        <v>10</v>
      </c>
      <c r="S33" s="259">
        <f>VLOOKUP($A33,'(2018-19b)'!$B:$F,3,FALSE)</f>
        <v>13</v>
      </c>
      <c r="T33" s="221">
        <f t="shared" si="3"/>
        <v>0.30000000000000004</v>
      </c>
    </row>
    <row r="34" spans="1:20" x14ac:dyDescent="0.35">
      <c r="A34" s="261" t="s">
        <v>34</v>
      </c>
      <c r="B34" s="260">
        <f>IF(ISERROR(VLOOKUP(A34,IRS!A:B,2,FALSE)),0,VLOOKUP(A34,IRS!A:B,2,FALSE))</f>
        <v>0</v>
      </c>
      <c r="C34" s="260">
        <f>VLOOKUP(A34,'(2018-19b)'!B:C,2,FALSE)</f>
        <v>13</v>
      </c>
      <c r="F34" s="259">
        <f>VLOOKUP($A34,'(2017-18d)'!$B:$F,2,FALSE)</f>
        <v>12</v>
      </c>
      <c r="G34" s="259">
        <f>VLOOKUP($A34,'(2018-19d)'!$B:$F,2,FALSE)</f>
        <v>6</v>
      </c>
      <c r="H34" s="221">
        <f t="shared" si="0"/>
        <v>-0.5</v>
      </c>
      <c r="J34" s="259">
        <f>VLOOKUP($A34,'(2017-18c)'!$B:$F,2,FALSE)</f>
        <v>36</v>
      </c>
      <c r="K34" s="259">
        <f>VLOOKUP($A34,'(2018-19c)'!$B:$F,2,FALSE)</f>
        <v>34</v>
      </c>
      <c r="L34" s="221">
        <f t="shared" si="1"/>
        <v>-5.555555555555558E-2</v>
      </c>
      <c r="N34" s="259">
        <f>VLOOKUP($A34,'(2017-18b)'!$B:$F,2,FALSE)</f>
        <v>8</v>
      </c>
      <c r="O34" s="259">
        <f>VLOOKUP($A34,'(2018-19b)'!$B:$F,2,FALSE)</f>
        <v>13</v>
      </c>
      <c r="P34" s="221">
        <f t="shared" si="2"/>
        <v>0.625</v>
      </c>
      <c r="R34" s="259">
        <f>VLOOKUP($A34,'(2017-18b)'!$B:$F,3,FALSE)</f>
        <v>6</v>
      </c>
      <c r="S34" s="259">
        <f>VLOOKUP($A34,'(2018-19b)'!$B:$F,3,FALSE)</f>
        <v>6</v>
      </c>
      <c r="T34" s="221">
        <f t="shared" si="3"/>
        <v>0</v>
      </c>
    </row>
    <row r="35" spans="1:20" x14ac:dyDescent="0.35">
      <c r="A35" s="261" t="s">
        <v>35</v>
      </c>
      <c r="B35" s="260">
        <f>IF(ISERROR(VLOOKUP(A35,IRS!A:B,2,FALSE)),0,VLOOKUP(A35,IRS!A:B,2,FALSE))</f>
        <v>4</v>
      </c>
      <c r="C35" s="260">
        <f>VLOOKUP(A35,'(2018-19b)'!B:C,2,FALSE)</f>
        <v>13</v>
      </c>
      <c r="F35" s="259">
        <f>VLOOKUP($A35,'(2017-18d)'!$B:$F,2,FALSE)</f>
        <v>8</v>
      </c>
      <c r="G35" s="259">
        <f>VLOOKUP($A35,'(2018-19d)'!$B:$F,2,FALSE)</f>
        <v>13</v>
      </c>
      <c r="H35" s="221">
        <f t="shared" si="0"/>
        <v>0.625</v>
      </c>
      <c r="J35" s="259">
        <f>VLOOKUP($A35,'(2017-18c)'!$B:$F,2,FALSE)</f>
        <v>4</v>
      </c>
      <c r="K35" s="259">
        <f>VLOOKUP($A35,'(2018-19c)'!$B:$F,2,FALSE)</f>
        <v>20</v>
      </c>
      <c r="L35" s="221">
        <f t="shared" si="1"/>
        <v>4</v>
      </c>
      <c r="N35" s="259">
        <f>VLOOKUP($A35,'(2017-18b)'!$B:$F,2,FALSE)</f>
        <v>3</v>
      </c>
      <c r="O35" s="259">
        <f>VLOOKUP($A35,'(2018-19b)'!$B:$F,2,FALSE)</f>
        <v>13</v>
      </c>
      <c r="P35" s="221">
        <f t="shared" si="2"/>
        <v>3.333333333333333</v>
      </c>
      <c r="R35" s="259">
        <f>VLOOKUP($A35,'(2017-18b)'!$B:$F,3,FALSE)</f>
        <v>3</v>
      </c>
      <c r="S35" s="259">
        <f>VLOOKUP($A35,'(2018-19b)'!$B:$F,3,FALSE)</f>
        <v>4</v>
      </c>
      <c r="T35" s="221">
        <f t="shared" si="3"/>
        <v>0.33333333333333326</v>
      </c>
    </row>
    <row r="36" spans="1:20" x14ac:dyDescent="0.35">
      <c r="A36" s="261" t="s">
        <v>36</v>
      </c>
      <c r="B36" s="260">
        <f>IF(ISERROR(VLOOKUP(A36,IRS!A:B,2,FALSE)),0,VLOOKUP(A36,IRS!A:B,2,FALSE))</f>
        <v>0</v>
      </c>
      <c r="C36" s="260">
        <f>VLOOKUP(A36,'(2018-19b)'!B:C,2,FALSE)</f>
        <v>2</v>
      </c>
      <c r="F36" s="259">
        <f>VLOOKUP($A36,'(2017-18d)'!$B:$F,2,FALSE)</f>
        <v>7</v>
      </c>
      <c r="G36" s="259">
        <f>VLOOKUP($A36,'(2018-19d)'!$B:$F,2,FALSE)</f>
        <v>6</v>
      </c>
      <c r="H36" s="221">
        <f t="shared" si="0"/>
        <v>-0.1428571428571429</v>
      </c>
      <c r="J36" s="259">
        <f>VLOOKUP($A36,'(2017-18c)'!$B:$F,2,FALSE)</f>
        <v>16</v>
      </c>
      <c r="K36" s="259">
        <f>VLOOKUP($A36,'(2018-19c)'!$B:$F,2,FALSE)</f>
        <v>7</v>
      </c>
      <c r="L36" s="221">
        <f t="shared" si="1"/>
        <v>-0.5625</v>
      </c>
      <c r="N36" s="259">
        <f>VLOOKUP($A36,'(2017-18b)'!$B:$F,2,FALSE)</f>
        <v>3</v>
      </c>
      <c r="O36" s="259">
        <f>VLOOKUP($A36,'(2018-19b)'!$B:$F,2,FALSE)</f>
        <v>2</v>
      </c>
      <c r="P36" s="221">
        <f t="shared" si="2"/>
        <v>-0.33333333333333337</v>
      </c>
      <c r="R36" s="259">
        <f>VLOOKUP($A36,'(2017-18b)'!$B:$F,3,FALSE)</f>
        <v>1</v>
      </c>
      <c r="S36" s="259">
        <f>VLOOKUP($A36,'(2018-19b)'!$B:$F,3,FALSE)</f>
        <v>2</v>
      </c>
      <c r="T36" s="221">
        <f t="shared" si="3"/>
        <v>1</v>
      </c>
    </row>
    <row r="37" spans="1:20" x14ac:dyDescent="0.35">
      <c r="A37" s="261" t="s">
        <v>37</v>
      </c>
      <c r="B37" s="260">
        <f>IF(ISERROR(VLOOKUP(A37,IRS!A:B,2,FALSE)),0,VLOOKUP(A37,IRS!A:B,2,FALSE))</f>
        <v>2</v>
      </c>
      <c r="C37" s="260">
        <f>VLOOKUP(A37,'(2018-19b)'!B:C,2,FALSE)</f>
        <v>7</v>
      </c>
      <c r="F37" s="259">
        <f>VLOOKUP($A37,'(2017-18d)'!$B:$F,2,FALSE)</f>
        <v>12</v>
      </c>
      <c r="G37" s="259">
        <f>VLOOKUP($A37,'(2018-19d)'!$B:$F,2,FALSE)</f>
        <v>4</v>
      </c>
      <c r="H37" s="221">
        <f t="shared" si="0"/>
        <v>-0.66666666666666674</v>
      </c>
      <c r="J37" s="259">
        <f>VLOOKUP($A37,'(2017-18c)'!$B:$F,2,FALSE)</f>
        <v>16</v>
      </c>
      <c r="K37" s="259">
        <f>VLOOKUP($A37,'(2018-19c)'!$B:$F,2,FALSE)</f>
        <v>18</v>
      </c>
      <c r="L37" s="221">
        <f t="shared" si="1"/>
        <v>0.125</v>
      </c>
      <c r="N37" s="259">
        <f>VLOOKUP($A37,'(2017-18b)'!$B:$F,2,FALSE)</f>
        <v>6</v>
      </c>
      <c r="O37" s="259">
        <f>VLOOKUP($A37,'(2018-19b)'!$B:$F,2,FALSE)</f>
        <v>7</v>
      </c>
      <c r="P37" s="221">
        <f t="shared" si="2"/>
        <v>0.16666666666666674</v>
      </c>
      <c r="R37" s="259">
        <f>VLOOKUP($A37,'(2017-18b)'!$B:$F,3,FALSE)</f>
        <v>5</v>
      </c>
      <c r="S37" s="259">
        <f>VLOOKUP($A37,'(2018-19b)'!$B:$F,3,FALSE)</f>
        <v>10</v>
      </c>
      <c r="T37" s="221">
        <f t="shared" si="3"/>
        <v>1</v>
      </c>
    </row>
    <row r="38" spans="1:20" x14ac:dyDescent="0.35">
      <c r="A38" s="261" t="s">
        <v>38</v>
      </c>
      <c r="B38" s="260">
        <f>IF(ISERROR(VLOOKUP(A38,IRS!A:B,2,FALSE)),0,VLOOKUP(A38,IRS!A:B,2,FALSE))</f>
        <v>0</v>
      </c>
      <c r="C38" s="260">
        <f>VLOOKUP(A38,'(2018-19b)'!B:C,2,FALSE)</f>
        <v>7</v>
      </c>
      <c r="F38" s="259">
        <f>VLOOKUP($A38,'(2017-18d)'!$B:$F,2,FALSE)</f>
        <v>13</v>
      </c>
      <c r="G38" s="259">
        <f>VLOOKUP($A38,'(2018-19d)'!$B:$F,2,FALSE)</f>
        <v>3</v>
      </c>
      <c r="H38" s="221">
        <f t="shared" si="0"/>
        <v>-0.76923076923076916</v>
      </c>
      <c r="J38" s="259">
        <f>VLOOKUP($A38,'(2017-18c)'!$B:$F,2,FALSE)</f>
        <v>22</v>
      </c>
      <c r="K38" s="259">
        <f>VLOOKUP($A38,'(2018-19c)'!$B:$F,2,FALSE)</f>
        <v>22</v>
      </c>
      <c r="L38" s="221">
        <f t="shared" si="1"/>
        <v>0</v>
      </c>
      <c r="N38" s="259">
        <f>VLOOKUP($A38,'(2017-18b)'!$B:$F,2,FALSE)</f>
        <v>6</v>
      </c>
      <c r="O38" s="259">
        <f>VLOOKUP($A38,'(2018-19b)'!$B:$F,2,FALSE)</f>
        <v>7</v>
      </c>
      <c r="P38" s="221">
        <f t="shared" si="2"/>
        <v>0.16666666666666674</v>
      </c>
      <c r="R38" s="259">
        <f>VLOOKUP($A38,'(2017-18b)'!$B:$F,3,FALSE)</f>
        <v>11</v>
      </c>
      <c r="S38" s="259">
        <f>VLOOKUP($A38,'(2018-19b)'!$B:$F,3,FALSE)</f>
        <v>7</v>
      </c>
      <c r="T38" s="221">
        <f t="shared" si="3"/>
        <v>-0.36363636363636365</v>
      </c>
    </row>
    <row r="39" spans="1:20" x14ac:dyDescent="0.35">
      <c r="A39" s="261" t="s">
        <v>39</v>
      </c>
      <c r="B39" s="260">
        <f>IF(ISERROR(VLOOKUP(A39,IRS!A:B,2,FALSE)),0,VLOOKUP(A39,IRS!A:B,2,FALSE))</f>
        <v>0</v>
      </c>
      <c r="C39" s="260">
        <f>VLOOKUP(A39,'(2018-19b)'!B:C,2,FALSE)</f>
        <v>6</v>
      </c>
      <c r="F39" s="259">
        <f>VLOOKUP($A39,'(2017-18d)'!$B:$F,2,FALSE)</f>
        <v>3</v>
      </c>
      <c r="G39" s="259">
        <f>VLOOKUP($A39,'(2018-19d)'!$B:$F,2,FALSE)</f>
        <v>15</v>
      </c>
      <c r="H39" s="221">
        <f t="shared" si="0"/>
        <v>4</v>
      </c>
      <c r="J39" s="259">
        <f>VLOOKUP($A39,'(2017-18c)'!$B:$F,2,FALSE)</f>
        <v>9</v>
      </c>
      <c r="K39" s="259">
        <f>VLOOKUP($A39,'(2018-19c)'!$B:$F,2,FALSE)</f>
        <v>6</v>
      </c>
      <c r="L39" s="221">
        <f t="shared" si="1"/>
        <v>-0.33333333333333337</v>
      </c>
      <c r="N39" s="259">
        <f>VLOOKUP($A39,'(2017-18b)'!$B:$F,2,FALSE)</f>
        <v>7</v>
      </c>
      <c r="O39" s="259">
        <f>VLOOKUP($A39,'(2018-19b)'!$B:$F,2,FALSE)</f>
        <v>6</v>
      </c>
      <c r="P39" s="221">
        <f t="shared" si="2"/>
        <v>-0.1428571428571429</v>
      </c>
      <c r="R39" s="259">
        <f>VLOOKUP($A39,'(2017-18b)'!$B:$F,3,FALSE)</f>
        <v>5</v>
      </c>
      <c r="S39" s="259">
        <f>VLOOKUP($A39,'(2018-19b)'!$B:$F,3,FALSE)</f>
        <v>3</v>
      </c>
      <c r="T39" s="221">
        <f t="shared" si="3"/>
        <v>-0.4</v>
      </c>
    </row>
    <row r="40" spans="1:20" x14ac:dyDescent="0.35">
      <c r="A40" s="261" t="s">
        <v>50</v>
      </c>
      <c r="B40" s="260">
        <f>IF(ISERROR(VLOOKUP(A40,IRS!A:B,2,FALSE)),0,VLOOKUP(A40,IRS!A:B,2,FALSE))</f>
        <v>7</v>
      </c>
      <c r="C40" s="260">
        <f>VLOOKUP(A40,'(2018-19b)'!B:C,2,FALSE)</f>
        <v>47</v>
      </c>
      <c r="F40" s="259">
        <f>VLOOKUP($A40,'(2017-18d)'!$B:$F,2,FALSE)</f>
        <v>30</v>
      </c>
      <c r="G40" s="259">
        <f>VLOOKUP($A40,'(2018-19d)'!$B:$F,2,FALSE)</f>
        <v>27</v>
      </c>
      <c r="H40" s="221">
        <f t="shared" si="0"/>
        <v>-9.9999999999999978E-2</v>
      </c>
      <c r="J40" s="259">
        <f>VLOOKUP($A40,'(2017-18c)'!$B:$F,2,FALSE)</f>
        <v>34</v>
      </c>
      <c r="K40" s="259">
        <f>VLOOKUP($A40,'(2018-19c)'!$B:$F,2,FALSE)</f>
        <v>34</v>
      </c>
      <c r="L40" s="221">
        <f t="shared" si="1"/>
        <v>0</v>
      </c>
      <c r="N40" s="259">
        <f>VLOOKUP($A40,'(2017-18b)'!$B:$F,2,FALSE)</f>
        <v>25</v>
      </c>
      <c r="O40" s="259">
        <f>VLOOKUP($A40,'(2018-19b)'!$B:$F,2,FALSE)</f>
        <v>47</v>
      </c>
      <c r="P40" s="221">
        <f t="shared" si="2"/>
        <v>0.87999999999999989</v>
      </c>
      <c r="R40" s="259">
        <f>VLOOKUP($A40,'(2017-18b)'!$B:$F,3,FALSE)</f>
        <v>17</v>
      </c>
      <c r="S40" s="259">
        <f>VLOOKUP($A40,'(2018-19b)'!$B:$F,3,FALSE)</f>
        <v>14</v>
      </c>
      <c r="T40" s="221">
        <f t="shared" si="3"/>
        <v>-0.17647058823529416</v>
      </c>
    </row>
    <row r="41" spans="1:20" x14ac:dyDescent="0.35">
      <c r="A41" s="261" t="s">
        <v>40</v>
      </c>
      <c r="B41" s="260">
        <f>IF(ISERROR(VLOOKUP(A41,IRS!A:B,2,FALSE)),0,VLOOKUP(A41,IRS!A:B,2,FALSE))</f>
        <v>2</v>
      </c>
      <c r="C41" s="260">
        <f>VLOOKUP(A41,'(2018-19b)'!B:C,2,FALSE)</f>
        <v>18</v>
      </c>
      <c r="F41" s="259">
        <f>VLOOKUP($A41,'(2017-18d)'!$B:$F,2,FALSE)</f>
        <v>12</v>
      </c>
      <c r="G41" s="259">
        <f>VLOOKUP($A41,'(2018-19d)'!$B:$F,2,FALSE)</f>
        <v>11</v>
      </c>
      <c r="H41" s="221">
        <f t="shared" si="0"/>
        <v>-8.333333333333337E-2</v>
      </c>
      <c r="J41" s="259">
        <f>VLOOKUP($A41,'(2017-18c)'!$B:$F,2,FALSE)</f>
        <v>11</v>
      </c>
      <c r="K41" s="259">
        <f>VLOOKUP($A41,'(2018-19c)'!$B:$F,2,FALSE)</f>
        <v>18</v>
      </c>
      <c r="L41" s="221">
        <f t="shared" si="1"/>
        <v>0.63636363636363646</v>
      </c>
      <c r="N41" s="259">
        <f>VLOOKUP($A41,'(2017-18b)'!$B:$F,2,FALSE)</f>
        <v>6</v>
      </c>
      <c r="O41" s="259">
        <f>VLOOKUP($A41,'(2018-19b)'!$B:$F,2,FALSE)</f>
        <v>18</v>
      </c>
      <c r="P41" s="221">
        <f t="shared" si="2"/>
        <v>2</v>
      </c>
      <c r="R41" s="259">
        <f>VLOOKUP($A41,'(2017-18b)'!$B:$F,3,FALSE)</f>
        <v>5</v>
      </c>
      <c r="S41" s="259">
        <f>VLOOKUP($A41,'(2018-19b)'!$B:$F,3,FALSE)</f>
        <v>6</v>
      </c>
      <c r="T41" s="221">
        <f t="shared" si="3"/>
        <v>0.19999999999999996</v>
      </c>
    </row>
    <row r="42" spans="1:20" x14ac:dyDescent="0.35">
      <c r="A42" s="261" t="s">
        <v>41</v>
      </c>
      <c r="B42" s="260">
        <f>IF(ISERROR(VLOOKUP(A42,IRS!A:B,2,FALSE)),0,VLOOKUP(A42,IRS!A:B,2,FALSE))</f>
        <v>3</v>
      </c>
      <c r="C42" s="260">
        <f>VLOOKUP(A42,'(2018-19b)'!B:C,2,FALSE)</f>
        <v>7</v>
      </c>
      <c r="F42" s="259">
        <f>VLOOKUP($A42,'(2017-18d)'!$B:$F,2,FALSE)</f>
        <v>12</v>
      </c>
      <c r="G42" s="259">
        <f>VLOOKUP($A42,'(2018-19d)'!$B:$F,2,FALSE)</f>
        <v>3</v>
      </c>
      <c r="H42" s="221">
        <f t="shared" si="0"/>
        <v>-0.75</v>
      </c>
      <c r="J42" s="259">
        <f>VLOOKUP($A42,'(2017-18c)'!$B:$F,2,FALSE)</f>
        <v>26</v>
      </c>
      <c r="K42" s="259">
        <f>VLOOKUP($A42,'(2018-19c)'!$B:$F,2,FALSE)</f>
        <v>13</v>
      </c>
      <c r="L42" s="221">
        <f t="shared" si="1"/>
        <v>-0.5</v>
      </c>
      <c r="N42" s="259">
        <f>VLOOKUP($A42,'(2017-18b)'!$B:$F,2,FALSE)</f>
        <v>11</v>
      </c>
      <c r="O42" s="259">
        <f>VLOOKUP($A42,'(2018-19b)'!$B:$F,2,FALSE)</f>
        <v>7</v>
      </c>
      <c r="P42" s="221">
        <f t="shared" si="2"/>
        <v>-0.36363636363636365</v>
      </c>
      <c r="R42" s="259">
        <f>VLOOKUP($A42,'(2017-18b)'!$B:$F,3,FALSE)</f>
        <v>5</v>
      </c>
      <c r="S42" s="259">
        <f>VLOOKUP($A42,'(2018-19b)'!$B:$F,3,FALSE)</f>
        <v>5</v>
      </c>
      <c r="T42" s="221">
        <f t="shared" si="3"/>
        <v>0</v>
      </c>
    </row>
    <row r="43" spans="1:20" x14ac:dyDescent="0.35">
      <c r="A43" s="261" t="s">
        <v>42</v>
      </c>
      <c r="B43" s="260">
        <f>IF(ISERROR(VLOOKUP(A43,IRS!A:B,2,FALSE)),0,VLOOKUP(A43,IRS!A:B,2,FALSE))</f>
        <v>1</v>
      </c>
      <c r="C43" s="260">
        <f>VLOOKUP(A43,'(2018-19b)'!B:C,2,FALSE)</f>
        <v>12</v>
      </c>
      <c r="F43" s="259">
        <f>VLOOKUP($A43,'(2017-18d)'!$B:$F,2,FALSE)</f>
        <v>7</v>
      </c>
      <c r="G43" s="259">
        <f>VLOOKUP($A43,'(2018-19d)'!$B:$F,2,FALSE)</f>
        <v>13</v>
      </c>
      <c r="H43" s="221">
        <f t="shared" si="0"/>
        <v>0.85714285714285721</v>
      </c>
      <c r="J43" s="259">
        <f>VLOOKUP($A43,'(2017-18c)'!$B:$F,2,FALSE)</f>
        <v>15</v>
      </c>
      <c r="K43" s="259">
        <f>VLOOKUP($A43,'(2018-19c)'!$B:$F,2,FALSE)</f>
        <v>17</v>
      </c>
      <c r="L43" s="221">
        <f t="shared" si="1"/>
        <v>0.1333333333333333</v>
      </c>
      <c r="N43" s="259">
        <f>VLOOKUP($A43,'(2017-18b)'!$B:$F,2,FALSE)</f>
        <v>3</v>
      </c>
      <c r="O43" s="259">
        <f>VLOOKUP($A43,'(2018-19b)'!$B:$F,2,FALSE)</f>
        <v>12</v>
      </c>
      <c r="P43" s="221">
        <f t="shared" si="2"/>
        <v>3</v>
      </c>
      <c r="R43" s="259">
        <f>VLOOKUP($A43,'(2017-18b)'!$B:$F,3,FALSE)</f>
        <v>6</v>
      </c>
      <c r="S43" s="259">
        <f>VLOOKUP($A43,'(2018-19b)'!$B:$F,3,FALSE)</f>
        <v>4</v>
      </c>
      <c r="T43" s="221">
        <f t="shared" si="3"/>
        <v>-0.33333333333333337</v>
      </c>
    </row>
    <row r="44" spans="1:20" x14ac:dyDescent="0.35">
      <c r="A44" s="261" t="s">
        <v>215</v>
      </c>
      <c r="B44" s="260">
        <f>IF(ISERROR(VLOOKUP(A44,IRS!A:B,2,FALSE)),0,VLOOKUP(A44,IRS!A:B,2,FALSE))</f>
        <v>2</v>
      </c>
      <c r="C44" s="260">
        <f>VLOOKUP(A44,'(2018-19b)'!B:C,2,FALSE)</f>
        <v>11</v>
      </c>
      <c r="F44" s="259">
        <f>VLOOKUP($A44,'(2017-18d)'!$B:$F,2,FALSE)</f>
        <v>9</v>
      </c>
      <c r="G44" s="259">
        <f>VLOOKUP($A44,'(2018-19d)'!$B:$F,2,FALSE)</f>
        <v>2</v>
      </c>
      <c r="H44" s="221">
        <f t="shared" si="0"/>
        <v>-0.77777777777777779</v>
      </c>
      <c r="J44" s="259">
        <f>VLOOKUP($A44,'(2017-18c)'!$B:$F,2,FALSE)</f>
        <v>4</v>
      </c>
      <c r="K44" s="259">
        <f>VLOOKUP($A44,'(2018-19c)'!$B:$F,2,FALSE)</f>
        <v>9</v>
      </c>
      <c r="L44" s="221">
        <f t="shared" si="1"/>
        <v>1.25</v>
      </c>
      <c r="N44" s="259">
        <f>VLOOKUP($A44,'(2017-18b)'!$B:$F,2,FALSE)</f>
        <v>11</v>
      </c>
      <c r="O44" s="259">
        <f>VLOOKUP($A44,'(2018-19b)'!$B:$F,2,FALSE)</f>
        <v>11</v>
      </c>
      <c r="P44" s="221">
        <f t="shared" si="2"/>
        <v>0</v>
      </c>
      <c r="R44" s="259">
        <f>VLOOKUP($A44,'(2017-18b)'!$B:$F,3,FALSE)</f>
        <v>2</v>
      </c>
      <c r="S44" s="259">
        <f>VLOOKUP($A44,'(2018-19b)'!$B:$F,3,FALSE)</f>
        <v>6</v>
      </c>
      <c r="T44" s="221">
        <f t="shared" si="3"/>
        <v>2</v>
      </c>
    </row>
    <row r="45" spans="1:20" x14ac:dyDescent="0.35">
      <c r="A45" s="261" t="s">
        <v>43</v>
      </c>
      <c r="B45" s="260">
        <f>IF(ISERROR(VLOOKUP(A45,IRS!A:B,2,FALSE)),0,VLOOKUP(A45,IRS!A:B,2,FALSE))</f>
        <v>1</v>
      </c>
      <c r="C45" s="260">
        <f>VLOOKUP(A45,'(2018-19b)'!B:C,2,FALSE)</f>
        <v>7</v>
      </c>
      <c r="F45" s="259">
        <f>VLOOKUP($A45,'(2017-18d)'!$B:$F,2,FALSE)</f>
        <v>5</v>
      </c>
      <c r="G45" s="259">
        <f>VLOOKUP($A45,'(2018-19d)'!$B:$F,2,FALSE)</f>
        <v>4</v>
      </c>
      <c r="H45" s="221">
        <f t="shared" si="0"/>
        <v>-0.19999999999999996</v>
      </c>
      <c r="J45" s="259">
        <f>VLOOKUP($A45,'(2017-18c)'!$B:$F,2,FALSE)</f>
        <v>7</v>
      </c>
      <c r="K45" s="259">
        <f>VLOOKUP($A45,'(2018-19c)'!$B:$F,2,FALSE)</f>
        <v>10</v>
      </c>
      <c r="L45" s="221">
        <f t="shared" si="1"/>
        <v>0.4285714285714286</v>
      </c>
      <c r="N45" s="259">
        <f>VLOOKUP($A45,'(2017-18b)'!$B:$F,2,FALSE)</f>
        <v>13</v>
      </c>
      <c r="O45" s="259">
        <f>VLOOKUP($A45,'(2018-19b)'!$B:$F,2,FALSE)</f>
        <v>7</v>
      </c>
      <c r="P45" s="221">
        <f t="shared" si="2"/>
        <v>-0.46153846153846156</v>
      </c>
      <c r="R45" s="259">
        <f>VLOOKUP($A45,'(2017-18b)'!$B:$F,3,FALSE)</f>
        <v>3</v>
      </c>
      <c r="S45" s="259">
        <f>VLOOKUP($A45,'(2018-19b)'!$B:$F,3,FALSE)</f>
        <v>4</v>
      </c>
      <c r="T45" s="221">
        <f t="shared" si="3"/>
        <v>0.33333333333333326</v>
      </c>
    </row>
    <row r="46" spans="1:20" x14ac:dyDescent="0.35">
      <c r="A46" s="261" t="s">
        <v>52</v>
      </c>
      <c r="B46" s="260">
        <f>IF(ISERROR(VLOOKUP(A46,IRS!A:B,2,FALSE)),0,VLOOKUP(A46,IRS!A:B,2,FALSE))</f>
        <v>4</v>
      </c>
      <c r="C46" s="260">
        <f>VLOOKUP(A46,'(2018-19b)'!B:C,2,FALSE)</f>
        <v>34</v>
      </c>
      <c r="F46" s="259">
        <f>VLOOKUP($A46,'(2017-18d)'!$B:$F,2,FALSE)</f>
        <v>22</v>
      </c>
      <c r="G46" s="259">
        <f>VLOOKUP($A46,'(2018-19d)'!$B:$F,2,FALSE)</f>
        <v>16</v>
      </c>
      <c r="H46" s="221">
        <f t="shared" si="0"/>
        <v>-0.27272727272727271</v>
      </c>
      <c r="J46" s="259">
        <f>VLOOKUP($A46,'(2017-18c)'!$B:$F,2,FALSE)</f>
        <v>32</v>
      </c>
      <c r="K46" s="259">
        <f>VLOOKUP($A46,'(2018-19c)'!$B:$F,2,FALSE)</f>
        <v>35</v>
      </c>
      <c r="L46" s="221">
        <f t="shared" si="1"/>
        <v>9.375E-2</v>
      </c>
      <c r="N46" s="259">
        <f>VLOOKUP($A46,'(2017-18b)'!$B:$F,2,FALSE)</f>
        <v>32</v>
      </c>
      <c r="O46" s="259">
        <f>VLOOKUP($A46,'(2018-19b)'!$B:$F,2,FALSE)</f>
        <v>34</v>
      </c>
      <c r="P46" s="221">
        <f t="shared" si="2"/>
        <v>6.25E-2</v>
      </c>
      <c r="R46" s="259">
        <f>VLOOKUP($A46,'(2017-18b)'!$B:$F,3,FALSE)</f>
        <v>6</v>
      </c>
      <c r="S46" s="259">
        <f>VLOOKUP($A46,'(2018-19b)'!$B:$F,3,FALSE)</f>
        <v>11</v>
      </c>
      <c r="T46" s="221">
        <f t="shared" si="3"/>
        <v>0.83333333333333326</v>
      </c>
    </row>
    <row r="47" spans="1:20" x14ac:dyDescent="0.35">
      <c r="A47" s="261" t="s">
        <v>44</v>
      </c>
      <c r="B47" s="260">
        <f>IF(ISERROR(VLOOKUP(A47,IRS!A:B,2,FALSE)),0,VLOOKUP(A47,IRS!A:B,2,FALSE))</f>
        <v>2</v>
      </c>
      <c r="C47" s="260">
        <f>VLOOKUP(A47,'(2018-19b)'!B:C,2,FALSE)</f>
        <v>15</v>
      </c>
      <c r="F47" s="259">
        <f>VLOOKUP($A47,'(2017-18d)'!$B:$F,2,FALSE)</f>
        <v>9</v>
      </c>
      <c r="G47" s="259">
        <f>VLOOKUP($A47,'(2018-19d)'!$B:$F,2,FALSE)</f>
        <v>2</v>
      </c>
      <c r="H47" s="221">
        <f t="shared" si="0"/>
        <v>-0.77777777777777779</v>
      </c>
      <c r="J47" s="259">
        <f>VLOOKUP($A47,'(2017-18c)'!$B:$F,2,FALSE)</f>
        <v>14</v>
      </c>
      <c r="K47" s="259">
        <f>VLOOKUP($A47,'(2018-19c)'!$B:$F,2,FALSE)</f>
        <v>15</v>
      </c>
      <c r="L47" s="221">
        <f t="shared" si="1"/>
        <v>7.1428571428571397E-2</v>
      </c>
      <c r="N47" s="259">
        <f>VLOOKUP($A47,'(2017-18b)'!$B:$F,2,FALSE)</f>
        <v>6</v>
      </c>
      <c r="O47" s="259">
        <f>VLOOKUP($A47,'(2018-19b)'!$B:$F,2,FALSE)</f>
        <v>15</v>
      </c>
      <c r="P47" s="221">
        <f t="shared" si="2"/>
        <v>1.5</v>
      </c>
      <c r="R47" s="259">
        <f>VLOOKUP($A47,'(2017-18b)'!$B:$F,3,FALSE)</f>
        <v>10</v>
      </c>
      <c r="S47" s="259">
        <f>VLOOKUP($A47,'(2018-19b)'!$B:$F,3,FALSE)</f>
        <v>6</v>
      </c>
      <c r="T47" s="221">
        <f t="shared" si="3"/>
        <v>-0.4</v>
      </c>
    </row>
    <row r="48" spans="1:20" x14ac:dyDescent="0.35">
      <c r="A48" s="261" t="s">
        <v>53</v>
      </c>
      <c r="B48" s="260">
        <f>IF(ISERROR(VLOOKUP(A48,IRS!A:B,2,FALSE)),0,VLOOKUP(A48,IRS!A:B,2,FALSE))</f>
        <v>13</v>
      </c>
      <c r="C48" s="260">
        <f>VLOOKUP(A48,'(2018-19b)'!B:C,2,FALSE)</f>
        <v>31</v>
      </c>
      <c r="F48" s="259">
        <f>VLOOKUP($A48,'(2017-18d)'!$B:$F,2,FALSE)</f>
        <v>22</v>
      </c>
      <c r="G48" s="259">
        <f>VLOOKUP($A48,'(2018-19d)'!$B:$F,2,FALSE)</f>
        <v>15</v>
      </c>
      <c r="H48" s="221">
        <f t="shared" si="0"/>
        <v>-0.31818181818181823</v>
      </c>
      <c r="J48" s="259">
        <f>VLOOKUP($A48,'(2017-18c)'!$B:$F,2,FALSE)</f>
        <v>52</v>
      </c>
      <c r="K48" s="259">
        <f>VLOOKUP($A48,'(2018-19c)'!$B:$F,2,FALSE)</f>
        <v>48</v>
      </c>
      <c r="L48" s="221">
        <f t="shared" si="1"/>
        <v>-7.6923076923076872E-2</v>
      </c>
      <c r="N48" s="259">
        <f>VLOOKUP($A48,'(2017-18b)'!$B:$F,2,FALSE)</f>
        <v>38</v>
      </c>
      <c r="O48" s="259">
        <f>VLOOKUP($A48,'(2018-19b)'!$B:$F,2,FALSE)</f>
        <v>31</v>
      </c>
      <c r="P48" s="221">
        <f t="shared" si="2"/>
        <v>-0.18421052631578949</v>
      </c>
      <c r="R48" s="259">
        <f>VLOOKUP($A48,'(2017-18b)'!$B:$F,3,FALSE)</f>
        <v>4</v>
      </c>
      <c r="S48" s="259">
        <f>VLOOKUP($A48,'(2018-19b)'!$B:$F,3,FALSE)</f>
        <v>3</v>
      </c>
      <c r="T48" s="221">
        <f t="shared" si="3"/>
        <v>-0.25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DAEA-3229-4663-A3A7-4C82D26C1F29}">
  <sheetPr codeName="Sheet55"/>
  <dimension ref="A1:B28"/>
  <sheetViews>
    <sheetView workbookViewId="0">
      <selection activeCell="A4" sqref="A2:J4"/>
    </sheetView>
  </sheetViews>
  <sheetFormatPr defaultColWidth="8.7265625" defaultRowHeight="14.5" x14ac:dyDescent="0.35"/>
  <cols>
    <col min="1" max="1" width="18.7265625" style="256" bestFit="1" customWidth="1"/>
    <col min="2" max="16384" width="8.7265625" style="256"/>
  </cols>
  <sheetData>
    <row r="1" spans="1:2" x14ac:dyDescent="0.35">
      <c r="A1" s="256" t="s">
        <v>233</v>
      </c>
      <c r="B1" s="256" t="s">
        <v>232</v>
      </c>
    </row>
    <row r="2" spans="1:2" x14ac:dyDescent="0.35">
      <c r="A2" s="256" t="s">
        <v>8</v>
      </c>
      <c r="B2" s="256">
        <v>1</v>
      </c>
    </row>
    <row r="3" spans="1:2" x14ac:dyDescent="0.35">
      <c r="A3" s="256" t="s">
        <v>12</v>
      </c>
      <c r="B3" s="256">
        <v>1</v>
      </c>
    </row>
    <row r="4" spans="1:2" x14ac:dyDescent="0.35">
      <c r="A4" s="256" t="s">
        <v>14</v>
      </c>
      <c r="B4" s="256">
        <v>1</v>
      </c>
    </row>
    <row r="5" spans="1:2" x14ac:dyDescent="0.35">
      <c r="A5" s="256" t="s">
        <v>163</v>
      </c>
      <c r="B5" s="256">
        <v>1</v>
      </c>
    </row>
    <row r="6" spans="1:2" x14ac:dyDescent="0.35">
      <c r="A6" s="256" t="s">
        <v>197</v>
      </c>
      <c r="B6" s="256">
        <v>2</v>
      </c>
    </row>
    <row r="7" spans="1:2" x14ac:dyDescent="0.35">
      <c r="A7" s="256" t="s">
        <v>20</v>
      </c>
      <c r="B7" s="256">
        <v>2</v>
      </c>
    </row>
    <row r="8" spans="1:2" x14ac:dyDescent="0.35">
      <c r="A8" s="256" t="s">
        <v>22</v>
      </c>
      <c r="B8" s="256">
        <v>1</v>
      </c>
    </row>
    <row r="9" spans="1:2" x14ac:dyDescent="0.35">
      <c r="A9" s="256" t="s">
        <v>48</v>
      </c>
      <c r="B9" s="256">
        <v>12</v>
      </c>
    </row>
    <row r="10" spans="1:2" x14ac:dyDescent="0.35">
      <c r="A10" s="256" t="s">
        <v>24</v>
      </c>
      <c r="B10" s="256">
        <v>2</v>
      </c>
    </row>
    <row r="11" spans="1:2" x14ac:dyDescent="0.35">
      <c r="A11" s="256" t="s">
        <v>29</v>
      </c>
      <c r="B11" s="256">
        <v>1</v>
      </c>
    </row>
    <row r="12" spans="1:2" x14ac:dyDescent="0.35">
      <c r="A12" s="256" t="s">
        <v>30</v>
      </c>
      <c r="B12" s="256">
        <v>3</v>
      </c>
    </row>
    <row r="13" spans="1:2" x14ac:dyDescent="0.35">
      <c r="A13" s="256" t="s">
        <v>32</v>
      </c>
      <c r="B13" s="256">
        <v>9</v>
      </c>
    </row>
    <row r="14" spans="1:2" x14ac:dyDescent="0.35">
      <c r="A14" s="256" t="s">
        <v>231</v>
      </c>
      <c r="B14" s="256">
        <v>10</v>
      </c>
    </row>
    <row r="15" spans="1:2" x14ac:dyDescent="0.35">
      <c r="A15" s="256" t="s">
        <v>230</v>
      </c>
      <c r="B15" s="256">
        <v>19</v>
      </c>
    </row>
    <row r="16" spans="1:2" x14ac:dyDescent="0.35">
      <c r="A16" s="256" t="s">
        <v>49</v>
      </c>
      <c r="B16" s="256">
        <v>16</v>
      </c>
    </row>
    <row r="17" spans="1:2" x14ac:dyDescent="0.35">
      <c r="A17" s="256" t="s">
        <v>35</v>
      </c>
      <c r="B17" s="256">
        <v>4</v>
      </c>
    </row>
    <row r="18" spans="1:2" x14ac:dyDescent="0.35">
      <c r="A18" s="256" t="s">
        <v>37</v>
      </c>
      <c r="B18" s="256">
        <v>2</v>
      </c>
    </row>
    <row r="19" spans="1:2" x14ac:dyDescent="0.35">
      <c r="A19" s="256" t="s">
        <v>50</v>
      </c>
      <c r="B19" s="256">
        <v>7</v>
      </c>
    </row>
    <row r="20" spans="1:2" x14ac:dyDescent="0.35">
      <c r="A20" s="256" t="s">
        <v>40</v>
      </c>
      <c r="B20" s="256">
        <v>2</v>
      </c>
    </row>
    <row r="21" spans="1:2" x14ac:dyDescent="0.35">
      <c r="A21" s="256" t="s">
        <v>41</v>
      </c>
      <c r="B21" s="256">
        <v>3</v>
      </c>
    </row>
    <row r="22" spans="1:2" x14ac:dyDescent="0.35">
      <c r="A22" s="256" t="s">
        <v>42</v>
      </c>
      <c r="B22" s="256">
        <v>1</v>
      </c>
    </row>
    <row r="23" spans="1:2" x14ac:dyDescent="0.35">
      <c r="A23" s="256" t="s">
        <v>215</v>
      </c>
      <c r="B23" s="256">
        <v>2</v>
      </c>
    </row>
    <row r="24" spans="1:2" x14ac:dyDescent="0.35">
      <c r="A24" s="256" t="s">
        <v>43</v>
      </c>
      <c r="B24" s="256">
        <v>1</v>
      </c>
    </row>
    <row r="25" spans="1:2" x14ac:dyDescent="0.35">
      <c r="A25" s="256" t="s">
        <v>52</v>
      </c>
      <c r="B25" s="256">
        <v>4</v>
      </c>
    </row>
    <row r="26" spans="1:2" x14ac:dyDescent="0.35">
      <c r="A26" s="256" t="s">
        <v>44</v>
      </c>
      <c r="B26" s="256">
        <v>2</v>
      </c>
    </row>
    <row r="27" spans="1:2" x14ac:dyDescent="0.35">
      <c r="A27" s="256" t="s">
        <v>53</v>
      </c>
      <c r="B27" s="256">
        <v>13</v>
      </c>
    </row>
    <row r="28" spans="1:2" x14ac:dyDescent="0.35">
      <c r="A28" s="263" t="s">
        <v>54</v>
      </c>
      <c r="B28" s="263">
        <f>B14+B15</f>
        <v>29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rgb="FF00B0F0"/>
  </sheetPr>
  <dimension ref="A1:AF81"/>
  <sheetViews>
    <sheetView workbookViewId="0">
      <selection activeCell="A4" sqref="A2:J4"/>
    </sheetView>
  </sheetViews>
  <sheetFormatPr defaultColWidth="9.26953125" defaultRowHeight="13" x14ac:dyDescent="0.3"/>
  <cols>
    <col min="1" max="1" width="50.7265625" style="62" customWidth="1"/>
    <col min="2" max="2" width="10.7265625" style="62" customWidth="1"/>
    <col min="3" max="3" width="2.7265625" style="62" customWidth="1"/>
    <col min="4" max="5" width="10.7265625" style="62" customWidth="1"/>
    <col min="6" max="6" width="2.7265625" style="62" customWidth="1"/>
    <col min="7" max="7" width="10.7265625" style="62" customWidth="1"/>
    <col min="8" max="8" width="9.26953125" style="62" customWidth="1"/>
    <col min="9" max="10" width="0" style="62" hidden="1" customWidth="1"/>
    <col min="11" max="11" width="9.26953125" style="62" customWidth="1"/>
    <col min="12" max="12" width="10" style="62" bestFit="1" customWidth="1"/>
    <col min="13" max="13" width="11.7265625" style="62" customWidth="1"/>
    <col min="14" max="18" width="9.26953125" style="62"/>
    <col min="19" max="19" width="11" style="62" customWidth="1"/>
    <col min="20" max="16384" width="9.26953125" style="62"/>
  </cols>
  <sheetData>
    <row r="1" spans="1:32" s="61" customFormat="1" ht="37.5" customHeight="1" x14ac:dyDescent="0.5">
      <c r="A1" s="325"/>
      <c r="B1" s="325"/>
      <c r="C1" s="325"/>
      <c r="D1" s="325"/>
      <c r="E1" s="325"/>
      <c r="F1" s="325"/>
      <c r="G1" s="325"/>
      <c r="H1" s="59"/>
      <c r="I1" s="59"/>
      <c r="J1" s="60"/>
      <c r="K1" s="60"/>
    </row>
    <row r="2" spans="1:32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32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2"/>
      <c r="I3" s="62"/>
      <c r="J3" s="62"/>
      <c r="K3" s="62"/>
    </row>
    <row r="4" spans="1:32" s="63" customFormat="1" ht="15" customHeight="1" x14ac:dyDescent="0.3">
      <c r="A4" s="326" t="str">
        <f>FIRE0508a!A4</f>
        <v>2018-19</v>
      </c>
      <c r="B4" s="326"/>
      <c r="C4" s="326"/>
      <c r="D4" s="326"/>
      <c r="E4" s="326"/>
      <c r="F4" s="326"/>
      <c r="G4" s="326"/>
      <c r="H4" s="62"/>
      <c r="I4" s="62"/>
      <c r="J4" s="62"/>
      <c r="K4" s="62"/>
      <c r="L4" s="62"/>
    </row>
    <row r="5" spans="1:32" s="63" customFormat="1" ht="13.5" thickBot="1" x14ac:dyDescent="0.35">
      <c r="A5" s="62"/>
      <c r="B5" s="91"/>
      <c r="C5" s="91"/>
      <c r="D5" s="91"/>
      <c r="E5" s="91"/>
      <c r="F5" s="91"/>
      <c r="G5" s="91"/>
      <c r="H5" s="62"/>
      <c r="I5" s="62"/>
      <c r="J5" s="68"/>
      <c r="K5" s="68"/>
      <c r="M5" s="68"/>
      <c r="N5" s="68"/>
      <c r="P5" s="68"/>
      <c r="Q5" s="68"/>
      <c r="R5" s="68"/>
      <c r="S5" s="68"/>
      <c r="T5" s="68"/>
      <c r="W5" s="69"/>
    </row>
    <row r="6" spans="1:32" s="63" customFormat="1" ht="13.5" thickBot="1" x14ac:dyDescent="0.35">
      <c r="A6" s="62"/>
      <c r="B6" s="323" t="s">
        <v>1</v>
      </c>
      <c r="C6" s="93"/>
      <c r="D6" s="322" t="s">
        <v>77</v>
      </c>
      <c r="E6" s="322"/>
      <c r="F6" s="94"/>
      <c r="G6" s="323" t="s">
        <v>5</v>
      </c>
      <c r="H6" s="62"/>
      <c r="I6" s="62"/>
      <c r="J6" s="68"/>
      <c r="K6" s="68"/>
      <c r="M6" s="68"/>
      <c r="N6" s="68"/>
      <c r="P6" s="68"/>
      <c r="Q6" s="68"/>
      <c r="R6" s="68"/>
      <c r="S6" s="68"/>
      <c r="T6" s="68"/>
      <c r="W6" s="69"/>
    </row>
    <row r="7" spans="1:32" s="72" customFormat="1" ht="39.5" thickBot="1" x14ac:dyDescent="0.35">
      <c r="A7" s="70" t="s">
        <v>67</v>
      </c>
      <c r="B7" s="324"/>
      <c r="C7" s="92"/>
      <c r="D7" s="71" t="s">
        <v>3</v>
      </c>
      <c r="E7" s="71" t="s">
        <v>78</v>
      </c>
      <c r="F7" s="92"/>
      <c r="G7" s="324"/>
      <c r="L7" s="62"/>
    </row>
    <row r="8" spans="1:32" s="63" customFormat="1" ht="15" customHeight="1" x14ac:dyDescent="0.35">
      <c r="A8" s="77" t="s">
        <v>6</v>
      </c>
      <c r="B8" s="73">
        <f ca="1">INDIRECT("'("&amp;$A$4&amp;"a)'!C4")</f>
        <v>2646</v>
      </c>
      <c r="C8" s="73"/>
      <c r="D8" s="73">
        <f ca="1">INDIRECT("'("&amp;$A$4&amp;"a)'!d4")</f>
        <v>340</v>
      </c>
      <c r="E8" s="73">
        <f ca="1">INDIRECT("'("&amp;$A$4&amp;"a)'!e4")</f>
        <v>54</v>
      </c>
      <c r="F8" s="73"/>
      <c r="G8" s="73">
        <f ca="1">INDIRECT("'("&amp;$A$4&amp;"a)'!f4")</f>
        <v>0</v>
      </c>
      <c r="H8" s="62"/>
      <c r="J8" s="74"/>
      <c r="K8" s="74"/>
      <c r="M8" s="74"/>
      <c r="N8" s="74"/>
      <c r="P8" s="76"/>
      <c r="Q8" s="76"/>
      <c r="R8" s="76"/>
      <c r="S8" s="76"/>
      <c r="T8" s="76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s="63" customFormat="1" ht="15" customHeight="1" x14ac:dyDescent="0.3">
      <c r="A9" s="89" t="s">
        <v>7</v>
      </c>
      <c r="B9" s="90">
        <f ca="1">INDIRECT("'("&amp;$A$4&amp;"a)'!C5")</f>
        <v>1789</v>
      </c>
      <c r="C9" s="90"/>
      <c r="D9" s="90">
        <f ca="1">INDIRECT("'("&amp;$A$4&amp;"a)'!d5")</f>
        <v>227</v>
      </c>
      <c r="E9" s="90">
        <f ca="1">INDIRECT("'("&amp;$A$4&amp;"a)'!e5")</f>
        <v>42</v>
      </c>
      <c r="F9" s="90"/>
      <c r="G9" s="90">
        <f ca="1">INDIRECT("'("&amp;$A$4&amp;"a)'!f5")</f>
        <v>0</v>
      </c>
      <c r="H9" s="62"/>
      <c r="J9" s="74"/>
      <c r="K9" s="74"/>
      <c r="M9" s="74"/>
      <c r="N9" s="74"/>
      <c r="P9" s="76"/>
      <c r="Q9" s="76"/>
      <c r="R9" s="76"/>
      <c r="S9" s="76"/>
      <c r="T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s="63" customFormat="1" ht="15" customHeight="1" x14ac:dyDescent="0.3">
      <c r="A10" s="62" t="s">
        <v>8</v>
      </c>
      <c r="B10" s="78">
        <f ca="1">INDIRECT("'("&amp;$A$4&amp;"a)'!C6")</f>
        <v>51</v>
      </c>
      <c r="C10" s="78"/>
      <c r="D10" s="78">
        <f ca="1">INDIRECT("'("&amp;$A$4&amp;"a)'!d6")</f>
        <v>5</v>
      </c>
      <c r="E10" s="78">
        <f ca="1">INDIRECT("'("&amp;$A$4&amp;"a)'!e6")</f>
        <v>0</v>
      </c>
      <c r="F10" s="78"/>
      <c r="G10" s="78">
        <f ca="1">INDIRECT("'("&amp;$A$4&amp;"a)'!f6")</f>
        <v>0</v>
      </c>
      <c r="H10" s="62"/>
      <c r="J10" s="74"/>
      <c r="K10" s="74"/>
      <c r="M10" s="74"/>
      <c r="N10" s="74"/>
      <c r="P10" s="76"/>
      <c r="Q10" s="76"/>
      <c r="R10" s="76"/>
      <c r="S10" s="76"/>
      <c r="T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s="63" customFormat="1" ht="15" customHeight="1" x14ac:dyDescent="0.3">
      <c r="A11" s="62" t="s">
        <v>9</v>
      </c>
      <c r="B11" s="78">
        <f ca="1">INDIRECT("'("&amp;$A$4&amp;"a)'!C7")</f>
        <v>53</v>
      </c>
      <c r="C11" s="78"/>
      <c r="D11" s="78">
        <f ca="1">INDIRECT("'("&amp;$A$4&amp;"a)'!d7")</f>
        <v>5</v>
      </c>
      <c r="E11" s="78">
        <f ca="1">INDIRECT("'("&amp;$A$4&amp;"a)'!e7")</f>
        <v>1</v>
      </c>
      <c r="F11" s="78"/>
      <c r="G11" s="78">
        <f ca="1">INDIRECT("'("&amp;$A$4&amp;"a)'!f7")</f>
        <v>0</v>
      </c>
      <c r="H11" s="62"/>
      <c r="J11" s="74"/>
      <c r="K11" s="74"/>
      <c r="M11" s="74"/>
      <c r="N11" s="74"/>
      <c r="P11" s="76"/>
      <c r="Q11" s="76"/>
      <c r="R11" s="76"/>
      <c r="S11" s="76"/>
      <c r="T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63" customFormat="1" ht="15" customHeight="1" x14ac:dyDescent="0.3">
      <c r="A12" s="62" t="s">
        <v>10</v>
      </c>
      <c r="B12" s="78">
        <f ca="1">INDIRECT("'("&amp;$A$4&amp;"a)'!C8")</f>
        <v>56</v>
      </c>
      <c r="C12" s="78"/>
      <c r="D12" s="78">
        <f ca="1">INDIRECT("'("&amp;$A$4&amp;"a)'!d8")</f>
        <v>6</v>
      </c>
      <c r="E12" s="78">
        <f ca="1">INDIRECT("'("&amp;$A$4&amp;"a)'!e8")</f>
        <v>1</v>
      </c>
      <c r="F12" s="78"/>
      <c r="G12" s="78">
        <f ca="1">INDIRECT("'("&amp;$A$4&amp;"a)'!f8")</f>
        <v>0</v>
      </c>
      <c r="H12" s="62"/>
      <c r="J12" s="74"/>
      <c r="K12" s="74"/>
      <c r="M12" s="74"/>
      <c r="N12" s="74"/>
      <c r="P12" s="76"/>
      <c r="Q12" s="76"/>
      <c r="R12" s="76"/>
      <c r="S12" s="76"/>
      <c r="T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63" customFormat="1" ht="15" customHeight="1" x14ac:dyDescent="0.3">
      <c r="A13" s="62" t="s">
        <v>11</v>
      </c>
      <c r="B13" s="78">
        <f ca="1">INDIRECT("'("&amp;$A$4&amp;"a)'!C9")</f>
        <v>36</v>
      </c>
      <c r="C13" s="78"/>
      <c r="D13" s="78">
        <f ca="1">INDIRECT("'("&amp;$A$4&amp;"a)'!d9")</f>
        <v>6</v>
      </c>
      <c r="E13" s="78">
        <f ca="1">INDIRECT("'("&amp;$A$4&amp;"a)'!e9")</f>
        <v>0</v>
      </c>
      <c r="F13" s="78"/>
      <c r="G13" s="78">
        <f ca="1">INDIRECT("'("&amp;$A$4&amp;"a)'!f9")</f>
        <v>0</v>
      </c>
      <c r="H13" s="62"/>
      <c r="J13" s="74"/>
      <c r="K13" s="74"/>
      <c r="M13" s="74"/>
      <c r="N13" s="74"/>
      <c r="P13" s="76"/>
      <c r="Q13" s="76"/>
      <c r="R13" s="76"/>
      <c r="S13" s="76"/>
      <c r="T13" s="76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63" customFormat="1" ht="15" customHeight="1" x14ac:dyDescent="0.3">
      <c r="A14" s="62" t="s">
        <v>12</v>
      </c>
      <c r="B14" s="78">
        <f ca="1">INDIRECT("'("&amp;$A$4&amp;"a)'!C10")</f>
        <v>122</v>
      </c>
      <c r="C14" s="78"/>
      <c r="D14" s="78">
        <f ca="1">INDIRECT("'("&amp;$A$4&amp;"a)'!d10")</f>
        <v>5</v>
      </c>
      <c r="E14" s="78">
        <f ca="1">INDIRECT("'("&amp;$A$4&amp;"a)'!e10")</f>
        <v>2</v>
      </c>
      <c r="F14" s="78"/>
      <c r="G14" s="78">
        <f ca="1">INDIRECT("'("&amp;$A$4&amp;"a)'!f10")</f>
        <v>0</v>
      </c>
      <c r="H14" s="62"/>
      <c r="J14" s="74"/>
      <c r="K14" s="74"/>
      <c r="M14" s="74"/>
      <c r="N14" s="74"/>
      <c r="P14" s="76"/>
      <c r="Q14" s="76"/>
      <c r="R14" s="76"/>
      <c r="S14" s="76"/>
      <c r="T14" s="76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63" customFormat="1" ht="15" customHeight="1" x14ac:dyDescent="0.3">
      <c r="A15" s="62" t="s">
        <v>13</v>
      </c>
      <c r="B15" s="78">
        <f ca="1">INDIRECT("'("&amp;$A$4&amp;"a)'!C11")</f>
        <v>35</v>
      </c>
      <c r="C15" s="78"/>
      <c r="D15" s="78">
        <f ca="1">INDIRECT("'("&amp;$A$4&amp;"a)'!d11")</f>
        <v>0</v>
      </c>
      <c r="E15" s="78">
        <f ca="1">INDIRECT("'("&amp;$A$4&amp;"a)'!e11")</f>
        <v>4</v>
      </c>
      <c r="F15" s="78"/>
      <c r="G15" s="78">
        <f ca="1">INDIRECT("'("&amp;$A$4&amp;"a)'!f11")</f>
        <v>0</v>
      </c>
      <c r="H15" s="62"/>
      <c r="J15" s="74"/>
      <c r="K15" s="74"/>
      <c r="M15" s="74"/>
      <c r="N15" s="74"/>
      <c r="P15" s="76"/>
      <c r="Q15" s="76"/>
      <c r="R15" s="76"/>
      <c r="S15" s="76"/>
      <c r="T15" s="76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 s="63" customFormat="1" ht="15" customHeight="1" x14ac:dyDescent="0.3">
      <c r="A16" s="62" t="s">
        <v>14</v>
      </c>
      <c r="B16" s="78">
        <f ca="1">INDIRECT("'("&amp;$A$4&amp;"a)'!C12")</f>
        <v>13</v>
      </c>
      <c r="C16" s="78"/>
      <c r="D16" s="78">
        <f ca="1">INDIRECT("'("&amp;$A$4&amp;"a)'!d12")</f>
        <v>3</v>
      </c>
      <c r="E16" s="78">
        <f ca="1">INDIRECT("'("&amp;$A$4&amp;"a)'!e12")</f>
        <v>3</v>
      </c>
      <c r="F16" s="78"/>
      <c r="G16" s="78">
        <f ca="1">INDIRECT("'("&amp;$A$4&amp;"a)'!f12")</f>
        <v>0</v>
      </c>
      <c r="H16" s="62"/>
      <c r="J16" s="74"/>
      <c r="K16" s="74"/>
      <c r="M16" s="74"/>
      <c r="N16" s="74"/>
      <c r="P16" s="76"/>
      <c r="Q16" s="76"/>
      <c r="R16" s="76"/>
      <c r="S16" s="76"/>
      <c r="T16" s="76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 s="63" customFormat="1" ht="15" customHeight="1" x14ac:dyDescent="0.3">
      <c r="A17" s="62" t="s">
        <v>15</v>
      </c>
      <c r="B17" s="78">
        <f ca="1">INDIRECT("'("&amp;$A$4&amp;"a)'!C13")</f>
        <v>38</v>
      </c>
      <c r="C17" s="78"/>
      <c r="D17" s="78">
        <f ca="1">INDIRECT("'("&amp;$A$4&amp;"a)'!d13")</f>
        <v>4</v>
      </c>
      <c r="E17" s="78">
        <f ca="1">INDIRECT("'("&amp;$A$4&amp;"a)'!e13")</f>
        <v>4</v>
      </c>
      <c r="F17" s="78"/>
      <c r="G17" s="78">
        <f ca="1">INDIRECT("'("&amp;$A$4&amp;"a)'!f13")</f>
        <v>0</v>
      </c>
      <c r="H17" s="62"/>
      <c r="J17" s="74"/>
      <c r="K17" s="74"/>
      <c r="M17" s="74"/>
      <c r="N17" s="74"/>
      <c r="P17" s="76"/>
      <c r="Q17" s="76"/>
      <c r="R17" s="76"/>
      <c r="S17" s="76"/>
      <c r="T17" s="76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 s="63" customFormat="1" ht="15" customHeight="1" x14ac:dyDescent="0.3">
      <c r="A18" s="79" t="s">
        <v>16</v>
      </c>
      <c r="B18" s="78">
        <f ca="1">INDIRECT("'("&amp;$A$4&amp;"a)'!C14")</f>
        <v>29</v>
      </c>
      <c r="C18" s="78"/>
      <c r="D18" s="78">
        <f ca="1">INDIRECT("'("&amp;$A$4&amp;"a)'!d14")</f>
        <v>3</v>
      </c>
      <c r="E18" s="78">
        <f ca="1">INDIRECT("'("&amp;$A$4&amp;"a)'!e14")</f>
        <v>0</v>
      </c>
      <c r="F18" s="78"/>
      <c r="G18" s="78">
        <f ca="1">INDIRECT("'("&amp;$A$4&amp;"a)'!f14")</f>
        <v>0</v>
      </c>
      <c r="H18" s="62"/>
      <c r="J18" s="74"/>
      <c r="K18" s="74"/>
      <c r="M18" s="74"/>
      <c r="N18" s="74"/>
      <c r="P18" s="76"/>
      <c r="Q18" s="76"/>
      <c r="R18" s="76"/>
      <c r="S18" s="76"/>
      <c r="T18" s="76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 s="63" customFormat="1" ht="15" customHeight="1" x14ac:dyDescent="0.3">
      <c r="A19" s="79" t="s">
        <v>17</v>
      </c>
      <c r="B19" s="78">
        <f ca="1">INDIRECT("'("&amp;$A$4&amp;"a)'!C15")</f>
        <v>26</v>
      </c>
      <c r="C19" s="78"/>
      <c r="D19" s="78">
        <f ca="1">INDIRECT("'("&amp;$A$4&amp;"a)'!d15")</f>
        <v>4</v>
      </c>
      <c r="E19" s="78">
        <f ca="1">INDIRECT("'("&amp;$A$4&amp;"a)'!e15")</f>
        <v>3</v>
      </c>
      <c r="F19" s="78"/>
      <c r="G19" s="78">
        <f ca="1">INDIRECT("'("&amp;$A$4&amp;"a)'!f15")</f>
        <v>0</v>
      </c>
      <c r="H19" s="62"/>
      <c r="J19" s="74"/>
      <c r="K19" s="74"/>
      <c r="M19" s="74"/>
      <c r="N19" s="74"/>
      <c r="P19" s="76"/>
      <c r="Q19" s="76"/>
      <c r="R19" s="76"/>
      <c r="S19" s="76"/>
      <c r="T19" s="76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 s="63" customFormat="1" ht="15" customHeight="1" x14ac:dyDescent="0.3">
      <c r="A20" s="62" t="s">
        <v>18</v>
      </c>
      <c r="B20" s="78">
        <f ca="1">INDIRECT("'("&amp;$A$4&amp;"a)'!C16")</f>
        <v>52</v>
      </c>
      <c r="C20" s="78"/>
      <c r="D20" s="78">
        <f ca="1">INDIRECT("'("&amp;$A$4&amp;"a)'!d16")</f>
        <v>11</v>
      </c>
      <c r="E20" s="78">
        <f ca="1">INDIRECT("'("&amp;$A$4&amp;"a)'!e16")</f>
        <v>0</v>
      </c>
      <c r="F20" s="78"/>
      <c r="G20" s="78">
        <f ca="1">INDIRECT("'("&amp;$A$4&amp;"a)'!f16")</f>
        <v>0</v>
      </c>
      <c r="H20" s="62"/>
      <c r="J20" s="74"/>
      <c r="K20" s="74"/>
      <c r="M20" s="74"/>
      <c r="N20" s="74"/>
      <c r="P20" s="76"/>
      <c r="Q20" s="76"/>
      <c r="R20" s="76"/>
      <c r="S20" s="76"/>
      <c r="T20" s="76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 s="63" customFormat="1" ht="15" customHeight="1" x14ac:dyDescent="0.3">
      <c r="A21" s="62" t="s">
        <v>122</v>
      </c>
      <c r="B21" s="78">
        <f ca="1">INDIRECT("'("&amp;$A$4&amp;"a)'!C17")</f>
        <v>73</v>
      </c>
      <c r="C21" s="78"/>
      <c r="D21" s="78">
        <f ca="1">INDIRECT("'("&amp;$A$4&amp;"a)'!d17")</f>
        <v>10</v>
      </c>
      <c r="E21" s="78">
        <f ca="1">INDIRECT("'("&amp;$A$4&amp;"a)'!e17")</f>
        <v>0</v>
      </c>
      <c r="F21" s="78"/>
      <c r="G21" s="78">
        <f ca="1">INDIRECT("'("&amp;$A$4&amp;"a)'!f17")</f>
        <v>0</v>
      </c>
      <c r="H21" s="62"/>
      <c r="J21" s="74"/>
      <c r="K21" s="74"/>
      <c r="M21" s="74"/>
      <c r="N21" s="74"/>
      <c r="P21" s="76"/>
      <c r="Q21" s="76"/>
      <c r="R21" s="76"/>
      <c r="S21" s="76"/>
      <c r="T21" s="76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 s="63" customFormat="1" ht="15" customHeight="1" x14ac:dyDescent="0.3">
      <c r="A22" s="62" t="s">
        <v>20</v>
      </c>
      <c r="B22" s="78">
        <f ca="1">INDIRECT("'("&amp;$A$4&amp;"a)'!C18")</f>
        <v>18</v>
      </c>
      <c r="C22" s="78"/>
      <c r="D22" s="78">
        <f ca="1">INDIRECT("'("&amp;$A$4&amp;"a)'!d18")</f>
        <v>2</v>
      </c>
      <c r="E22" s="78">
        <f ca="1">INDIRECT("'("&amp;$A$4&amp;"a)'!e18")</f>
        <v>0</v>
      </c>
      <c r="F22" s="78"/>
      <c r="G22" s="78">
        <f ca="1">INDIRECT("'("&amp;$A$4&amp;"a)'!f18")</f>
        <v>0</v>
      </c>
      <c r="H22" s="62"/>
      <c r="J22" s="74"/>
      <c r="K22" s="74"/>
      <c r="M22" s="74"/>
      <c r="N22" s="74"/>
      <c r="P22" s="76"/>
      <c r="Q22" s="76"/>
      <c r="R22" s="76"/>
      <c r="S22" s="76"/>
      <c r="T22" s="76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s="63" customFormat="1" ht="15" customHeight="1" x14ac:dyDescent="0.3">
      <c r="A23" s="62" t="s">
        <v>21</v>
      </c>
      <c r="B23" s="78">
        <f ca="1">INDIRECT("'("&amp;$A$4&amp;"a)'!C19")</f>
        <v>66</v>
      </c>
      <c r="C23" s="78"/>
      <c r="D23" s="78">
        <f ca="1">INDIRECT("'("&amp;$A$4&amp;"a)'!d19")</f>
        <v>5</v>
      </c>
      <c r="E23" s="78">
        <f ca="1">INDIRECT("'("&amp;$A$4&amp;"a)'!e19")</f>
        <v>0</v>
      </c>
      <c r="F23" s="78"/>
      <c r="G23" s="78">
        <f ca="1">INDIRECT("'("&amp;$A$4&amp;"a)'!f19")</f>
        <v>0</v>
      </c>
      <c r="H23" s="62"/>
      <c r="J23" s="74"/>
      <c r="K23" s="74"/>
      <c r="M23" s="74"/>
      <c r="N23" s="74"/>
      <c r="P23" s="76"/>
      <c r="Q23" s="76"/>
      <c r="R23" s="76"/>
      <c r="S23" s="76"/>
      <c r="T23" s="76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s="63" customFormat="1" ht="15" customHeight="1" x14ac:dyDescent="0.3">
      <c r="A24" s="62" t="s">
        <v>22</v>
      </c>
      <c r="B24" s="78">
        <f ca="1">INDIRECT("'("&amp;$A$4&amp;"a)'!C20")</f>
        <v>97</v>
      </c>
      <c r="C24" s="78"/>
      <c r="D24" s="78">
        <f ca="1">INDIRECT("'("&amp;$A$4&amp;"a)'!d20")</f>
        <v>19</v>
      </c>
      <c r="E24" s="78">
        <f ca="1">INDIRECT("'("&amp;$A$4&amp;"a)'!e20")</f>
        <v>3</v>
      </c>
      <c r="F24" s="78"/>
      <c r="G24" s="78">
        <f ca="1">INDIRECT("'("&amp;$A$4&amp;"a)'!f20")</f>
        <v>0</v>
      </c>
      <c r="H24" s="62"/>
      <c r="J24" s="74"/>
      <c r="K24" s="74"/>
      <c r="M24" s="74"/>
      <c r="N24" s="74"/>
      <c r="P24" s="76"/>
      <c r="Q24" s="76"/>
      <c r="R24" s="76"/>
      <c r="S24" s="76"/>
      <c r="T24" s="76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s="63" customFormat="1" ht="15" customHeight="1" x14ac:dyDescent="0.3">
      <c r="A25" s="62" t="s">
        <v>23</v>
      </c>
      <c r="B25" s="78">
        <f ca="1">INDIRECT("'("&amp;$A$4&amp;"a)'!C21")</f>
        <v>38</v>
      </c>
      <c r="C25" s="78"/>
      <c r="D25" s="78">
        <f ca="1">INDIRECT("'("&amp;$A$4&amp;"a)'!d21")</f>
        <v>0</v>
      </c>
      <c r="E25" s="78">
        <f ca="1">INDIRECT("'("&amp;$A$4&amp;"a)'!e21")</f>
        <v>3</v>
      </c>
      <c r="F25" s="78"/>
      <c r="G25" s="78">
        <f ca="1">INDIRECT("'("&amp;$A$4&amp;"a)'!f21")</f>
        <v>0</v>
      </c>
      <c r="H25" s="62"/>
      <c r="J25" s="74"/>
      <c r="K25" s="74"/>
      <c r="M25" s="74"/>
      <c r="N25" s="74"/>
      <c r="P25" s="76"/>
      <c r="Q25" s="76"/>
      <c r="R25" s="76"/>
      <c r="S25" s="76"/>
      <c r="T25" s="76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s="63" customFormat="1" ht="15" customHeight="1" x14ac:dyDescent="0.3">
      <c r="A26" s="62" t="s">
        <v>24</v>
      </c>
      <c r="B26" s="78">
        <f ca="1">INDIRECT("'("&amp;$A$4&amp;"a)'!C22")</f>
        <v>61</v>
      </c>
      <c r="C26" s="78"/>
      <c r="D26" s="78">
        <f ca="1">INDIRECT("'("&amp;$A$4&amp;"a)'!d22")</f>
        <v>13</v>
      </c>
      <c r="E26" s="78">
        <f ca="1">INDIRECT("'("&amp;$A$4&amp;"a)'!e22")</f>
        <v>1</v>
      </c>
      <c r="F26" s="78"/>
      <c r="G26" s="78">
        <f ca="1">INDIRECT("'("&amp;$A$4&amp;"a)'!f22")</f>
        <v>0</v>
      </c>
      <c r="H26" s="62"/>
      <c r="J26" s="74"/>
      <c r="K26" s="74"/>
      <c r="M26" s="74"/>
      <c r="N26" s="74"/>
      <c r="P26" s="76"/>
      <c r="Q26" s="76"/>
      <c r="R26" s="76"/>
      <c r="S26" s="76"/>
      <c r="T26" s="76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s="63" customFormat="1" ht="15" customHeight="1" x14ac:dyDescent="0.3">
      <c r="A27" s="62" t="s">
        <v>25</v>
      </c>
      <c r="B27" s="78">
        <f ca="1">INDIRECT("'("&amp;$A$4&amp;"a)'!C23")</f>
        <v>71</v>
      </c>
      <c r="C27" s="78"/>
      <c r="D27" s="78">
        <f ca="1">INDIRECT("'("&amp;$A$4&amp;"a)'!d23")</f>
        <v>9</v>
      </c>
      <c r="E27" s="78">
        <f ca="1">INDIRECT("'("&amp;$A$4&amp;"a)'!e23")</f>
        <v>1</v>
      </c>
      <c r="F27" s="78"/>
      <c r="G27" s="78">
        <f ca="1">INDIRECT("'("&amp;$A$4&amp;"a)'!f23")</f>
        <v>0</v>
      </c>
      <c r="H27" s="62"/>
      <c r="J27" s="74"/>
      <c r="K27" s="74"/>
      <c r="M27" s="74"/>
      <c r="N27" s="74"/>
      <c r="P27" s="76"/>
      <c r="Q27" s="76"/>
      <c r="R27" s="76"/>
      <c r="S27" s="76"/>
      <c r="T27" s="76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s="63" customFormat="1" ht="15" customHeight="1" x14ac:dyDescent="0.3">
      <c r="A28" s="62" t="s">
        <v>26</v>
      </c>
      <c r="B28" s="78">
        <f ca="1">INDIRECT("'("&amp;$A$4&amp;"a)'!C24")</f>
        <v>61</v>
      </c>
      <c r="C28" s="78"/>
      <c r="D28" s="78">
        <f ca="1">INDIRECT("'("&amp;$A$4&amp;"a)'!d24")</f>
        <v>12</v>
      </c>
      <c r="E28" s="78">
        <f ca="1">INDIRECT("'("&amp;$A$4&amp;"a)'!e24")</f>
        <v>2</v>
      </c>
      <c r="F28" s="78"/>
      <c r="G28" s="78">
        <f ca="1">INDIRECT("'("&amp;$A$4&amp;"a)'!f24")</f>
        <v>0</v>
      </c>
      <c r="H28" s="62"/>
      <c r="J28" s="74"/>
      <c r="K28" s="74"/>
      <c r="M28" s="74"/>
      <c r="N28" s="74"/>
      <c r="P28" s="76"/>
      <c r="Q28" s="76"/>
      <c r="R28" s="76"/>
      <c r="S28" s="76"/>
      <c r="T28" s="76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s="63" customFormat="1" ht="15" customHeight="1" x14ac:dyDescent="0.3">
      <c r="A29" s="62" t="s">
        <v>27</v>
      </c>
      <c r="B29" s="78">
        <f ca="1">INDIRECT("'("&amp;$A$4&amp;"a)'!C25")</f>
        <v>80</v>
      </c>
      <c r="C29" s="78"/>
      <c r="D29" s="78">
        <f ca="1">INDIRECT("'("&amp;$A$4&amp;"a)'!d25")</f>
        <v>10</v>
      </c>
      <c r="E29" s="78">
        <f ca="1">INDIRECT("'("&amp;$A$4&amp;"a)'!e25")</f>
        <v>2</v>
      </c>
      <c r="F29" s="78"/>
      <c r="G29" s="78">
        <f ca="1">INDIRECT("'("&amp;$A$4&amp;"a)'!f25")</f>
        <v>0</v>
      </c>
      <c r="H29" s="62"/>
      <c r="J29" s="74"/>
      <c r="K29" s="74"/>
      <c r="M29" s="74"/>
      <c r="N29" s="74"/>
      <c r="P29" s="76"/>
      <c r="Q29" s="76"/>
      <c r="R29" s="76"/>
      <c r="S29" s="76"/>
      <c r="T29" s="76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s="63" customFormat="1" ht="15" customHeight="1" x14ac:dyDescent="0.3">
      <c r="A30" s="63" t="s">
        <v>28</v>
      </c>
      <c r="B30" s="78">
        <f ca="1">INDIRECT("'("&amp;$A$4&amp;"a)'!C26")</f>
        <v>5</v>
      </c>
      <c r="C30" s="78"/>
      <c r="D30" s="78">
        <f ca="1">INDIRECT("'("&amp;$A$4&amp;"a)'!d26")</f>
        <v>0</v>
      </c>
      <c r="E30" s="78">
        <f ca="1">INDIRECT("'("&amp;$A$4&amp;"a)'!e26")</f>
        <v>0</v>
      </c>
      <c r="F30" s="78"/>
      <c r="G30" s="78">
        <f ca="1">INDIRECT("'("&amp;$A$4&amp;"a)'!f26")</f>
        <v>0</v>
      </c>
      <c r="H30" s="62"/>
      <c r="J30" s="74"/>
      <c r="K30" s="74"/>
      <c r="M30" s="74"/>
      <c r="N30" s="74"/>
      <c r="P30" s="76"/>
      <c r="Q30" s="76"/>
      <c r="R30" s="76"/>
      <c r="S30" s="76"/>
      <c r="T30" s="76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s="63" customFormat="1" ht="15" customHeight="1" x14ac:dyDescent="0.3">
      <c r="A31" s="63" t="s">
        <v>29</v>
      </c>
      <c r="B31" s="78">
        <f ca="1">INDIRECT("'("&amp;$A$4&amp;"a)'!C27")</f>
        <v>81</v>
      </c>
      <c r="C31" s="78"/>
      <c r="D31" s="78">
        <f ca="1">INDIRECT("'("&amp;$A$4&amp;"a)'!d27")</f>
        <v>5</v>
      </c>
      <c r="E31" s="78">
        <f ca="1">INDIRECT("'("&amp;$A$4&amp;"a)'!e27")</f>
        <v>0</v>
      </c>
      <c r="F31" s="78"/>
      <c r="G31" s="78">
        <f ca="1">INDIRECT("'("&amp;$A$4&amp;"a)'!f27")</f>
        <v>0</v>
      </c>
      <c r="H31" s="62"/>
      <c r="J31" s="74"/>
      <c r="K31" s="74"/>
      <c r="M31" s="74"/>
      <c r="N31" s="74"/>
      <c r="P31" s="76"/>
      <c r="Q31" s="76"/>
      <c r="R31" s="76"/>
      <c r="S31" s="76"/>
      <c r="T31" s="76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s="63" customFormat="1" ht="15" customHeight="1" x14ac:dyDescent="0.3">
      <c r="A32" s="62" t="s">
        <v>30</v>
      </c>
      <c r="B32" s="78">
        <f ca="1">INDIRECT("'("&amp;$A$4&amp;"a)'!C28")</f>
        <v>52</v>
      </c>
      <c r="C32" s="78"/>
      <c r="D32" s="78">
        <f ca="1">INDIRECT("'("&amp;$A$4&amp;"a)'!d28")</f>
        <v>7</v>
      </c>
      <c r="E32" s="78">
        <f ca="1">INDIRECT("'("&amp;$A$4&amp;"a)'!e28")</f>
        <v>0</v>
      </c>
      <c r="F32" s="78"/>
      <c r="G32" s="78">
        <f ca="1">INDIRECT("'("&amp;$A$4&amp;"a)'!f28")</f>
        <v>0</v>
      </c>
      <c r="H32" s="62"/>
      <c r="J32" s="74"/>
      <c r="K32" s="74"/>
      <c r="M32" s="74"/>
      <c r="N32" s="74"/>
      <c r="P32" s="76"/>
      <c r="Q32" s="76"/>
      <c r="R32" s="76"/>
      <c r="S32" s="76"/>
      <c r="T32" s="76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s="63" customFormat="1" ht="15" customHeight="1" x14ac:dyDescent="0.3">
      <c r="A33" s="63" t="s">
        <v>31</v>
      </c>
      <c r="B33" s="78">
        <f ca="1">INDIRECT("'("&amp;$A$4&amp;"a)'!C29")</f>
        <v>45</v>
      </c>
      <c r="C33" s="78"/>
      <c r="D33" s="78">
        <f ca="1">INDIRECT("'("&amp;$A$4&amp;"a)'!d29")</f>
        <v>5</v>
      </c>
      <c r="E33" s="78">
        <f ca="1">INDIRECT("'("&amp;$A$4&amp;"a)'!e29")</f>
        <v>1</v>
      </c>
      <c r="F33" s="78"/>
      <c r="G33" s="78">
        <f ca="1">INDIRECT("'("&amp;$A$4&amp;"a)'!f29")</f>
        <v>0</v>
      </c>
      <c r="H33" s="62"/>
      <c r="J33" s="74"/>
      <c r="K33" s="74"/>
      <c r="M33" s="74"/>
      <c r="N33" s="74"/>
      <c r="P33" s="76"/>
      <c r="Q33" s="76"/>
      <c r="R33" s="76"/>
      <c r="S33" s="76"/>
      <c r="T33" s="76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s="63" customFormat="1" ht="15" customHeight="1" x14ac:dyDescent="0.3">
      <c r="A34" s="63" t="s">
        <v>32</v>
      </c>
      <c r="B34" s="78">
        <f ca="1">INDIRECT("'("&amp;$A$4&amp;"a)'!C30")</f>
        <v>46</v>
      </c>
      <c r="C34" s="78"/>
      <c r="D34" s="78">
        <f ca="1">INDIRECT("'("&amp;$A$4&amp;"a)'!d30")</f>
        <v>7</v>
      </c>
      <c r="E34" s="78">
        <f ca="1">INDIRECT("'("&amp;$A$4&amp;"a)'!e30")</f>
        <v>3</v>
      </c>
      <c r="F34" s="78"/>
      <c r="G34" s="78">
        <f ca="1">INDIRECT("'("&amp;$A$4&amp;"a)'!f30")</f>
        <v>0</v>
      </c>
      <c r="H34" s="62"/>
      <c r="J34" s="74"/>
      <c r="K34" s="74"/>
      <c r="M34" s="74"/>
      <c r="N34" s="74"/>
      <c r="P34" s="76"/>
      <c r="Q34" s="76"/>
      <c r="R34" s="76"/>
      <c r="S34" s="76"/>
      <c r="T34" s="76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s="63" customFormat="1" ht="15" customHeight="1" x14ac:dyDescent="0.3">
      <c r="A35" s="62" t="s">
        <v>33</v>
      </c>
      <c r="B35" s="78">
        <f ca="1">INDIRECT("'("&amp;$A$4&amp;"a)'!C31")</f>
        <v>60</v>
      </c>
      <c r="C35" s="78"/>
      <c r="D35" s="78">
        <f ca="1">INDIRECT("'("&amp;$A$4&amp;"a)'!d31")</f>
        <v>10</v>
      </c>
      <c r="E35" s="78">
        <f ca="1">INDIRECT("'("&amp;$A$4&amp;"a)'!e31")</f>
        <v>0</v>
      </c>
      <c r="F35" s="78"/>
      <c r="G35" s="78">
        <f ca="1">INDIRECT("'("&amp;$A$4&amp;"a)'!f31")</f>
        <v>0</v>
      </c>
      <c r="H35" s="62"/>
      <c r="J35" s="74"/>
      <c r="K35" s="74"/>
      <c r="M35" s="74"/>
      <c r="N35" s="74"/>
      <c r="P35" s="76"/>
      <c r="Q35" s="76"/>
      <c r="R35" s="76"/>
      <c r="S35" s="76"/>
      <c r="T35" s="76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s="63" customFormat="1" ht="15" customHeight="1" x14ac:dyDescent="0.3">
      <c r="A36" s="63" t="s">
        <v>34</v>
      </c>
      <c r="B36" s="78">
        <f ca="1">INDIRECT("'("&amp;$A$4&amp;"a)'!C32")</f>
        <v>59</v>
      </c>
      <c r="C36" s="78"/>
      <c r="D36" s="78">
        <f ca="1">INDIRECT("'("&amp;$A$4&amp;"a)'!d32")</f>
        <v>9</v>
      </c>
      <c r="E36" s="78">
        <f ca="1">INDIRECT("'("&amp;$A$4&amp;"a)'!e32")</f>
        <v>2</v>
      </c>
      <c r="F36" s="78"/>
      <c r="G36" s="78">
        <f ca="1">INDIRECT("'("&amp;$A$4&amp;"a)'!f32")</f>
        <v>0</v>
      </c>
      <c r="H36" s="62"/>
      <c r="J36" s="74"/>
      <c r="K36" s="74"/>
      <c r="M36" s="74"/>
      <c r="N36" s="74"/>
      <c r="P36" s="76"/>
      <c r="Q36" s="76"/>
      <c r="R36" s="76"/>
      <c r="S36" s="76"/>
      <c r="T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s="63" customFormat="1" ht="15" customHeight="1" x14ac:dyDescent="0.3">
      <c r="A37" s="63" t="s">
        <v>35</v>
      </c>
      <c r="B37" s="78">
        <f ca="1">INDIRECT("'("&amp;$A$4&amp;"a)'!C33")</f>
        <v>50</v>
      </c>
      <c r="C37" s="78"/>
      <c r="D37" s="78">
        <f ca="1">INDIRECT("'("&amp;$A$4&amp;"a)'!d33")</f>
        <v>5</v>
      </c>
      <c r="E37" s="78">
        <f ca="1">INDIRECT("'("&amp;$A$4&amp;"a)'!e33")</f>
        <v>1</v>
      </c>
      <c r="F37" s="78"/>
      <c r="G37" s="78">
        <f ca="1">INDIRECT("'("&amp;$A$4&amp;"a)'!f33")</f>
        <v>0</v>
      </c>
      <c r="H37" s="62"/>
      <c r="J37" s="74"/>
      <c r="K37" s="74"/>
      <c r="M37" s="74"/>
      <c r="N37" s="74"/>
      <c r="P37" s="76"/>
      <c r="Q37" s="76"/>
      <c r="R37" s="76"/>
      <c r="S37" s="76"/>
      <c r="T37" s="76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s="63" customFormat="1" ht="15" customHeight="1" x14ac:dyDescent="0.3">
      <c r="A38" s="63" t="s">
        <v>36</v>
      </c>
      <c r="B38" s="78">
        <f ca="1">INDIRECT("'("&amp;$A$4&amp;"a)'!C34")</f>
        <v>17</v>
      </c>
      <c r="C38" s="78"/>
      <c r="D38" s="78">
        <f ca="1">INDIRECT("'("&amp;$A$4&amp;"a)'!d34")</f>
        <v>3</v>
      </c>
      <c r="E38" s="78">
        <f ca="1">INDIRECT("'("&amp;$A$4&amp;"a)'!e34")</f>
        <v>0</v>
      </c>
      <c r="F38" s="78"/>
      <c r="G38" s="78">
        <f ca="1">INDIRECT("'("&amp;$A$4&amp;"a)'!f34")</f>
        <v>0</v>
      </c>
      <c r="H38" s="62"/>
      <c r="J38" s="74"/>
      <c r="K38" s="74"/>
      <c r="M38" s="74"/>
      <c r="N38" s="74"/>
      <c r="P38" s="76"/>
      <c r="Q38" s="76"/>
      <c r="R38" s="76"/>
      <c r="S38" s="76"/>
      <c r="T38" s="76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s="63" customFormat="1" ht="15" customHeight="1" x14ac:dyDescent="0.3">
      <c r="A39" s="62" t="s">
        <v>37</v>
      </c>
      <c r="B39" s="78">
        <f ca="1">INDIRECT("'("&amp;$A$4&amp;"a)'!C35")</f>
        <v>39</v>
      </c>
      <c r="C39" s="78"/>
      <c r="D39" s="78">
        <f ca="1">INDIRECT("'("&amp;$A$4&amp;"a)'!d35")</f>
        <v>6</v>
      </c>
      <c r="E39" s="78">
        <f ca="1">INDIRECT("'("&amp;$A$4&amp;"a)'!e35")</f>
        <v>1</v>
      </c>
      <c r="F39" s="78"/>
      <c r="G39" s="78">
        <f ca="1">INDIRECT("'("&amp;$A$4&amp;"a)'!f35")</f>
        <v>0</v>
      </c>
      <c r="H39" s="62"/>
      <c r="J39" s="74"/>
      <c r="K39" s="74"/>
      <c r="M39" s="74"/>
      <c r="N39" s="74"/>
      <c r="P39" s="76"/>
      <c r="Q39" s="76"/>
      <c r="R39" s="76"/>
      <c r="S39" s="76"/>
      <c r="T39" s="76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s="63" customFormat="1" ht="15" customHeight="1" x14ac:dyDescent="0.3">
      <c r="A40" s="62" t="s">
        <v>38</v>
      </c>
      <c r="B40" s="78">
        <f ca="1">INDIRECT("'("&amp;$A$4&amp;"a)'!C36")</f>
        <v>39</v>
      </c>
      <c r="C40" s="78"/>
      <c r="D40" s="78">
        <f ca="1">INDIRECT("'("&amp;$A$4&amp;"a)'!d36")</f>
        <v>3</v>
      </c>
      <c r="E40" s="78">
        <f ca="1">INDIRECT("'("&amp;$A$4&amp;"a)'!e36")</f>
        <v>2</v>
      </c>
      <c r="F40" s="78"/>
      <c r="G40" s="78">
        <f ca="1">INDIRECT("'("&amp;$A$4&amp;"a)'!f36")</f>
        <v>0</v>
      </c>
      <c r="H40" s="62"/>
      <c r="J40" s="74"/>
      <c r="K40" s="74"/>
      <c r="M40" s="74"/>
      <c r="N40" s="74"/>
      <c r="P40" s="76"/>
      <c r="Q40" s="76"/>
      <c r="R40" s="76"/>
      <c r="S40" s="76"/>
      <c r="T40" s="76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s="63" customFormat="1" ht="15" customHeight="1" x14ac:dyDescent="0.3">
      <c r="A41" s="62" t="s">
        <v>39</v>
      </c>
      <c r="B41" s="78">
        <f ca="1">INDIRECT("'("&amp;$A$4&amp;"a)'!C37")</f>
        <v>30</v>
      </c>
      <c r="C41" s="78"/>
      <c r="D41" s="78">
        <f ca="1">INDIRECT("'("&amp;$A$4&amp;"a)'!d37")</f>
        <v>1</v>
      </c>
      <c r="E41" s="78">
        <f ca="1">INDIRECT("'("&amp;$A$4&amp;"a)'!e37")</f>
        <v>1</v>
      </c>
      <c r="F41" s="78"/>
      <c r="G41" s="78">
        <f ca="1">INDIRECT("'("&amp;$A$4&amp;"a)'!f37")</f>
        <v>0</v>
      </c>
      <c r="H41" s="62"/>
      <c r="J41" s="74"/>
      <c r="K41" s="74"/>
      <c r="M41" s="74"/>
      <c r="N41" s="74"/>
      <c r="P41" s="76"/>
      <c r="Q41" s="76"/>
      <c r="R41" s="76"/>
      <c r="S41" s="76"/>
      <c r="T41" s="76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s="63" customFormat="1" ht="15" customHeight="1" x14ac:dyDescent="0.3">
      <c r="A42" s="62" t="s">
        <v>40</v>
      </c>
      <c r="B42" s="78">
        <f ca="1">INDIRECT("'("&amp;$A$4&amp;"a)'!C38")</f>
        <v>53</v>
      </c>
      <c r="C42" s="78"/>
      <c r="D42" s="78">
        <f ca="1">INDIRECT("'("&amp;$A$4&amp;"a)'!d38")</f>
        <v>6</v>
      </c>
      <c r="E42" s="78">
        <f ca="1">INDIRECT("'("&amp;$A$4&amp;"a)'!e38")</f>
        <v>0</v>
      </c>
      <c r="F42" s="78"/>
      <c r="G42" s="78">
        <f ca="1">INDIRECT("'("&amp;$A$4&amp;"a)'!f38")</f>
        <v>0</v>
      </c>
      <c r="H42" s="62"/>
      <c r="J42" s="74"/>
      <c r="K42" s="74"/>
      <c r="M42" s="74"/>
      <c r="N42" s="74"/>
      <c r="P42" s="76"/>
      <c r="Q42" s="76"/>
      <c r="R42" s="76"/>
      <c r="S42" s="76"/>
      <c r="T42" s="76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s="63" customFormat="1" ht="15" customHeight="1" x14ac:dyDescent="0.3">
      <c r="A43" s="62" t="s">
        <v>41</v>
      </c>
      <c r="B43" s="78">
        <f ca="1">INDIRECT("'("&amp;$A$4&amp;"a)'!C39")</f>
        <v>28</v>
      </c>
      <c r="C43" s="78"/>
      <c r="D43" s="78">
        <f ca="1">INDIRECT("'("&amp;$A$4&amp;"a)'!d39")</f>
        <v>3</v>
      </c>
      <c r="E43" s="78">
        <f ca="1">INDIRECT("'("&amp;$A$4&amp;"a)'!e39")</f>
        <v>0</v>
      </c>
      <c r="F43" s="78"/>
      <c r="G43" s="78">
        <f ca="1">INDIRECT("'("&amp;$A$4&amp;"a)'!f39")</f>
        <v>0</v>
      </c>
      <c r="H43" s="62"/>
      <c r="J43" s="74"/>
      <c r="K43" s="74"/>
      <c r="M43" s="74"/>
      <c r="N43" s="74"/>
      <c r="P43" s="76"/>
      <c r="Q43" s="76"/>
      <c r="R43" s="76"/>
      <c r="S43" s="76"/>
      <c r="T43" s="76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 s="63" customFormat="1" ht="15" customHeight="1" x14ac:dyDescent="0.3">
      <c r="A44" s="62" t="s">
        <v>42</v>
      </c>
      <c r="B44" s="78">
        <f ca="1">INDIRECT("'("&amp;$A$4&amp;"a)'!C40")</f>
        <v>46</v>
      </c>
      <c r="C44" s="78"/>
      <c r="D44" s="78">
        <f ca="1">INDIRECT("'("&amp;$A$4&amp;"a)'!d40")</f>
        <v>16</v>
      </c>
      <c r="E44" s="78">
        <f ca="1">INDIRECT("'("&amp;$A$4&amp;"a)'!e40")</f>
        <v>0</v>
      </c>
      <c r="F44" s="78"/>
      <c r="G44" s="78">
        <f ca="1">INDIRECT("'("&amp;$A$4&amp;"a)'!f40")</f>
        <v>0</v>
      </c>
      <c r="H44" s="62"/>
      <c r="J44" s="74"/>
      <c r="K44" s="74"/>
      <c r="M44" s="74"/>
      <c r="N44" s="74"/>
      <c r="P44" s="76"/>
      <c r="Q44" s="76"/>
      <c r="R44" s="76"/>
      <c r="S44" s="76"/>
      <c r="T44" s="7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 s="63" customFormat="1" ht="15" customHeight="1" x14ac:dyDescent="0.3">
      <c r="A45" s="62" t="s">
        <v>43</v>
      </c>
      <c r="B45" s="78">
        <f ca="1">INDIRECT("'("&amp;$A$4&amp;"a)'!C41")</f>
        <v>25</v>
      </c>
      <c r="C45" s="78"/>
      <c r="D45" s="78">
        <f ca="1">INDIRECT("'("&amp;$A$4&amp;"a)'!d41")</f>
        <v>2</v>
      </c>
      <c r="E45" s="78">
        <f ca="1">INDIRECT("'("&amp;$A$4&amp;"a)'!e41")</f>
        <v>0</v>
      </c>
      <c r="F45" s="78"/>
      <c r="G45" s="78">
        <f ca="1">INDIRECT("'("&amp;$A$4&amp;"a)'!f41")</f>
        <v>0</v>
      </c>
      <c r="H45" s="62"/>
      <c r="J45" s="74"/>
      <c r="K45" s="74"/>
      <c r="M45" s="74"/>
      <c r="N45" s="74"/>
      <c r="P45" s="76"/>
      <c r="Q45" s="76"/>
      <c r="R45" s="76"/>
      <c r="S45" s="76"/>
      <c r="T45" s="7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 s="63" customFormat="1" ht="15" customHeight="1" x14ac:dyDescent="0.3">
      <c r="A46" s="62" t="s">
        <v>44</v>
      </c>
      <c r="B46" s="78">
        <f ca="1">INDIRECT("'("&amp;$A$4&amp;"a)'!C42")</f>
        <v>38</v>
      </c>
      <c r="C46" s="78"/>
      <c r="D46" s="78">
        <f ca="1">INDIRECT("'("&amp;$A$4&amp;"a)'!d42")</f>
        <v>7</v>
      </c>
      <c r="E46" s="78">
        <f ca="1">INDIRECT("'("&amp;$A$4&amp;"a)'!e42")</f>
        <v>1</v>
      </c>
      <c r="F46" s="78"/>
      <c r="G46" s="78">
        <f ca="1">INDIRECT("'("&amp;$A$4&amp;"a)'!f42")</f>
        <v>0</v>
      </c>
      <c r="H46" s="62"/>
      <c r="J46" s="74"/>
      <c r="K46" s="74"/>
      <c r="M46" s="74"/>
      <c r="N46" s="74"/>
      <c r="P46" s="76"/>
      <c r="Q46" s="76"/>
      <c r="R46" s="76"/>
      <c r="S46" s="76"/>
      <c r="T46" s="76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 s="63" customFormat="1" ht="15" customHeight="1" x14ac:dyDescent="0.3">
      <c r="A47" s="62" t="s">
        <v>46</v>
      </c>
      <c r="B47" s="78">
        <f ca="1">INDIRECT("'("&amp;$A$4&amp;"a)'!C43")</f>
        <v>0</v>
      </c>
      <c r="C47" s="78"/>
      <c r="D47" s="78">
        <f ca="1">INDIRECT("'("&amp;$A$4&amp;"a)'!d43")</f>
        <v>0</v>
      </c>
      <c r="E47" s="78">
        <f ca="1">INDIRECT("'("&amp;$A$4&amp;"a)'!e43")</f>
        <v>0</v>
      </c>
      <c r="F47" s="78"/>
      <c r="G47" s="78">
        <f ca="1">INDIRECT("'("&amp;$A$4&amp;"a)'!f43")</f>
        <v>0</v>
      </c>
      <c r="H47" s="62"/>
      <c r="J47" s="74"/>
      <c r="K47" s="74"/>
      <c r="M47" s="74"/>
      <c r="N47" s="74"/>
      <c r="P47" s="76"/>
      <c r="Q47" s="76"/>
      <c r="R47" s="76"/>
      <c r="S47" s="76"/>
      <c r="T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 s="63" customFormat="1" ht="15" customHeight="1" x14ac:dyDescent="0.35">
      <c r="A48" s="80" t="s">
        <v>47</v>
      </c>
      <c r="B48" s="90">
        <f ca="1">INDIRECT("'("&amp;$A$4&amp;"a)'!C44")</f>
        <v>857</v>
      </c>
      <c r="C48" s="90"/>
      <c r="D48" s="90">
        <f ca="1">INDIRECT("'("&amp;$A$4&amp;"a)'!d44")</f>
        <v>113</v>
      </c>
      <c r="E48" s="90">
        <f ca="1">INDIRECT("'("&amp;$A$4&amp;"a)'!e44")</f>
        <v>12</v>
      </c>
      <c r="F48" s="90"/>
      <c r="G48" s="90">
        <f ca="1">INDIRECT("'("&amp;$A$4&amp;"a)'!f44")</f>
        <v>0</v>
      </c>
      <c r="H48" s="62"/>
      <c r="J48" s="74"/>
      <c r="K48" s="74"/>
      <c r="M48" s="74"/>
      <c r="N48" s="74"/>
      <c r="P48" s="76"/>
      <c r="Q48" s="76"/>
      <c r="R48" s="76"/>
      <c r="S48" s="76"/>
      <c r="T48" s="76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 s="63" customFormat="1" ht="15" customHeight="1" x14ac:dyDescent="0.35">
      <c r="A49" s="62" t="s">
        <v>48</v>
      </c>
      <c r="B49" s="186">
        <f ca="1">INDIRECT("'("&amp;$A$4&amp;"a)'!C45")</f>
        <v>99</v>
      </c>
      <c r="C49" s="186"/>
      <c r="D49" s="186">
        <f ca="1">INDIRECT("'("&amp;$A$4&amp;"a)'!d45")</f>
        <v>13</v>
      </c>
      <c r="E49" s="186">
        <f ca="1">INDIRECT("'("&amp;$A$4&amp;"a)'!e45")</f>
        <v>1</v>
      </c>
      <c r="F49" s="186"/>
      <c r="G49" s="186">
        <f ca="1">INDIRECT("'("&amp;$A$4&amp;"a)'!f45")</f>
        <v>0</v>
      </c>
      <c r="H49" s="62"/>
      <c r="J49" s="74"/>
      <c r="K49" s="74"/>
      <c r="M49" s="74"/>
      <c r="N49" s="74"/>
      <c r="P49" s="76"/>
      <c r="Q49" s="76"/>
      <c r="R49" s="76"/>
      <c r="S49" s="76"/>
      <c r="T49" s="76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 s="63" customFormat="1" ht="15" customHeight="1" x14ac:dyDescent="0.3">
      <c r="A50" s="62" t="s">
        <v>49</v>
      </c>
      <c r="B50" s="187">
        <f ca="1">INDIRECT("'("&amp;$A$4&amp;"a)'!C46")</f>
        <v>33</v>
      </c>
      <c r="C50" s="187"/>
      <c r="D50" s="187">
        <f ca="1">INDIRECT("'("&amp;$A$4&amp;"a)'!d46")</f>
        <v>6</v>
      </c>
      <c r="E50" s="187">
        <f ca="1">INDIRECT("'("&amp;$A$4&amp;"a)'!e46")</f>
        <v>0</v>
      </c>
      <c r="F50" s="187"/>
      <c r="G50" s="187">
        <f ca="1">INDIRECT("'("&amp;$A$4&amp;"a)'!f46")</f>
        <v>0</v>
      </c>
      <c r="H50" s="62"/>
      <c r="J50" s="74"/>
      <c r="K50" s="74"/>
      <c r="M50" s="74"/>
      <c r="N50" s="74"/>
      <c r="P50" s="76"/>
      <c r="Q50" s="76"/>
      <c r="R50" s="76"/>
      <c r="S50" s="76"/>
      <c r="T50" s="76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 s="63" customFormat="1" ht="15" customHeight="1" x14ac:dyDescent="0.3">
      <c r="A51" s="62" t="s">
        <v>50</v>
      </c>
      <c r="B51" s="78">
        <f ca="1">INDIRECT("'("&amp;$A$4&amp;"a)'!C47")</f>
        <v>122</v>
      </c>
      <c r="C51" s="78"/>
      <c r="D51" s="78">
        <f ca="1">INDIRECT("'("&amp;$A$4&amp;"a)'!d47")</f>
        <v>8</v>
      </c>
      <c r="E51" s="78">
        <f ca="1">INDIRECT("'("&amp;$A$4&amp;"a)'!e47")</f>
        <v>0</v>
      </c>
      <c r="F51" s="78"/>
      <c r="G51" s="78">
        <f ca="1">INDIRECT("'("&amp;$A$4&amp;"a)'!f47")</f>
        <v>0</v>
      </c>
      <c r="H51" s="62"/>
      <c r="J51" s="74"/>
      <c r="K51" s="74"/>
      <c r="M51" s="74"/>
      <c r="N51" s="74"/>
      <c r="P51" s="76"/>
      <c r="Q51" s="76"/>
      <c r="R51" s="76"/>
      <c r="S51" s="76"/>
      <c r="T51" s="76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 s="63" customFormat="1" ht="15" customHeight="1" x14ac:dyDescent="0.3">
      <c r="A52" s="62" t="s">
        <v>51</v>
      </c>
      <c r="B52" s="78">
        <f ca="1">INDIRECT("'("&amp;$A$4&amp;"a)'!C48")</f>
        <v>28</v>
      </c>
      <c r="C52" s="78"/>
      <c r="D52" s="78">
        <f ca="1">INDIRECT("'("&amp;$A$4&amp;"a)'!d48")</f>
        <v>4</v>
      </c>
      <c r="E52" s="78">
        <f ca="1">INDIRECT("'("&amp;$A$4&amp;"a)'!e48")</f>
        <v>0</v>
      </c>
      <c r="F52" s="78"/>
      <c r="G52" s="78">
        <f ca="1">INDIRECT("'("&amp;$A$4&amp;"a)'!f48")</f>
        <v>0</v>
      </c>
      <c r="H52" s="62"/>
      <c r="J52" s="74"/>
      <c r="K52" s="74"/>
      <c r="M52" s="74"/>
      <c r="N52" s="74"/>
      <c r="P52" s="76"/>
      <c r="Q52" s="76"/>
      <c r="R52" s="76"/>
      <c r="S52" s="76"/>
      <c r="T52" s="76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 s="63" customFormat="1" ht="15" customHeight="1" x14ac:dyDescent="0.3">
      <c r="A53" s="62" t="s">
        <v>52</v>
      </c>
      <c r="B53" s="78">
        <f ca="1">INDIRECT("'("&amp;$A$4&amp;"a)'!C49")</f>
        <v>96</v>
      </c>
      <c r="C53" s="78"/>
      <c r="D53" s="78">
        <f ca="1">INDIRECT("'("&amp;$A$4&amp;"a)'!d49")</f>
        <v>9</v>
      </c>
      <c r="E53" s="78">
        <f ca="1">INDIRECT("'("&amp;$A$4&amp;"a)'!e49")</f>
        <v>2</v>
      </c>
      <c r="F53" s="78"/>
      <c r="G53" s="78">
        <f ca="1">INDIRECT("'("&amp;$A$4&amp;"a)'!f49")</f>
        <v>0</v>
      </c>
      <c r="H53" s="62"/>
      <c r="J53" s="74"/>
      <c r="K53" s="74"/>
      <c r="M53" s="74"/>
      <c r="N53" s="74"/>
      <c r="P53" s="76"/>
      <c r="Q53" s="76"/>
      <c r="R53" s="76"/>
      <c r="S53" s="76"/>
      <c r="T53" s="76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 s="63" customFormat="1" ht="15" customHeight="1" x14ac:dyDescent="0.3">
      <c r="A54" s="62" t="s">
        <v>53</v>
      </c>
      <c r="B54" s="78">
        <f ca="1">INDIRECT("'("&amp;$A$4&amp;"a)'!C50")</f>
        <v>97</v>
      </c>
      <c r="C54" s="78"/>
      <c r="D54" s="78">
        <f ca="1">INDIRECT("'("&amp;$A$4&amp;"a)'!d50")</f>
        <v>5</v>
      </c>
      <c r="E54" s="78">
        <f ca="1">INDIRECT("'("&amp;$A$4&amp;"a)'!e50")</f>
        <v>2</v>
      </c>
      <c r="F54" s="78"/>
      <c r="G54" s="78">
        <f ca="1">INDIRECT("'("&amp;$A$4&amp;"a)'!f50")</f>
        <v>0</v>
      </c>
      <c r="H54" s="62"/>
      <c r="J54" s="74"/>
      <c r="K54" s="74"/>
      <c r="M54" s="74"/>
      <c r="N54" s="74"/>
      <c r="P54" s="76"/>
      <c r="Q54" s="76"/>
      <c r="R54" s="76"/>
      <c r="S54" s="76"/>
      <c r="T54" s="76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s="63" customFormat="1" ht="15" customHeight="1" thickBot="1" x14ac:dyDescent="0.35">
      <c r="A55" s="81" t="s">
        <v>54</v>
      </c>
      <c r="B55" s="82">
        <f ca="1">INDIRECT("'("&amp;$A$4&amp;"a)'!C51")</f>
        <v>382</v>
      </c>
      <c r="C55" s="82"/>
      <c r="D55" s="82">
        <f ca="1">INDIRECT("'("&amp;$A$4&amp;"a)'!d51")</f>
        <v>68</v>
      </c>
      <c r="E55" s="82">
        <f ca="1">INDIRECT("'("&amp;$A$4&amp;"a)'!e51")</f>
        <v>7</v>
      </c>
      <c r="F55" s="82"/>
      <c r="G55" s="82">
        <f ca="1">INDIRECT("'("&amp;$A$4&amp;"a)'!f51")</f>
        <v>0</v>
      </c>
      <c r="H55" s="62"/>
      <c r="J55" s="74"/>
      <c r="K55" s="74"/>
      <c r="L55" s="62"/>
      <c r="M55" s="74"/>
      <c r="N55" s="74"/>
      <c r="P55" s="76"/>
      <c r="Q55" s="76"/>
      <c r="R55" s="76"/>
      <c r="S55" s="76"/>
      <c r="T55" s="76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x14ac:dyDescent="0.3">
      <c r="J56" s="74"/>
      <c r="K56" s="74"/>
      <c r="M56" s="74"/>
      <c r="N56" s="74"/>
      <c r="O56" s="74"/>
      <c r="P56" s="74"/>
      <c r="Q56" s="74"/>
      <c r="R56" s="74"/>
      <c r="S56" s="74"/>
      <c r="T56" s="74"/>
    </row>
    <row r="57" spans="1:32" s="63" customFormat="1" ht="15" customHeight="1" x14ac:dyDescent="0.3">
      <c r="A57" s="321"/>
      <c r="B57" s="321"/>
      <c r="C57" s="321"/>
      <c r="D57" s="321"/>
      <c r="E57" s="321"/>
      <c r="F57" s="321"/>
      <c r="G57" s="321"/>
      <c r="H57" s="62"/>
      <c r="I57" s="62"/>
      <c r="J57" s="74"/>
      <c r="K57" s="74"/>
      <c r="L57" s="62"/>
      <c r="M57" s="74"/>
      <c r="N57" s="74"/>
      <c r="O57" s="74"/>
      <c r="P57" s="74"/>
      <c r="Q57" s="74"/>
      <c r="R57" s="74"/>
      <c r="S57" s="74"/>
      <c r="T57" s="74"/>
    </row>
    <row r="58" spans="1:32" s="63" customFormat="1" ht="15" customHeight="1" x14ac:dyDescent="0.3">
      <c r="A58" s="327"/>
      <c r="B58" s="327"/>
      <c r="C58" s="327"/>
      <c r="D58" s="327"/>
      <c r="E58" s="327"/>
      <c r="F58" s="327"/>
      <c r="G58" s="327"/>
      <c r="H58" s="62"/>
      <c r="I58" s="62"/>
      <c r="J58" s="74"/>
      <c r="K58" s="74"/>
      <c r="L58" s="62"/>
      <c r="M58" s="74"/>
      <c r="N58" s="74"/>
      <c r="O58" s="74"/>
      <c r="P58" s="74"/>
      <c r="Q58" s="74"/>
      <c r="R58" s="74"/>
      <c r="S58" s="74"/>
      <c r="T58" s="74"/>
    </row>
    <row r="59" spans="1:32" s="63" customFormat="1" ht="15" customHeight="1" x14ac:dyDescent="0.35">
      <c r="A59" s="84"/>
      <c r="B59" s="62"/>
      <c r="C59" s="62"/>
      <c r="D59" s="62"/>
      <c r="E59" s="62"/>
      <c r="F59" s="62"/>
      <c r="G59" s="62"/>
      <c r="H59" s="62"/>
      <c r="I59" s="62"/>
      <c r="J59" s="74"/>
      <c r="K59" s="74"/>
      <c r="L59" s="62"/>
      <c r="M59" s="74"/>
      <c r="N59" s="74"/>
      <c r="O59" s="74"/>
      <c r="P59" s="74"/>
      <c r="Q59" s="74"/>
      <c r="R59" s="74"/>
      <c r="S59" s="74"/>
      <c r="T59" s="74"/>
    </row>
    <row r="60" spans="1:32" s="63" customFormat="1" x14ac:dyDescent="0.3">
      <c r="A60" s="321"/>
      <c r="B60" s="321"/>
      <c r="C60" s="321"/>
      <c r="D60" s="321"/>
      <c r="E60" s="321"/>
      <c r="F60" s="321"/>
      <c r="G60" s="321"/>
      <c r="H60" s="62"/>
      <c r="I60" s="62"/>
      <c r="J60" s="74"/>
      <c r="K60" s="74"/>
      <c r="L60" s="62"/>
      <c r="M60" s="74"/>
      <c r="N60" s="74"/>
      <c r="O60" s="74"/>
      <c r="P60" s="74"/>
      <c r="Q60" s="74"/>
      <c r="R60" s="74"/>
      <c r="S60" s="74"/>
      <c r="T60" s="74"/>
    </row>
    <row r="61" spans="1:32" s="63" customFormat="1" ht="15" customHeight="1" x14ac:dyDescent="0.3">
      <c r="A61" s="85"/>
      <c r="B61" s="85"/>
      <c r="C61" s="85"/>
      <c r="D61" s="85"/>
      <c r="E61" s="85"/>
      <c r="F61" s="85"/>
      <c r="G61" s="85"/>
      <c r="H61" s="62"/>
      <c r="I61" s="62"/>
      <c r="J61" s="74"/>
      <c r="K61" s="74"/>
      <c r="L61" s="62"/>
      <c r="M61" s="74"/>
      <c r="N61" s="74"/>
      <c r="O61" s="74"/>
      <c r="P61" s="74"/>
      <c r="Q61" s="74"/>
      <c r="R61" s="74"/>
      <c r="S61" s="74"/>
      <c r="T61" s="74"/>
    </row>
    <row r="62" spans="1:32" s="63" customFormat="1" ht="15" customHeight="1" x14ac:dyDescent="0.3">
      <c r="A62" s="62"/>
      <c r="B62" s="60"/>
      <c r="C62" s="60"/>
      <c r="D62" s="60"/>
      <c r="E62" s="60"/>
      <c r="F62" s="60"/>
      <c r="G62" s="60"/>
      <c r="L62" s="62"/>
    </row>
    <row r="63" spans="1:32" s="63" customFormat="1" ht="15" customHeight="1" x14ac:dyDescent="0.35">
      <c r="A63" s="86"/>
      <c r="B63" s="60"/>
      <c r="C63" s="60"/>
      <c r="D63" s="60"/>
      <c r="E63" s="60"/>
      <c r="F63" s="60"/>
      <c r="G63" s="60"/>
      <c r="L63" s="62"/>
    </row>
    <row r="64" spans="1:32" s="63" customFormat="1" ht="15" customHeight="1" x14ac:dyDescent="0.35">
      <c r="A64" s="86"/>
      <c r="B64" s="60"/>
      <c r="C64" s="60"/>
      <c r="D64" s="60"/>
      <c r="E64" s="60"/>
      <c r="F64" s="60"/>
      <c r="G64" s="60"/>
      <c r="L64" s="62"/>
    </row>
    <row r="65" spans="1:12" s="63" customFormat="1" x14ac:dyDescent="0.3">
      <c r="A65" s="321"/>
      <c r="B65" s="321"/>
      <c r="C65" s="321"/>
      <c r="D65" s="321"/>
      <c r="E65" s="321"/>
      <c r="F65" s="321"/>
      <c r="G65" s="321"/>
      <c r="L65" s="62"/>
    </row>
    <row r="67" spans="1:12" s="63" customFormat="1" x14ac:dyDescent="0.3">
      <c r="A67" s="62"/>
      <c r="B67" s="62"/>
      <c r="C67" s="62"/>
      <c r="D67" s="62"/>
      <c r="E67" s="62"/>
      <c r="F67" s="62"/>
      <c r="G67" s="62"/>
      <c r="L67" s="62"/>
    </row>
    <row r="68" spans="1:12" s="63" customFormat="1" ht="14.5" x14ac:dyDescent="0.35">
      <c r="A68" s="86"/>
      <c r="B68" s="62"/>
      <c r="C68" s="62"/>
      <c r="D68" s="62"/>
      <c r="E68" s="62"/>
      <c r="F68" s="62"/>
      <c r="G68" s="62"/>
      <c r="L68" s="62"/>
    </row>
    <row r="75" spans="1:12" x14ac:dyDescent="0.3">
      <c r="J75" s="62" t="s">
        <v>70</v>
      </c>
      <c r="K75" s="63"/>
    </row>
    <row r="76" spans="1:12" x14ac:dyDescent="0.3">
      <c r="J76" s="62" t="s">
        <v>71</v>
      </c>
    </row>
    <row r="77" spans="1:12" x14ac:dyDescent="0.3">
      <c r="J77" s="62" t="s">
        <v>72</v>
      </c>
    </row>
    <row r="78" spans="1:12" x14ac:dyDescent="0.3">
      <c r="J78" s="62" t="s">
        <v>73</v>
      </c>
    </row>
    <row r="79" spans="1:12" x14ac:dyDescent="0.3">
      <c r="J79" s="62" t="s">
        <v>74</v>
      </c>
    </row>
    <row r="80" spans="1:12" x14ac:dyDescent="0.3">
      <c r="J80" s="62" t="s">
        <v>75</v>
      </c>
    </row>
    <row r="81" spans="10:10" x14ac:dyDescent="0.3">
      <c r="J81" s="62" t="s">
        <v>76</v>
      </c>
    </row>
  </sheetData>
  <mergeCells count="9">
    <mergeCell ref="A65:G65"/>
    <mergeCell ref="D6:E6"/>
    <mergeCell ref="G6:G7"/>
    <mergeCell ref="B6:B7"/>
    <mergeCell ref="A1:G1"/>
    <mergeCell ref="A4:G4"/>
    <mergeCell ref="A57:G57"/>
    <mergeCell ref="A58:G58"/>
    <mergeCell ref="A60:G60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rgb="FF00B0F0"/>
  </sheetPr>
  <dimension ref="A1:AK81"/>
  <sheetViews>
    <sheetView workbookViewId="0">
      <selection activeCell="A4" sqref="A2:J4"/>
    </sheetView>
  </sheetViews>
  <sheetFormatPr defaultColWidth="9.26953125" defaultRowHeight="13" x14ac:dyDescent="0.3"/>
  <cols>
    <col min="1" max="1" width="50.7265625" style="62" customWidth="1"/>
    <col min="2" max="3" width="12.7265625" style="62" customWidth="1"/>
    <col min="4" max="4" width="3.7265625" style="62" customWidth="1"/>
    <col min="5" max="6" width="12.7265625" style="62" customWidth="1"/>
    <col min="7" max="7" width="3.7265625" style="62" customWidth="1"/>
    <col min="8" max="9" width="12.7265625" style="62" customWidth="1"/>
    <col min="10" max="10" width="3.7265625" style="62" customWidth="1"/>
    <col min="11" max="12" width="12.7265625" style="62" customWidth="1"/>
    <col min="13" max="13" width="9.26953125" style="62" customWidth="1"/>
    <col min="14" max="14" width="0" style="62" hidden="1" customWidth="1"/>
    <col min="15" max="15" width="7.453125" style="62" bestFit="1" customWidth="1"/>
    <col min="16" max="16" width="9.26953125" style="62" customWidth="1"/>
    <col min="17" max="17" width="10" style="62" bestFit="1" customWidth="1"/>
    <col min="18" max="18" width="11.7265625" style="62" customWidth="1"/>
    <col min="19" max="23" width="9.26953125" style="62"/>
    <col min="24" max="24" width="11" style="62" customWidth="1"/>
    <col min="25" max="16384" width="9.26953125" style="62"/>
  </cols>
  <sheetData>
    <row r="1" spans="1:37" s="61" customFormat="1" ht="37.5" customHeight="1" x14ac:dyDescent="0.5">
      <c r="A1" s="325"/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59"/>
      <c r="N1" s="59"/>
      <c r="O1" s="60"/>
      <c r="P1" s="60"/>
    </row>
    <row r="2" spans="1:37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37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2"/>
      <c r="M3" s="62"/>
      <c r="N3" s="62"/>
      <c r="O3" s="62"/>
      <c r="P3" s="62"/>
    </row>
    <row r="4" spans="1:37" s="63" customFormat="1" ht="15" customHeight="1" x14ac:dyDescent="0.3">
      <c r="A4" s="326" t="str">
        <f>FIRE0508b!A4</f>
        <v>2018-19</v>
      </c>
      <c r="B4" s="326"/>
      <c r="C4" s="326"/>
      <c r="D4" s="326"/>
      <c r="E4" s="326"/>
      <c r="F4" s="326"/>
      <c r="G4" s="326"/>
      <c r="H4" s="326"/>
      <c r="I4" s="326"/>
      <c r="J4" s="66"/>
      <c r="K4" s="88"/>
      <c r="L4" s="62"/>
      <c r="M4" s="62"/>
      <c r="N4" s="62"/>
      <c r="O4" s="62"/>
      <c r="P4" s="62"/>
      <c r="Q4" s="62"/>
    </row>
    <row r="5" spans="1:37" s="63" customFormat="1" ht="13.5" thickBot="1" x14ac:dyDescent="0.35">
      <c r="A5" s="62"/>
      <c r="B5" s="328"/>
      <c r="C5" s="328"/>
      <c r="D5" s="328"/>
      <c r="E5" s="328"/>
      <c r="F5" s="328"/>
      <c r="G5" s="328"/>
      <c r="H5" s="328"/>
      <c r="I5" s="328"/>
      <c r="J5" s="67"/>
      <c r="K5" s="67"/>
      <c r="L5" s="67"/>
      <c r="M5" s="62"/>
      <c r="N5" s="62"/>
      <c r="O5" s="68"/>
      <c r="P5" s="68"/>
      <c r="R5" s="68"/>
      <c r="S5" s="68"/>
      <c r="U5" s="68"/>
      <c r="V5" s="68"/>
      <c r="W5" s="68"/>
      <c r="X5" s="68"/>
      <c r="Y5" s="68"/>
      <c r="AB5" s="69"/>
    </row>
    <row r="6" spans="1:37" s="63" customFormat="1" ht="15" thickBot="1" x14ac:dyDescent="0.4">
      <c r="A6" s="95"/>
      <c r="B6" s="331" t="s">
        <v>1</v>
      </c>
      <c r="C6" s="331"/>
      <c r="D6" s="115"/>
      <c r="E6" s="330" t="s">
        <v>77</v>
      </c>
      <c r="F6" s="330"/>
      <c r="G6" s="330"/>
      <c r="H6" s="330"/>
      <c r="I6" s="330"/>
      <c r="J6" s="115"/>
      <c r="K6" s="331" t="s">
        <v>5</v>
      </c>
      <c r="L6" s="331"/>
      <c r="M6" s="62"/>
      <c r="N6" s="62"/>
      <c r="O6" s="68"/>
      <c r="P6" s="68"/>
      <c r="R6" s="68"/>
      <c r="S6" s="68"/>
      <c r="U6" s="68"/>
      <c r="V6" s="68"/>
      <c r="W6" s="68"/>
      <c r="X6" s="68"/>
      <c r="Y6" s="68"/>
      <c r="AB6" s="69"/>
    </row>
    <row r="7" spans="1:37" s="61" customFormat="1" ht="30" customHeight="1" thickBot="1" x14ac:dyDescent="0.4">
      <c r="A7" s="112"/>
      <c r="B7" s="332"/>
      <c r="C7" s="332"/>
      <c r="D7" s="116"/>
      <c r="E7" s="329" t="s">
        <v>3</v>
      </c>
      <c r="F7" s="329"/>
      <c r="G7" s="117"/>
      <c r="H7" s="329" t="s">
        <v>78</v>
      </c>
      <c r="I7" s="329"/>
      <c r="J7" s="116"/>
      <c r="K7" s="332"/>
      <c r="L7" s="332"/>
      <c r="M7" s="60"/>
      <c r="N7" s="60"/>
      <c r="O7" s="114"/>
      <c r="P7" s="114"/>
      <c r="R7" s="114"/>
      <c r="S7" s="114"/>
      <c r="U7" s="114"/>
      <c r="V7" s="114"/>
      <c r="W7" s="114"/>
      <c r="X7" s="114"/>
      <c r="Y7" s="114"/>
    </row>
    <row r="8" spans="1:37" s="72" customFormat="1" ht="44" thickBot="1" x14ac:dyDescent="0.35">
      <c r="A8" s="98" t="s">
        <v>67</v>
      </c>
      <c r="B8" s="100" t="s">
        <v>59</v>
      </c>
      <c r="C8" s="100" t="s">
        <v>87</v>
      </c>
      <c r="D8" s="99"/>
      <c r="E8" s="100" t="s">
        <v>59</v>
      </c>
      <c r="F8" s="100" t="s">
        <v>87</v>
      </c>
      <c r="G8" s="99"/>
      <c r="H8" s="100" t="s">
        <v>59</v>
      </c>
      <c r="I8" s="100" t="s">
        <v>87</v>
      </c>
      <c r="J8" s="99"/>
      <c r="K8" s="100" t="s">
        <v>59</v>
      </c>
      <c r="L8" s="100" t="s">
        <v>87</v>
      </c>
      <c r="Q8" s="62"/>
    </row>
    <row r="9" spans="1:37" s="63" customFormat="1" ht="15" customHeight="1" x14ac:dyDescent="0.35">
      <c r="A9" s="77" t="s">
        <v>6</v>
      </c>
      <c r="B9" s="90">
        <f ca="1">INDIRECT("'("&amp;$A$4&amp;"b)'!C5")</f>
        <v>806</v>
      </c>
      <c r="C9" s="90">
        <f ca="1">INDIRECT("'("&amp;$A$4&amp;"b)'!d5")</f>
        <v>323</v>
      </c>
      <c r="D9" s="90"/>
      <c r="E9" s="90">
        <f ca="1">INDIRECT("'("&amp;$A$4&amp;"b)'!e5")</f>
        <v>123</v>
      </c>
      <c r="F9" s="90">
        <f ca="1">INDIRECT("'("&amp;$A$4&amp;"b)'!f5")</f>
        <v>41</v>
      </c>
      <c r="G9" s="90"/>
      <c r="H9" s="90">
        <f ca="1">INDIRECT("'("&amp;$A$4&amp;"b)'!g5")</f>
        <v>21</v>
      </c>
      <c r="I9" s="90">
        <f ca="1">INDIRECT("'("&amp;$A$4&amp;"b)'!h5")</f>
        <v>7</v>
      </c>
      <c r="J9" s="90"/>
      <c r="K9" s="90">
        <f ca="1">INDIRECT("'("&amp;$A$4&amp;"b)'!i5")</f>
        <v>0</v>
      </c>
      <c r="L9" s="73">
        <f ca="1">INDIRECT("'("&amp;$A$4&amp;"b)'!j5")</f>
        <v>0</v>
      </c>
      <c r="M9" s="62"/>
      <c r="O9" s="74"/>
      <c r="P9" s="74"/>
      <c r="R9" s="74"/>
      <c r="S9" s="74"/>
      <c r="U9" s="76"/>
      <c r="V9" s="76"/>
      <c r="W9" s="76"/>
      <c r="X9" s="76"/>
      <c r="Y9" s="76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</row>
    <row r="10" spans="1:37" s="63" customFormat="1" ht="15" customHeight="1" x14ac:dyDescent="0.35">
      <c r="A10" s="89" t="s">
        <v>7</v>
      </c>
      <c r="B10" s="90">
        <f ca="1">INDIRECT("'("&amp;$A$4&amp;"b)'!C6")</f>
        <v>504</v>
      </c>
      <c r="C10" s="90">
        <f ca="1">INDIRECT("'("&amp;$A$4&amp;"b)'!d6")</f>
        <v>227</v>
      </c>
      <c r="D10" s="90"/>
      <c r="E10" s="90">
        <f ca="1">INDIRECT("'("&amp;$A$4&amp;"b)'!e6")</f>
        <v>67</v>
      </c>
      <c r="F10" s="90">
        <f ca="1">INDIRECT("'("&amp;$A$4&amp;"b)'!f6")</f>
        <v>30</v>
      </c>
      <c r="G10" s="90"/>
      <c r="H10" s="90">
        <f ca="1">INDIRECT("'("&amp;$A$4&amp;"b)'!g6")</f>
        <v>15</v>
      </c>
      <c r="I10" s="90">
        <f ca="1">INDIRECT("'("&amp;$A$4&amp;"b)'!h6")</f>
        <v>6</v>
      </c>
      <c r="J10" s="90"/>
      <c r="K10" s="90">
        <f ca="1">INDIRECT("'("&amp;$A$4&amp;"b)'!i6")</f>
        <v>0</v>
      </c>
      <c r="L10" s="73">
        <f ca="1">INDIRECT("'("&amp;$A$4&amp;"b)'!j6")</f>
        <v>0</v>
      </c>
      <c r="M10" s="62"/>
      <c r="O10" s="74"/>
      <c r="P10" s="74"/>
      <c r="R10" s="74"/>
      <c r="S10" s="74"/>
      <c r="U10" s="76"/>
      <c r="V10" s="76"/>
      <c r="W10" s="76"/>
      <c r="X10" s="76"/>
      <c r="Y10" s="76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</row>
    <row r="11" spans="1:37" s="63" customFormat="1" ht="15" customHeight="1" x14ac:dyDescent="0.35">
      <c r="A11" s="62" t="s">
        <v>8</v>
      </c>
      <c r="B11" s="78">
        <f ca="1">INDIRECT("'("&amp;$A$4&amp;"b)'!C7")</f>
        <v>9</v>
      </c>
      <c r="C11" s="78">
        <f ca="1">INDIRECT("'("&amp;$A$4&amp;"b)'!d7")</f>
        <v>3</v>
      </c>
      <c r="D11" s="78"/>
      <c r="E11" s="78">
        <f ca="1">INDIRECT("'("&amp;$A$4&amp;"b)'!e7")</f>
        <v>1</v>
      </c>
      <c r="F11" s="78">
        <f ca="1">INDIRECT("'("&amp;$A$4&amp;"b)'!f7")</f>
        <v>0</v>
      </c>
      <c r="G11" s="78"/>
      <c r="H11" s="78">
        <f ca="1">INDIRECT("'("&amp;$A$4&amp;"b)'!g7")</f>
        <v>0</v>
      </c>
      <c r="I11" s="78">
        <f ca="1">INDIRECT("'("&amp;$A$4&amp;"b)'!h7")</f>
        <v>0</v>
      </c>
      <c r="J11" s="78"/>
      <c r="K11" s="78">
        <f ca="1">INDIRECT("'("&amp;$A$4&amp;"b)'!i7")</f>
        <v>0</v>
      </c>
      <c r="L11" s="73">
        <f ca="1">INDIRECT("'("&amp;$A$4&amp;"b)'!j7")</f>
        <v>0</v>
      </c>
      <c r="M11" s="62"/>
      <c r="O11" s="74"/>
      <c r="P11" s="74"/>
      <c r="R11" s="74"/>
      <c r="S11" s="74"/>
      <c r="U11" s="76"/>
      <c r="V11" s="76"/>
      <c r="W11" s="76"/>
      <c r="X11" s="76"/>
      <c r="Y11" s="76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</row>
    <row r="12" spans="1:37" s="63" customFormat="1" ht="15" customHeight="1" x14ac:dyDescent="0.35">
      <c r="A12" s="62" t="s">
        <v>9</v>
      </c>
      <c r="B12" s="78">
        <f ca="1">INDIRECT("'("&amp;$A$4&amp;"b)'!C8")</f>
        <v>9</v>
      </c>
      <c r="C12" s="78">
        <f ca="1">INDIRECT("'("&amp;$A$4&amp;"b)'!d8")</f>
        <v>7</v>
      </c>
      <c r="D12" s="78"/>
      <c r="E12" s="78">
        <f ca="1">INDIRECT("'("&amp;$A$4&amp;"b)'!e8")</f>
        <v>1</v>
      </c>
      <c r="F12" s="78">
        <f ca="1">INDIRECT("'("&amp;$A$4&amp;"b)'!f8")</f>
        <v>0</v>
      </c>
      <c r="G12" s="78"/>
      <c r="H12" s="78">
        <f ca="1">INDIRECT("'("&amp;$A$4&amp;"b)'!g8")</f>
        <v>0</v>
      </c>
      <c r="I12" s="78">
        <f ca="1">INDIRECT("'("&amp;$A$4&amp;"b)'!h8")</f>
        <v>0</v>
      </c>
      <c r="J12" s="78"/>
      <c r="K12" s="78">
        <f ca="1">INDIRECT("'("&amp;$A$4&amp;"b)'!i8")</f>
        <v>0</v>
      </c>
      <c r="L12" s="73">
        <f ca="1">INDIRECT("'("&amp;$A$4&amp;"b)'!j8")</f>
        <v>0</v>
      </c>
      <c r="M12" s="62"/>
      <c r="O12" s="74"/>
      <c r="P12" s="74"/>
      <c r="R12" s="74"/>
      <c r="S12" s="74"/>
      <c r="U12" s="76"/>
      <c r="V12" s="76"/>
      <c r="W12" s="76"/>
      <c r="X12" s="76"/>
      <c r="Y12" s="76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</row>
    <row r="13" spans="1:37" s="63" customFormat="1" ht="15" customHeight="1" x14ac:dyDescent="0.35">
      <c r="A13" s="62" t="s">
        <v>10</v>
      </c>
      <c r="B13" s="78">
        <f ca="1">INDIRECT("'("&amp;$A$4&amp;"b)'!C9")</f>
        <v>24</v>
      </c>
      <c r="C13" s="78">
        <f ca="1">INDIRECT("'("&amp;$A$4&amp;"b)'!d9")</f>
        <v>2</v>
      </c>
      <c r="D13" s="78"/>
      <c r="E13" s="78">
        <f ca="1">INDIRECT("'("&amp;$A$4&amp;"b)'!e9")</f>
        <v>4</v>
      </c>
      <c r="F13" s="78">
        <f ca="1">INDIRECT("'("&amp;$A$4&amp;"b)'!f9")</f>
        <v>0</v>
      </c>
      <c r="G13" s="78"/>
      <c r="H13" s="78">
        <f ca="1">INDIRECT("'("&amp;$A$4&amp;"b)'!g9")</f>
        <v>0</v>
      </c>
      <c r="I13" s="78">
        <f ca="1">INDIRECT("'("&amp;$A$4&amp;"b)'!h9")</f>
        <v>0</v>
      </c>
      <c r="J13" s="78"/>
      <c r="K13" s="78">
        <f ca="1">INDIRECT("'("&amp;$A$4&amp;"b)'!i9")</f>
        <v>0</v>
      </c>
      <c r="L13" s="73">
        <f ca="1">INDIRECT("'("&amp;$A$4&amp;"b)'!j9")</f>
        <v>0</v>
      </c>
      <c r="M13" s="62"/>
      <c r="O13" s="74"/>
      <c r="P13" s="74"/>
      <c r="R13" s="74"/>
      <c r="S13" s="74"/>
      <c r="U13" s="76"/>
      <c r="V13" s="76"/>
      <c r="W13" s="76"/>
      <c r="X13" s="76"/>
      <c r="Y13" s="76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</row>
    <row r="14" spans="1:37" s="63" customFormat="1" ht="15" customHeight="1" x14ac:dyDescent="0.35">
      <c r="A14" s="62" t="s">
        <v>11</v>
      </c>
      <c r="B14" s="78">
        <f ca="1">INDIRECT("'("&amp;$A$4&amp;"b)'!C10")</f>
        <v>6</v>
      </c>
      <c r="C14" s="78">
        <f ca="1">INDIRECT("'("&amp;$A$4&amp;"b)'!d10")</f>
        <v>1</v>
      </c>
      <c r="D14" s="78"/>
      <c r="E14" s="78">
        <f ca="1">INDIRECT("'("&amp;$A$4&amp;"b)'!e10")</f>
        <v>0</v>
      </c>
      <c r="F14" s="78">
        <f ca="1">INDIRECT("'("&amp;$A$4&amp;"b)'!f10")</f>
        <v>0</v>
      </c>
      <c r="G14" s="78"/>
      <c r="H14" s="78">
        <f ca="1">INDIRECT("'("&amp;$A$4&amp;"b)'!g10")</f>
        <v>0</v>
      </c>
      <c r="I14" s="78">
        <f ca="1">INDIRECT("'("&amp;$A$4&amp;"b)'!h10")</f>
        <v>0</v>
      </c>
      <c r="J14" s="78"/>
      <c r="K14" s="78">
        <f ca="1">INDIRECT("'("&amp;$A$4&amp;"b)'!i10")</f>
        <v>0</v>
      </c>
      <c r="L14" s="73">
        <f ca="1">INDIRECT("'("&amp;$A$4&amp;"b)'!j10")</f>
        <v>0</v>
      </c>
      <c r="M14" s="62"/>
      <c r="O14" s="74"/>
      <c r="P14" s="74"/>
      <c r="R14" s="74"/>
      <c r="S14" s="74"/>
      <c r="U14" s="76"/>
      <c r="V14" s="76"/>
      <c r="W14" s="76"/>
      <c r="X14" s="76"/>
      <c r="Y14" s="76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</row>
    <row r="15" spans="1:37" s="63" customFormat="1" ht="15" customHeight="1" x14ac:dyDescent="0.35">
      <c r="A15" s="62" t="s">
        <v>12</v>
      </c>
      <c r="B15" s="78">
        <f ca="1">INDIRECT("'("&amp;$A$4&amp;"b)'!C11")</f>
        <v>73</v>
      </c>
      <c r="C15" s="78">
        <f ca="1">INDIRECT("'("&amp;$A$4&amp;"b)'!d11")</f>
        <v>15</v>
      </c>
      <c r="D15" s="78"/>
      <c r="E15" s="78">
        <f ca="1">INDIRECT("'("&amp;$A$4&amp;"b)'!e11")</f>
        <v>1</v>
      </c>
      <c r="F15" s="78">
        <f ca="1">INDIRECT("'("&amp;$A$4&amp;"b)'!f11")</f>
        <v>2</v>
      </c>
      <c r="G15" s="78"/>
      <c r="H15" s="78">
        <f ca="1">INDIRECT("'("&amp;$A$4&amp;"b)'!g11")</f>
        <v>2</v>
      </c>
      <c r="I15" s="78">
        <f ca="1">INDIRECT("'("&amp;$A$4&amp;"b)'!h11")</f>
        <v>0</v>
      </c>
      <c r="J15" s="78"/>
      <c r="K15" s="78">
        <f ca="1">INDIRECT("'("&amp;$A$4&amp;"b)'!i11")</f>
        <v>0</v>
      </c>
      <c r="L15" s="73">
        <f ca="1">INDIRECT("'("&amp;$A$4&amp;"b)'!j11")</f>
        <v>0</v>
      </c>
      <c r="M15" s="62"/>
      <c r="O15" s="74"/>
      <c r="P15" s="74"/>
      <c r="R15" s="74"/>
      <c r="S15" s="74"/>
      <c r="U15" s="76"/>
      <c r="V15" s="76"/>
      <c r="W15" s="76"/>
      <c r="X15" s="76"/>
      <c r="Y15" s="76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</row>
    <row r="16" spans="1:37" s="63" customFormat="1" ht="15" customHeight="1" x14ac:dyDescent="0.35">
      <c r="A16" s="62" t="s">
        <v>13</v>
      </c>
      <c r="B16" s="78">
        <f ca="1">INDIRECT("'("&amp;$A$4&amp;"b)'!C12")</f>
        <v>9</v>
      </c>
      <c r="C16" s="78">
        <f ca="1">INDIRECT("'("&amp;$A$4&amp;"b)'!d12")</f>
        <v>3</v>
      </c>
      <c r="D16" s="78"/>
      <c r="E16" s="78">
        <f ca="1">INDIRECT("'("&amp;$A$4&amp;"b)'!e12")</f>
        <v>0</v>
      </c>
      <c r="F16" s="78">
        <f ca="1">INDIRECT("'("&amp;$A$4&amp;"b)'!f12")</f>
        <v>0</v>
      </c>
      <c r="G16" s="78"/>
      <c r="H16" s="78">
        <f ca="1">INDIRECT("'("&amp;$A$4&amp;"b)'!g12")</f>
        <v>1</v>
      </c>
      <c r="I16" s="78">
        <f ca="1">INDIRECT("'("&amp;$A$4&amp;"b)'!h12")</f>
        <v>1</v>
      </c>
      <c r="J16" s="78"/>
      <c r="K16" s="78">
        <f ca="1">INDIRECT("'("&amp;$A$4&amp;"b)'!i12")</f>
        <v>0</v>
      </c>
      <c r="L16" s="73">
        <f ca="1">INDIRECT("'("&amp;$A$4&amp;"b)'!j12")</f>
        <v>0</v>
      </c>
      <c r="M16" s="62"/>
      <c r="O16" s="74"/>
      <c r="P16" s="74"/>
      <c r="R16" s="74"/>
      <c r="S16" s="74"/>
      <c r="U16" s="76"/>
      <c r="V16" s="76"/>
      <c r="W16" s="76"/>
      <c r="X16" s="76"/>
      <c r="Y16" s="76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</row>
    <row r="17" spans="1:37" s="63" customFormat="1" ht="15" customHeight="1" x14ac:dyDescent="0.35">
      <c r="A17" s="62" t="s">
        <v>14</v>
      </c>
      <c r="B17" s="78">
        <f ca="1">INDIRECT("'("&amp;$A$4&amp;"b)'!C13")</f>
        <v>3</v>
      </c>
      <c r="C17" s="78">
        <f ca="1">INDIRECT("'("&amp;$A$4&amp;"b)'!d13")</f>
        <v>1</v>
      </c>
      <c r="D17" s="78"/>
      <c r="E17" s="78">
        <f ca="1">INDIRECT("'("&amp;$A$4&amp;"b)'!e13")</f>
        <v>2</v>
      </c>
      <c r="F17" s="78">
        <f ca="1">INDIRECT("'("&amp;$A$4&amp;"b)'!f13")</f>
        <v>0</v>
      </c>
      <c r="G17" s="78"/>
      <c r="H17" s="78">
        <f ca="1">INDIRECT("'("&amp;$A$4&amp;"b)'!g13")</f>
        <v>2</v>
      </c>
      <c r="I17" s="78">
        <f ca="1">INDIRECT("'("&amp;$A$4&amp;"b)'!h13")</f>
        <v>0</v>
      </c>
      <c r="J17" s="78"/>
      <c r="K17" s="78">
        <f ca="1">INDIRECT("'("&amp;$A$4&amp;"b)'!i13")</f>
        <v>0</v>
      </c>
      <c r="L17" s="73">
        <f ca="1">INDIRECT("'("&amp;$A$4&amp;"b)'!j13")</f>
        <v>0</v>
      </c>
      <c r="M17" s="62"/>
      <c r="O17" s="74"/>
      <c r="P17" s="74"/>
      <c r="R17" s="74"/>
      <c r="S17" s="74"/>
      <c r="U17" s="76"/>
      <c r="V17" s="76"/>
      <c r="W17" s="76"/>
      <c r="X17" s="76"/>
      <c r="Y17" s="76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</row>
    <row r="18" spans="1:37" s="63" customFormat="1" ht="15" customHeight="1" x14ac:dyDescent="0.35">
      <c r="A18" s="62" t="s">
        <v>15</v>
      </c>
      <c r="B18" s="78">
        <f ca="1">INDIRECT("'("&amp;$A$4&amp;"b)'!C14")</f>
        <v>1</v>
      </c>
      <c r="C18" s="78">
        <f ca="1">INDIRECT("'("&amp;$A$4&amp;"b)'!d14")</f>
        <v>4</v>
      </c>
      <c r="D18" s="78"/>
      <c r="E18" s="78">
        <f ca="1">INDIRECT("'("&amp;$A$4&amp;"b)'!e14")</f>
        <v>0</v>
      </c>
      <c r="F18" s="78">
        <f ca="1">INDIRECT("'("&amp;$A$4&amp;"b)'!f14")</f>
        <v>1</v>
      </c>
      <c r="G18" s="78"/>
      <c r="H18" s="78">
        <f ca="1">INDIRECT("'("&amp;$A$4&amp;"b)'!g14")</f>
        <v>0</v>
      </c>
      <c r="I18" s="78">
        <f ca="1">INDIRECT("'("&amp;$A$4&amp;"b)'!h14")</f>
        <v>1</v>
      </c>
      <c r="J18" s="78"/>
      <c r="K18" s="78">
        <f ca="1">INDIRECT("'("&amp;$A$4&amp;"b)'!i14")</f>
        <v>0</v>
      </c>
      <c r="L18" s="73">
        <f ca="1">INDIRECT("'("&amp;$A$4&amp;"b)'!j14")</f>
        <v>0</v>
      </c>
      <c r="M18" s="62"/>
      <c r="O18" s="74"/>
      <c r="P18" s="74"/>
      <c r="R18" s="74"/>
      <c r="S18" s="74"/>
      <c r="U18" s="76"/>
      <c r="V18" s="76"/>
      <c r="W18" s="76"/>
      <c r="X18" s="76"/>
      <c r="Y18" s="76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</row>
    <row r="19" spans="1:37" s="63" customFormat="1" ht="15" customHeight="1" x14ac:dyDescent="0.35">
      <c r="A19" s="79" t="s">
        <v>16</v>
      </c>
      <c r="B19" s="78">
        <f ca="1">INDIRECT("'("&amp;$A$4&amp;"b)'!C15")</f>
        <v>6</v>
      </c>
      <c r="C19" s="78">
        <f ca="1">INDIRECT("'("&amp;$A$4&amp;"b)'!d15")</f>
        <v>5</v>
      </c>
      <c r="D19" s="78"/>
      <c r="E19" s="78">
        <f ca="1">INDIRECT("'("&amp;$A$4&amp;"b)'!e15")</f>
        <v>2</v>
      </c>
      <c r="F19" s="78">
        <f ca="1">INDIRECT("'("&amp;$A$4&amp;"b)'!f15")</f>
        <v>0</v>
      </c>
      <c r="G19" s="78"/>
      <c r="H19" s="78">
        <f ca="1">INDIRECT("'("&amp;$A$4&amp;"b)'!g15")</f>
        <v>0</v>
      </c>
      <c r="I19" s="78">
        <f ca="1">INDIRECT("'("&amp;$A$4&amp;"b)'!h15")</f>
        <v>0</v>
      </c>
      <c r="J19" s="78"/>
      <c r="K19" s="78">
        <f ca="1">INDIRECT("'("&amp;$A$4&amp;"b)'!i15")</f>
        <v>0</v>
      </c>
      <c r="L19" s="73">
        <f ca="1">INDIRECT("'("&amp;$A$4&amp;"b)'!j15")</f>
        <v>0</v>
      </c>
      <c r="M19" s="62"/>
      <c r="O19" s="74"/>
      <c r="P19" s="74"/>
      <c r="R19" s="74"/>
      <c r="S19" s="74"/>
      <c r="U19" s="76"/>
      <c r="V19" s="76"/>
      <c r="W19" s="76"/>
      <c r="X19" s="76"/>
      <c r="Y19" s="76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</row>
    <row r="20" spans="1:37" s="63" customFormat="1" ht="15" customHeight="1" x14ac:dyDescent="0.35">
      <c r="A20" s="79" t="s">
        <v>17</v>
      </c>
      <c r="B20" s="78">
        <f ca="1">INDIRECT("'("&amp;$A$4&amp;"b)'!C16")</f>
        <v>6</v>
      </c>
      <c r="C20" s="78">
        <f ca="1">INDIRECT("'("&amp;$A$4&amp;"b)'!d16")</f>
        <v>1</v>
      </c>
      <c r="D20" s="78"/>
      <c r="E20" s="78">
        <f ca="1">INDIRECT("'("&amp;$A$4&amp;"b)'!e16")</f>
        <v>2</v>
      </c>
      <c r="F20" s="78">
        <f ca="1">INDIRECT("'("&amp;$A$4&amp;"b)'!f16")</f>
        <v>0</v>
      </c>
      <c r="G20" s="78"/>
      <c r="H20" s="78">
        <f ca="1">INDIRECT("'("&amp;$A$4&amp;"b)'!g16")</f>
        <v>2</v>
      </c>
      <c r="I20" s="78">
        <f ca="1">INDIRECT("'("&amp;$A$4&amp;"b)'!h16")</f>
        <v>0</v>
      </c>
      <c r="J20" s="78"/>
      <c r="K20" s="78">
        <f ca="1">INDIRECT("'("&amp;$A$4&amp;"b)'!i16")</f>
        <v>0</v>
      </c>
      <c r="L20" s="73">
        <f ca="1">INDIRECT("'("&amp;$A$4&amp;"b)'!j16")</f>
        <v>0</v>
      </c>
      <c r="M20" s="62"/>
      <c r="O20" s="74"/>
      <c r="P20" s="74"/>
      <c r="R20" s="74"/>
      <c r="S20" s="74"/>
      <c r="U20" s="76"/>
      <c r="V20" s="76"/>
      <c r="W20" s="76"/>
      <c r="X20" s="76"/>
      <c r="Y20" s="76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</row>
    <row r="21" spans="1:37" s="63" customFormat="1" ht="15" customHeight="1" x14ac:dyDescent="0.35">
      <c r="A21" s="62" t="s">
        <v>18</v>
      </c>
      <c r="B21" s="78">
        <f ca="1">INDIRECT("'("&amp;$A$4&amp;"b)'!C17")</f>
        <v>12</v>
      </c>
      <c r="C21" s="78">
        <f ca="1">INDIRECT("'("&amp;$A$4&amp;"b)'!d17")</f>
        <v>6</v>
      </c>
      <c r="D21" s="78"/>
      <c r="E21" s="78">
        <f ca="1">INDIRECT("'("&amp;$A$4&amp;"b)'!e17")</f>
        <v>4</v>
      </c>
      <c r="F21" s="78">
        <f ca="1">INDIRECT("'("&amp;$A$4&amp;"b)'!f17")</f>
        <v>1</v>
      </c>
      <c r="G21" s="78"/>
      <c r="H21" s="78">
        <f ca="1">INDIRECT("'("&amp;$A$4&amp;"b)'!g17")</f>
        <v>0</v>
      </c>
      <c r="I21" s="78">
        <f ca="1">INDIRECT("'("&amp;$A$4&amp;"b)'!h17")</f>
        <v>0</v>
      </c>
      <c r="J21" s="78"/>
      <c r="K21" s="78">
        <f ca="1">INDIRECT("'("&amp;$A$4&amp;"b)'!i17")</f>
        <v>0</v>
      </c>
      <c r="L21" s="73">
        <f ca="1">INDIRECT("'("&amp;$A$4&amp;"b)'!j17")</f>
        <v>0</v>
      </c>
      <c r="M21" s="62"/>
      <c r="O21" s="74"/>
      <c r="P21" s="74"/>
      <c r="R21" s="74"/>
      <c r="S21" s="74"/>
      <c r="U21" s="76"/>
      <c r="V21" s="76"/>
      <c r="W21" s="76"/>
      <c r="X21" s="76"/>
      <c r="Y21" s="76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</row>
    <row r="22" spans="1:37" s="63" customFormat="1" ht="15" customHeight="1" x14ac:dyDescent="0.35">
      <c r="A22" s="62" t="s">
        <v>122</v>
      </c>
      <c r="B22" s="78">
        <f ca="1">INDIRECT("'("&amp;$A$4&amp;"b)'!C18")</f>
        <v>26</v>
      </c>
      <c r="C22" s="78">
        <f ca="1">INDIRECT("'("&amp;$A$4&amp;"b)'!d18")</f>
        <v>9</v>
      </c>
      <c r="D22" s="78"/>
      <c r="E22" s="78">
        <f ca="1">INDIRECT("'("&amp;$A$4&amp;"b)'!e18")</f>
        <v>4</v>
      </c>
      <c r="F22" s="78">
        <f ca="1">INDIRECT("'("&amp;$A$4&amp;"b)'!f18")</f>
        <v>1</v>
      </c>
      <c r="G22" s="78"/>
      <c r="H22" s="78">
        <f ca="1">INDIRECT("'("&amp;$A$4&amp;"b)'!g18")</f>
        <v>0</v>
      </c>
      <c r="I22" s="78">
        <f ca="1">INDIRECT("'("&amp;$A$4&amp;"b)'!h18")</f>
        <v>0</v>
      </c>
      <c r="J22" s="78"/>
      <c r="K22" s="78">
        <f ca="1">INDIRECT("'("&amp;$A$4&amp;"b)'!i18")</f>
        <v>0</v>
      </c>
      <c r="L22" s="73">
        <f ca="1">INDIRECT("'("&amp;$A$4&amp;"b)'!j18")</f>
        <v>0</v>
      </c>
      <c r="M22" s="62"/>
      <c r="O22" s="74"/>
      <c r="P22" s="74"/>
      <c r="R22" s="74"/>
      <c r="S22" s="74"/>
      <c r="U22" s="76"/>
      <c r="V22" s="76"/>
      <c r="W22" s="76"/>
      <c r="X22" s="76"/>
      <c r="Y22" s="76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</row>
    <row r="23" spans="1:37" s="63" customFormat="1" ht="15" customHeight="1" x14ac:dyDescent="0.35">
      <c r="A23" s="62" t="s">
        <v>20</v>
      </c>
      <c r="B23" s="78">
        <f ca="1">INDIRECT("'("&amp;$A$4&amp;"b)'!C19")</f>
        <v>7</v>
      </c>
      <c r="C23" s="78">
        <f ca="1">INDIRECT("'("&amp;$A$4&amp;"b)'!d19")</f>
        <v>2</v>
      </c>
      <c r="D23" s="78"/>
      <c r="E23" s="78">
        <f ca="1">INDIRECT("'("&amp;$A$4&amp;"b)'!e19")</f>
        <v>1</v>
      </c>
      <c r="F23" s="78">
        <f ca="1">INDIRECT("'("&amp;$A$4&amp;"b)'!f19")</f>
        <v>0</v>
      </c>
      <c r="G23" s="78"/>
      <c r="H23" s="78">
        <f ca="1">INDIRECT("'("&amp;$A$4&amp;"b)'!g19")</f>
        <v>0</v>
      </c>
      <c r="I23" s="78">
        <f ca="1">INDIRECT("'("&amp;$A$4&amp;"b)'!h19")</f>
        <v>0</v>
      </c>
      <c r="J23" s="78"/>
      <c r="K23" s="78">
        <f ca="1">INDIRECT("'("&amp;$A$4&amp;"b)'!i19")</f>
        <v>0</v>
      </c>
      <c r="L23" s="73">
        <f ca="1">INDIRECT("'("&amp;$A$4&amp;"b)'!j19")</f>
        <v>0</v>
      </c>
      <c r="M23" s="62"/>
      <c r="O23" s="74"/>
      <c r="P23" s="74"/>
      <c r="R23" s="74"/>
      <c r="S23" s="74"/>
      <c r="U23" s="76"/>
      <c r="V23" s="76"/>
      <c r="W23" s="76"/>
      <c r="X23" s="76"/>
      <c r="Y23" s="76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</row>
    <row r="24" spans="1:37" s="63" customFormat="1" ht="15" customHeight="1" x14ac:dyDescent="0.35">
      <c r="A24" s="62" t="s">
        <v>21</v>
      </c>
      <c r="B24" s="78">
        <f ca="1">INDIRECT("'("&amp;$A$4&amp;"b)'!C20")</f>
        <v>16</v>
      </c>
      <c r="C24" s="78">
        <f ca="1">INDIRECT("'("&amp;$A$4&amp;"b)'!d20")</f>
        <v>19</v>
      </c>
      <c r="D24" s="78"/>
      <c r="E24" s="78">
        <f ca="1">INDIRECT("'("&amp;$A$4&amp;"b)'!e20")</f>
        <v>1</v>
      </c>
      <c r="F24" s="78">
        <f ca="1">INDIRECT("'("&amp;$A$4&amp;"b)'!f20")</f>
        <v>1</v>
      </c>
      <c r="G24" s="78"/>
      <c r="H24" s="78">
        <f ca="1">INDIRECT("'("&amp;$A$4&amp;"b)'!g20")</f>
        <v>0</v>
      </c>
      <c r="I24" s="78">
        <f ca="1">INDIRECT("'("&amp;$A$4&amp;"b)'!h20")</f>
        <v>0</v>
      </c>
      <c r="J24" s="78"/>
      <c r="K24" s="78">
        <f ca="1">INDIRECT("'("&amp;$A$4&amp;"b)'!i20")</f>
        <v>0</v>
      </c>
      <c r="L24" s="73">
        <f ca="1">INDIRECT("'("&amp;$A$4&amp;"b)'!j20")</f>
        <v>0</v>
      </c>
      <c r="M24" s="62"/>
      <c r="O24" s="74"/>
      <c r="P24" s="74"/>
      <c r="R24" s="74"/>
      <c r="S24" s="74"/>
      <c r="U24" s="76"/>
      <c r="V24" s="76"/>
      <c r="W24" s="76"/>
      <c r="X24" s="76"/>
      <c r="Y24" s="76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</row>
    <row r="25" spans="1:37" s="63" customFormat="1" ht="15" customHeight="1" x14ac:dyDescent="0.35">
      <c r="A25" s="62" t="s">
        <v>22</v>
      </c>
      <c r="B25" s="78">
        <f ca="1">INDIRECT("'("&amp;$A$4&amp;"b)'!C21")</f>
        <v>34</v>
      </c>
      <c r="C25" s="78">
        <f ca="1">INDIRECT("'("&amp;$A$4&amp;"b)'!d21")</f>
        <v>8</v>
      </c>
      <c r="D25" s="78"/>
      <c r="E25" s="78">
        <f ca="1">INDIRECT("'("&amp;$A$4&amp;"b)'!e21")</f>
        <v>8</v>
      </c>
      <c r="F25" s="78">
        <f ca="1">INDIRECT("'("&amp;$A$4&amp;"b)'!f21")</f>
        <v>1</v>
      </c>
      <c r="G25" s="78"/>
      <c r="H25" s="78">
        <f ca="1">INDIRECT("'("&amp;$A$4&amp;"b)'!g21")</f>
        <v>2</v>
      </c>
      <c r="I25" s="78">
        <f ca="1">INDIRECT("'("&amp;$A$4&amp;"b)'!h21")</f>
        <v>0</v>
      </c>
      <c r="J25" s="78"/>
      <c r="K25" s="78">
        <f ca="1">INDIRECT("'("&amp;$A$4&amp;"b)'!i21")</f>
        <v>0</v>
      </c>
      <c r="L25" s="73">
        <f ca="1">INDIRECT("'("&amp;$A$4&amp;"b)'!j21")</f>
        <v>0</v>
      </c>
      <c r="M25" s="62"/>
      <c r="O25" s="74"/>
      <c r="P25" s="74"/>
      <c r="R25" s="74"/>
      <c r="S25" s="74"/>
      <c r="U25" s="76"/>
      <c r="V25" s="76"/>
      <c r="W25" s="76"/>
      <c r="X25" s="76"/>
      <c r="Y25" s="76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</row>
    <row r="26" spans="1:37" s="63" customFormat="1" ht="15" customHeight="1" x14ac:dyDescent="0.35">
      <c r="A26" s="62" t="s">
        <v>23</v>
      </c>
      <c r="B26" s="78">
        <f ca="1">INDIRECT("'("&amp;$A$4&amp;"b)'!C22")</f>
        <v>9</v>
      </c>
      <c r="C26" s="78">
        <f ca="1">INDIRECT("'("&amp;$A$4&amp;"b)'!d22")</f>
        <v>6</v>
      </c>
      <c r="D26" s="78"/>
      <c r="E26" s="78">
        <f ca="1">INDIRECT("'("&amp;$A$4&amp;"b)'!e22")</f>
        <v>0</v>
      </c>
      <c r="F26" s="78">
        <f ca="1">INDIRECT("'("&amp;$A$4&amp;"b)'!f22")</f>
        <v>0</v>
      </c>
      <c r="G26" s="78"/>
      <c r="H26" s="78">
        <f ca="1">INDIRECT("'("&amp;$A$4&amp;"b)'!g22")</f>
        <v>1</v>
      </c>
      <c r="I26" s="78">
        <f ca="1">INDIRECT("'("&amp;$A$4&amp;"b)'!h22")</f>
        <v>0</v>
      </c>
      <c r="J26" s="78"/>
      <c r="K26" s="78">
        <f ca="1">INDIRECT("'("&amp;$A$4&amp;"b)'!i22")</f>
        <v>0</v>
      </c>
      <c r="L26" s="73">
        <f ca="1">INDIRECT("'("&amp;$A$4&amp;"b)'!j22")</f>
        <v>0</v>
      </c>
      <c r="M26" s="62"/>
      <c r="O26" s="74"/>
      <c r="P26" s="74"/>
      <c r="R26" s="74"/>
      <c r="S26" s="74"/>
      <c r="U26" s="76"/>
      <c r="V26" s="76"/>
      <c r="W26" s="76"/>
      <c r="X26" s="76"/>
      <c r="Y26" s="76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</row>
    <row r="27" spans="1:37" s="63" customFormat="1" ht="15" customHeight="1" x14ac:dyDescent="0.35">
      <c r="A27" s="62" t="s">
        <v>24</v>
      </c>
      <c r="B27" s="78">
        <f ca="1">INDIRECT("'("&amp;$A$4&amp;"b)'!C23")</f>
        <v>24</v>
      </c>
      <c r="C27" s="78">
        <f ca="1">INDIRECT("'("&amp;$A$4&amp;"b)'!d23")</f>
        <v>8</v>
      </c>
      <c r="D27" s="78"/>
      <c r="E27" s="78">
        <f ca="1">INDIRECT("'("&amp;$A$4&amp;"b)'!e23")</f>
        <v>6</v>
      </c>
      <c r="F27" s="78">
        <f ca="1">INDIRECT("'("&amp;$A$4&amp;"b)'!f23")</f>
        <v>1</v>
      </c>
      <c r="G27" s="78"/>
      <c r="H27" s="78">
        <f ca="1">INDIRECT("'("&amp;$A$4&amp;"b)'!g23")</f>
        <v>0</v>
      </c>
      <c r="I27" s="78">
        <f ca="1">INDIRECT("'("&amp;$A$4&amp;"b)'!h23")</f>
        <v>0</v>
      </c>
      <c r="J27" s="78"/>
      <c r="K27" s="78">
        <f ca="1">INDIRECT("'("&amp;$A$4&amp;"b)'!i23")</f>
        <v>0</v>
      </c>
      <c r="L27" s="73">
        <f ca="1">INDIRECT("'("&amp;$A$4&amp;"b)'!j23")</f>
        <v>0</v>
      </c>
      <c r="M27" s="62"/>
      <c r="O27" s="74"/>
      <c r="P27" s="74"/>
      <c r="R27" s="74"/>
      <c r="S27" s="74"/>
      <c r="U27" s="76"/>
      <c r="V27" s="76"/>
      <c r="W27" s="76"/>
      <c r="X27" s="76"/>
      <c r="Y27" s="76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</row>
    <row r="28" spans="1:37" s="63" customFormat="1" ht="15" customHeight="1" x14ac:dyDescent="0.35">
      <c r="A28" s="62" t="s">
        <v>25</v>
      </c>
      <c r="B28" s="78">
        <f ca="1">INDIRECT("'("&amp;$A$4&amp;"b)'!C24")</f>
        <v>10</v>
      </c>
      <c r="C28" s="78">
        <f ca="1">INDIRECT("'("&amp;$A$4&amp;"b)'!d24")</f>
        <v>2</v>
      </c>
      <c r="D28" s="78"/>
      <c r="E28" s="78">
        <f ca="1">INDIRECT("'("&amp;$A$4&amp;"b)'!e24")</f>
        <v>2</v>
      </c>
      <c r="F28" s="78">
        <f ca="1">INDIRECT("'("&amp;$A$4&amp;"b)'!f24")</f>
        <v>0</v>
      </c>
      <c r="G28" s="78"/>
      <c r="H28" s="78">
        <f ca="1">INDIRECT("'("&amp;$A$4&amp;"b)'!g24")</f>
        <v>0</v>
      </c>
      <c r="I28" s="78">
        <f ca="1">INDIRECT("'("&amp;$A$4&amp;"b)'!h24")</f>
        <v>0</v>
      </c>
      <c r="J28" s="78"/>
      <c r="K28" s="78">
        <f ca="1">INDIRECT("'("&amp;$A$4&amp;"b)'!i24")</f>
        <v>0</v>
      </c>
      <c r="L28" s="73">
        <f ca="1">INDIRECT("'("&amp;$A$4&amp;"b)'!j24")</f>
        <v>0</v>
      </c>
      <c r="M28" s="62"/>
      <c r="O28" s="74"/>
      <c r="P28" s="74"/>
      <c r="R28" s="74"/>
      <c r="S28" s="74"/>
      <c r="U28" s="76"/>
      <c r="V28" s="76"/>
      <c r="W28" s="76"/>
      <c r="X28" s="76"/>
      <c r="Y28" s="76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</row>
    <row r="29" spans="1:37" s="63" customFormat="1" ht="15" customHeight="1" x14ac:dyDescent="0.35">
      <c r="A29" s="62" t="s">
        <v>26</v>
      </c>
      <c r="B29" s="78">
        <f ca="1">INDIRECT("'("&amp;$A$4&amp;"b)'!C25")</f>
        <v>26</v>
      </c>
      <c r="C29" s="78">
        <f ca="1">INDIRECT("'("&amp;$A$4&amp;"b)'!d25")</f>
        <v>9</v>
      </c>
      <c r="D29" s="78"/>
      <c r="E29" s="78">
        <f ca="1">INDIRECT("'("&amp;$A$4&amp;"b)'!e25")</f>
        <v>1</v>
      </c>
      <c r="F29" s="78">
        <f ca="1">INDIRECT("'("&amp;$A$4&amp;"b)'!f25")</f>
        <v>3</v>
      </c>
      <c r="G29" s="78"/>
      <c r="H29" s="78">
        <f ca="1">INDIRECT("'("&amp;$A$4&amp;"b)'!g25")</f>
        <v>1</v>
      </c>
      <c r="I29" s="78">
        <f ca="1">INDIRECT("'("&amp;$A$4&amp;"b)'!h25")</f>
        <v>0</v>
      </c>
      <c r="J29" s="78"/>
      <c r="K29" s="78">
        <f ca="1">INDIRECT("'("&amp;$A$4&amp;"b)'!i25")</f>
        <v>0</v>
      </c>
      <c r="L29" s="73">
        <f ca="1">INDIRECT("'("&amp;$A$4&amp;"b)'!j25")</f>
        <v>0</v>
      </c>
      <c r="M29" s="62"/>
      <c r="O29" s="74"/>
      <c r="P29" s="74"/>
      <c r="R29" s="74"/>
      <c r="S29" s="74"/>
      <c r="U29" s="76"/>
      <c r="V29" s="76"/>
      <c r="W29" s="76"/>
      <c r="X29" s="76"/>
      <c r="Y29" s="76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</row>
    <row r="30" spans="1:37" s="63" customFormat="1" ht="15" customHeight="1" x14ac:dyDescent="0.35">
      <c r="A30" s="62" t="s">
        <v>27</v>
      </c>
      <c r="B30" s="78">
        <f ca="1">INDIRECT("'("&amp;$A$4&amp;"b)'!C26")</f>
        <v>12</v>
      </c>
      <c r="C30" s="78">
        <f ca="1">INDIRECT("'("&amp;$A$4&amp;"b)'!d26")</f>
        <v>6</v>
      </c>
      <c r="D30" s="78"/>
      <c r="E30" s="78">
        <f ca="1">INDIRECT("'("&amp;$A$4&amp;"b)'!e26")</f>
        <v>1</v>
      </c>
      <c r="F30" s="78">
        <f ca="1">INDIRECT("'("&amp;$A$4&amp;"b)'!f26")</f>
        <v>3</v>
      </c>
      <c r="G30" s="78"/>
      <c r="H30" s="78">
        <f ca="1">INDIRECT("'("&amp;$A$4&amp;"b)'!g26")</f>
        <v>0</v>
      </c>
      <c r="I30" s="78">
        <f ca="1">INDIRECT("'("&amp;$A$4&amp;"b)'!h26")</f>
        <v>1</v>
      </c>
      <c r="J30" s="78"/>
      <c r="K30" s="78">
        <f ca="1">INDIRECT("'("&amp;$A$4&amp;"b)'!i26")</f>
        <v>0</v>
      </c>
      <c r="L30" s="73">
        <f ca="1">INDIRECT("'("&amp;$A$4&amp;"b)'!j26")</f>
        <v>0</v>
      </c>
      <c r="M30" s="62"/>
      <c r="O30" s="74"/>
      <c r="P30" s="74"/>
      <c r="R30" s="74"/>
      <c r="S30" s="74"/>
      <c r="U30" s="76"/>
      <c r="V30" s="76"/>
      <c r="W30" s="76"/>
      <c r="X30" s="76"/>
      <c r="Y30" s="76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</row>
    <row r="31" spans="1:37" s="63" customFormat="1" ht="15" customHeight="1" x14ac:dyDescent="0.35">
      <c r="A31" s="63" t="s">
        <v>28</v>
      </c>
      <c r="B31" s="78">
        <f ca="1">INDIRECT("'("&amp;$A$4&amp;"b)'!C27")</f>
        <v>0</v>
      </c>
      <c r="C31" s="78">
        <f ca="1">INDIRECT("'("&amp;$A$4&amp;"b)'!d27")</f>
        <v>0</v>
      </c>
      <c r="D31" s="78"/>
      <c r="E31" s="78">
        <f ca="1">INDIRECT("'("&amp;$A$4&amp;"b)'!e27")</f>
        <v>0</v>
      </c>
      <c r="F31" s="78">
        <f ca="1">INDIRECT("'("&amp;$A$4&amp;"b)'!f27")</f>
        <v>0</v>
      </c>
      <c r="G31" s="78"/>
      <c r="H31" s="78">
        <f ca="1">INDIRECT("'("&amp;$A$4&amp;"b)'!g27")</f>
        <v>0</v>
      </c>
      <c r="I31" s="78">
        <f ca="1">INDIRECT("'("&amp;$A$4&amp;"b)'!h27")</f>
        <v>0</v>
      </c>
      <c r="J31" s="78"/>
      <c r="K31" s="78">
        <f ca="1">INDIRECT("'("&amp;$A$4&amp;"b)'!i27")</f>
        <v>0</v>
      </c>
      <c r="L31" s="73">
        <f ca="1">INDIRECT("'("&amp;$A$4&amp;"b)'!j27")</f>
        <v>0</v>
      </c>
      <c r="M31" s="62"/>
      <c r="O31" s="74"/>
      <c r="P31" s="74"/>
      <c r="R31" s="74"/>
      <c r="S31" s="74"/>
      <c r="U31" s="76"/>
      <c r="V31" s="76"/>
      <c r="W31" s="76"/>
      <c r="X31" s="76"/>
      <c r="Y31" s="76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</row>
    <row r="32" spans="1:37" s="63" customFormat="1" ht="15" customHeight="1" x14ac:dyDescent="0.35">
      <c r="A32" s="63" t="s">
        <v>29</v>
      </c>
      <c r="B32" s="78">
        <f ca="1">INDIRECT("'("&amp;$A$4&amp;"b)'!C28")</f>
        <v>23</v>
      </c>
      <c r="C32" s="78">
        <f ca="1">INDIRECT("'("&amp;$A$4&amp;"b)'!d28")</f>
        <v>26</v>
      </c>
      <c r="D32" s="78"/>
      <c r="E32" s="78">
        <f ca="1">INDIRECT("'("&amp;$A$4&amp;"b)'!e28")</f>
        <v>2</v>
      </c>
      <c r="F32" s="78">
        <f ca="1">INDIRECT("'("&amp;$A$4&amp;"b)'!f28")</f>
        <v>1</v>
      </c>
      <c r="G32" s="78"/>
      <c r="H32" s="78">
        <f ca="1">INDIRECT("'("&amp;$A$4&amp;"b)'!g28")</f>
        <v>0</v>
      </c>
      <c r="I32" s="78">
        <f ca="1">INDIRECT("'("&amp;$A$4&amp;"b)'!h28")</f>
        <v>0</v>
      </c>
      <c r="J32" s="78"/>
      <c r="K32" s="78">
        <f ca="1">INDIRECT("'("&amp;$A$4&amp;"b)'!i28")</f>
        <v>0</v>
      </c>
      <c r="L32" s="73">
        <f ca="1">INDIRECT("'("&amp;$A$4&amp;"b)'!j28")</f>
        <v>0</v>
      </c>
      <c r="M32" s="62"/>
      <c r="O32" s="74"/>
      <c r="P32" s="74"/>
      <c r="R32" s="74"/>
      <c r="S32" s="74"/>
      <c r="U32" s="76"/>
      <c r="V32" s="76"/>
      <c r="W32" s="76"/>
      <c r="X32" s="76"/>
      <c r="Y32" s="76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</row>
    <row r="33" spans="1:37" s="63" customFormat="1" ht="15" customHeight="1" x14ac:dyDescent="0.35">
      <c r="A33" s="62" t="s">
        <v>30</v>
      </c>
      <c r="B33" s="78">
        <f ca="1">INDIRECT("'("&amp;$A$4&amp;"b)'!C29")</f>
        <v>16</v>
      </c>
      <c r="C33" s="78">
        <f ca="1">INDIRECT("'("&amp;$A$4&amp;"b)'!d29")</f>
        <v>3</v>
      </c>
      <c r="D33" s="78"/>
      <c r="E33" s="78">
        <f ca="1">INDIRECT("'("&amp;$A$4&amp;"b)'!e29")</f>
        <v>2</v>
      </c>
      <c r="F33" s="78">
        <f ca="1">INDIRECT("'("&amp;$A$4&amp;"b)'!f29")</f>
        <v>0</v>
      </c>
      <c r="G33" s="78"/>
      <c r="H33" s="78">
        <f ca="1">INDIRECT("'("&amp;$A$4&amp;"b)'!g29")</f>
        <v>0</v>
      </c>
      <c r="I33" s="78">
        <f ca="1">INDIRECT("'("&amp;$A$4&amp;"b)'!h29")</f>
        <v>0</v>
      </c>
      <c r="J33" s="78"/>
      <c r="K33" s="78">
        <f ca="1">INDIRECT("'("&amp;$A$4&amp;"b)'!i29")</f>
        <v>0</v>
      </c>
      <c r="L33" s="73">
        <f ca="1">INDIRECT("'("&amp;$A$4&amp;"b)'!j29")</f>
        <v>0</v>
      </c>
      <c r="M33" s="62"/>
      <c r="O33" s="74"/>
      <c r="P33" s="74"/>
      <c r="R33" s="74"/>
      <c r="S33" s="74"/>
      <c r="U33" s="76"/>
      <c r="V33" s="76"/>
      <c r="W33" s="76"/>
      <c r="X33" s="76"/>
      <c r="Y33" s="76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</row>
    <row r="34" spans="1:37" s="63" customFormat="1" ht="15" customHeight="1" x14ac:dyDescent="0.35">
      <c r="A34" s="63" t="s">
        <v>31</v>
      </c>
      <c r="B34" s="78">
        <f ca="1">INDIRECT("'("&amp;$A$4&amp;"b)'!C30")</f>
        <v>9</v>
      </c>
      <c r="C34" s="78">
        <f ca="1">INDIRECT("'("&amp;$A$4&amp;"b)'!d30")</f>
        <v>5</v>
      </c>
      <c r="D34" s="78"/>
      <c r="E34" s="78">
        <f ca="1">INDIRECT("'("&amp;$A$4&amp;"b)'!e30")</f>
        <v>0</v>
      </c>
      <c r="F34" s="78">
        <f ca="1">INDIRECT("'("&amp;$A$4&amp;"b)'!f30")</f>
        <v>1</v>
      </c>
      <c r="G34" s="78"/>
      <c r="H34" s="78">
        <f ca="1">INDIRECT("'("&amp;$A$4&amp;"b)'!g30")</f>
        <v>0</v>
      </c>
      <c r="I34" s="78">
        <f ca="1">INDIRECT("'("&amp;$A$4&amp;"b)'!h30")</f>
        <v>1</v>
      </c>
      <c r="J34" s="78"/>
      <c r="K34" s="78">
        <f ca="1">INDIRECT("'("&amp;$A$4&amp;"b)'!i30")</f>
        <v>0</v>
      </c>
      <c r="L34" s="73">
        <f ca="1">INDIRECT("'("&amp;$A$4&amp;"b)'!j30")</f>
        <v>0</v>
      </c>
      <c r="M34" s="62"/>
      <c r="O34" s="74"/>
      <c r="P34" s="74"/>
      <c r="R34" s="74"/>
      <c r="S34" s="74"/>
      <c r="U34" s="76"/>
      <c r="V34" s="76"/>
      <c r="W34" s="76"/>
      <c r="X34" s="76"/>
      <c r="Y34" s="76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</row>
    <row r="35" spans="1:37" s="63" customFormat="1" ht="15" customHeight="1" x14ac:dyDescent="0.35">
      <c r="A35" s="63" t="s">
        <v>32</v>
      </c>
      <c r="B35" s="78">
        <f ca="1">INDIRECT("'("&amp;$A$4&amp;"b)'!C31")</f>
        <v>10</v>
      </c>
      <c r="C35" s="78">
        <f ca="1">INDIRECT("'("&amp;$A$4&amp;"b)'!d31")</f>
        <v>6</v>
      </c>
      <c r="D35" s="78"/>
      <c r="E35" s="78">
        <f ca="1">INDIRECT("'("&amp;$A$4&amp;"b)'!e31")</f>
        <v>4</v>
      </c>
      <c r="F35" s="78">
        <f ca="1">INDIRECT("'("&amp;$A$4&amp;"b)'!f31")</f>
        <v>2</v>
      </c>
      <c r="G35" s="78"/>
      <c r="H35" s="78">
        <f ca="1">INDIRECT("'("&amp;$A$4&amp;"b)'!g31")</f>
        <v>1</v>
      </c>
      <c r="I35" s="78">
        <f ca="1">INDIRECT("'("&amp;$A$4&amp;"b)'!h31")</f>
        <v>0</v>
      </c>
      <c r="J35" s="78"/>
      <c r="K35" s="78">
        <f ca="1">INDIRECT("'("&amp;$A$4&amp;"b)'!i31")</f>
        <v>0</v>
      </c>
      <c r="L35" s="73">
        <f ca="1">INDIRECT("'("&amp;$A$4&amp;"b)'!j31")</f>
        <v>0</v>
      </c>
      <c r="M35" s="62"/>
      <c r="O35" s="74"/>
      <c r="P35" s="74"/>
      <c r="R35" s="74"/>
      <c r="S35" s="74"/>
      <c r="U35" s="76"/>
      <c r="V35" s="76"/>
      <c r="W35" s="76"/>
      <c r="X35" s="76"/>
      <c r="Y35" s="76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</row>
    <row r="36" spans="1:37" s="63" customFormat="1" ht="15" customHeight="1" x14ac:dyDescent="0.35">
      <c r="A36" s="62" t="s">
        <v>33</v>
      </c>
      <c r="B36" s="78">
        <f ca="1">INDIRECT("'("&amp;$A$4&amp;"b)'!C32")</f>
        <v>17</v>
      </c>
      <c r="C36" s="78">
        <f ca="1">INDIRECT("'("&amp;$A$4&amp;"b)'!d32")</f>
        <v>13</v>
      </c>
      <c r="D36" s="78"/>
      <c r="E36" s="78">
        <f ca="1">INDIRECT("'("&amp;$A$4&amp;"b)'!e32")</f>
        <v>4</v>
      </c>
      <c r="F36" s="78">
        <f ca="1">INDIRECT("'("&amp;$A$4&amp;"b)'!f32")</f>
        <v>4</v>
      </c>
      <c r="G36" s="78"/>
      <c r="H36" s="78">
        <f ca="1">INDIRECT("'("&amp;$A$4&amp;"b)'!g32")</f>
        <v>0</v>
      </c>
      <c r="I36" s="78">
        <f ca="1">INDIRECT("'("&amp;$A$4&amp;"b)'!h32")</f>
        <v>0</v>
      </c>
      <c r="J36" s="78"/>
      <c r="K36" s="78">
        <f ca="1">INDIRECT("'("&amp;$A$4&amp;"b)'!i32")</f>
        <v>0</v>
      </c>
      <c r="L36" s="73">
        <f ca="1">INDIRECT("'("&amp;$A$4&amp;"b)'!j32")</f>
        <v>0</v>
      </c>
      <c r="M36" s="62"/>
      <c r="O36" s="74"/>
      <c r="P36" s="74"/>
      <c r="R36" s="74"/>
      <c r="S36" s="74"/>
      <c r="U36" s="76"/>
      <c r="V36" s="76"/>
      <c r="W36" s="76"/>
      <c r="X36" s="76"/>
      <c r="Y36" s="76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</row>
    <row r="37" spans="1:37" s="63" customFormat="1" ht="15" customHeight="1" x14ac:dyDescent="0.35">
      <c r="A37" s="63" t="s">
        <v>34</v>
      </c>
      <c r="B37" s="78">
        <f ca="1">INDIRECT("'("&amp;$A$4&amp;"b)'!C33")</f>
        <v>13</v>
      </c>
      <c r="C37" s="78">
        <f ca="1">INDIRECT("'("&amp;$A$4&amp;"b)'!d33")</f>
        <v>6</v>
      </c>
      <c r="D37" s="78"/>
      <c r="E37" s="78">
        <f ca="1">INDIRECT("'("&amp;$A$4&amp;"b)'!e33")</f>
        <v>1</v>
      </c>
      <c r="F37" s="78">
        <f ca="1">INDIRECT("'("&amp;$A$4&amp;"b)'!f33")</f>
        <v>0</v>
      </c>
      <c r="G37" s="78"/>
      <c r="H37" s="78">
        <f ca="1">INDIRECT("'("&amp;$A$4&amp;"b)'!g33")</f>
        <v>1</v>
      </c>
      <c r="I37" s="78">
        <f ca="1">INDIRECT("'("&amp;$A$4&amp;"b)'!h33")</f>
        <v>0</v>
      </c>
      <c r="J37" s="78"/>
      <c r="K37" s="78">
        <f ca="1">INDIRECT("'("&amp;$A$4&amp;"b)'!i33")</f>
        <v>0</v>
      </c>
      <c r="L37" s="73">
        <f ca="1">INDIRECT("'("&amp;$A$4&amp;"b)'!j33")</f>
        <v>0</v>
      </c>
      <c r="M37" s="62"/>
      <c r="O37" s="74"/>
      <c r="P37" s="74"/>
      <c r="R37" s="74"/>
      <c r="S37" s="74"/>
      <c r="U37" s="76"/>
      <c r="V37" s="76"/>
      <c r="W37" s="76"/>
      <c r="X37" s="76"/>
      <c r="Y37" s="76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</row>
    <row r="38" spans="1:37" s="63" customFormat="1" ht="15" customHeight="1" x14ac:dyDescent="0.35">
      <c r="A38" s="63" t="s">
        <v>35</v>
      </c>
      <c r="B38" s="78">
        <f ca="1">INDIRECT("'("&amp;$A$4&amp;"b)'!C34")</f>
        <v>13</v>
      </c>
      <c r="C38" s="78">
        <f ca="1">INDIRECT("'("&amp;$A$4&amp;"b)'!d34")</f>
        <v>4</v>
      </c>
      <c r="D38" s="78"/>
      <c r="E38" s="78">
        <f ca="1">INDIRECT("'("&amp;$A$4&amp;"b)'!e34")</f>
        <v>3</v>
      </c>
      <c r="F38" s="78">
        <f ca="1">INDIRECT("'("&amp;$A$4&amp;"b)'!f34")</f>
        <v>1</v>
      </c>
      <c r="G38" s="78"/>
      <c r="H38" s="78">
        <f ca="1">INDIRECT("'("&amp;$A$4&amp;"b)'!g34")</f>
        <v>0</v>
      </c>
      <c r="I38" s="78">
        <f ca="1">INDIRECT("'("&amp;$A$4&amp;"b)'!h34")</f>
        <v>1</v>
      </c>
      <c r="J38" s="78"/>
      <c r="K38" s="78">
        <f ca="1">INDIRECT("'("&amp;$A$4&amp;"b)'!i34")</f>
        <v>0</v>
      </c>
      <c r="L38" s="73">
        <f ca="1">INDIRECT("'("&amp;$A$4&amp;"b)'!j34")</f>
        <v>0</v>
      </c>
      <c r="M38" s="62"/>
      <c r="O38" s="74"/>
      <c r="P38" s="74"/>
      <c r="R38" s="74"/>
      <c r="S38" s="74"/>
      <c r="U38" s="76"/>
      <c r="V38" s="76"/>
      <c r="W38" s="76"/>
      <c r="X38" s="76"/>
      <c r="Y38" s="76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</row>
    <row r="39" spans="1:37" s="63" customFormat="1" ht="15" customHeight="1" x14ac:dyDescent="0.35">
      <c r="A39" s="63" t="s">
        <v>36</v>
      </c>
      <c r="B39" s="78">
        <f ca="1">INDIRECT("'("&amp;$A$4&amp;"b)'!C35")</f>
        <v>2</v>
      </c>
      <c r="C39" s="78">
        <f ca="1">INDIRECT("'("&amp;$A$4&amp;"b)'!d35")</f>
        <v>2</v>
      </c>
      <c r="D39" s="78"/>
      <c r="E39" s="78">
        <f ca="1">INDIRECT("'("&amp;$A$4&amp;"b)'!e35")</f>
        <v>0</v>
      </c>
      <c r="F39" s="78">
        <f ca="1">INDIRECT("'("&amp;$A$4&amp;"b)'!f35")</f>
        <v>0</v>
      </c>
      <c r="G39" s="78"/>
      <c r="H39" s="78">
        <f ca="1">INDIRECT("'("&amp;$A$4&amp;"b)'!g35")</f>
        <v>0</v>
      </c>
      <c r="I39" s="78">
        <f ca="1">INDIRECT("'("&amp;$A$4&amp;"b)'!h35")</f>
        <v>0</v>
      </c>
      <c r="J39" s="78"/>
      <c r="K39" s="78">
        <f ca="1">INDIRECT("'("&amp;$A$4&amp;"b)'!i35")</f>
        <v>0</v>
      </c>
      <c r="L39" s="73">
        <f ca="1">INDIRECT("'("&amp;$A$4&amp;"b)'!j35")</f>
        <v>0</v>
      </c>
      <c r="M39" s="62"/>
      <c r="O39" s="74"/>
      <c r="P39" s="74"/>
      <c r="R39" s="74"/>
      <c r="S39" s="74"/>
      <c r="U39" s="76"/>
      <c r="V39" s="76"/>
      <c r="W39" s="76"/>
      <c r="X39" s="76"/>
      <c r="Y39" s="76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</row>
    <row r="40" spans="1:37" s="63" customFormat="1" ht="15" customHeight="1" x14ac:dyDescent="0.35">
      <c r="A40" s="62" t="s">
        <v>37</v>
      </c>
      <c r="B40" s="78">
        <f ca="1">INDIRECT("'("&amp;$A$4&amp;"b)'!C36")</f>
        <v>7</v>
      </c>
      <c r="C40" s="78">
        <f ca="1">INDIRECT("'("&amp;$A$4&amp;"b)'!d36")</f>
        <v>10</v>
      </c>
      <c r="D40" s="78"/>
      <c r="E40" s="78">
        <f ca="1">INDIRECT("'("&amp;$A$4&amp;"b)'!e36")</f>
        <v>0</v>
      </c>
      <c r="F40" s="78">
        <f ca="1">INDIRECT("'("&amp;$A$4&amp;"b)'!f36")</f>
        <v>4</v>
      </c>
      <c r="G40" s="78"/>
      <c r="H40" s="78">
        <f ca="1">INDIRECT("'("&amp;$A$4&amp;"b)'!g36")</f>
        <v>0</v>
      </c>
      <c r="I40" s="78">
        <f ca="1">INDIRECT("'("&amp;$A$4&amp;"b)'!h36")</f>
        <v>1</v>
      </c>
      <c r="J40" s="78"/>
      <c r="K40" s="78">
        <f ca="1">INDIRECT("'("&amp;$A$4&amp;"b)'!i36")</f>
        <v>0</v>
      </c>
      <c r="L40" s="73">
        <f ca="1">INDIRECT("'("&amp;$A$4&amp;"b)'!j36")</f>
        <v>0</v>
      </c>
      <c r="M40" s="62"/>
      <c r="O40" s="74"/>
      <c r="P40" s="74"/>
      <c r="R40" s="74"/>
      <c r="S40" s="74"/>
      <c r="U40" s="76"/>
      <c r="V40" s="76"/>
      <c r="W40" s="76"/>
      <c r="X40" s="76"/>
      <c r="Y40" s="76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</row>
    <row r="41" spans="1:37" s="63" customFormat="1" ht="15" customHeight="1" x14ac:dyDescent="0.35">
      <c r="A41" s="62" t="s">
        <v>38</v>
      </c>
      <c r="B41" s="78">
        <f ca="1">INDIRECT("'("&amp;$A$4&amp;"b)'!C37")</f>
        <v>7</v>
      </c>
      <c r="C41" s="78">
        <f ca="1">INDIRECT("'("&amp;$A$4&amp;"b)'!d37")</f>
        <v>7</v>
      </c>
      <c r="D41" s="78"/>
      <c r="E41" s="78">
        <f ca="1">INDIRECT("'("&amp;$A$4&amp;"b)'!e37")</f>
        <v>0</v>
      </c>
      <c r="F41" s="78">
        <f ca="1">INDIRECT("'("&amp;$A$4&amp;"b)'!f37")</f>
        <v>0</v>
      </c>
      <c r="G41" s="78"/>
      <c r="H41" s="78">
        <f ca="1">INDIRECT("'("&amp;$A$4&amp;"b)'!g37")</f>
        <v>0</v>
      </c>
      <c r="I41" s="78">
        <f ca="1">INDIRECT("'("&amp;$A$4&amp;"b)'!h37")</f>
        <v>0</v>
      </c>
      <c r="J41" s="78"/>
      <c r="K41" s="78">
        <f ca="1">INDIRECT("'("&amp;$A$4&amp;"b)'!i37")</f>
        <v>0</v>
      </c>
      <c r="L41" s="73">
        <f ca="1">INDIRECT("'("&amp;$A$4&amp;"b)'!j37")</f>
        <v>0</v>
      </c>
      <c r="M41" s="62"/>
      <c r="O41" s="74"/>
      <c r="P41" s="74"/>
      <c r="R41" s="74"/>
      <c r="S41" s="74"/>
      <c r="U41" s="76"/>
      <c r="V41" s="76"/>
      <c r="W41" s="76"/>
      <c r="X41" s="76"/>
      <c r="Y41" s="76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</row>
    <row r="42" spans="1:37" s="63" customFormat="1" ht="15" customHeight="1" x14ac:dyDescent="0.35">
      <c r="A42" s="62" t="s">
        <v>39</v>
      </c>
      <c r="B42" s="78">
        <f ca="1">INDIRECT("'("&amp;$A$4&amp;"b)'!C38")</f>
        <v>6</v>
      </c>
      <c r="C42" s="78">
        <f ca="1">INDIRECT("'("&amp;$A$4&amp;"b)'!d38")</f>
        <v>3</v>
      </c>
      <c r="D42" s="78"/>
      <c r="E42" s="78">
        <f ca="1">INDIRECT("'("&amp;$A$4&amp;"b)'!e38")</f>
        <v>0</v>
      </c>
      <c r="F42" s="78">
        <f ca="1">INDIRECT("'("&amp;$A$4&amp;"b)'!f38")</f>
        <v>0</v>
      </c>
      <c r="G42" s="78"/>
      <c r="H42" s="78">
        <f ca="1">INDIRECT("'("&amp;$A$4&amp;"b)'!g38")</f>
        <v>1</v>
      </c>
      <c r="I42" s="78">
        <f ca="1">INDIRECT("'("&amp;$A$4&amp;"b)'!h38")</f>
        <v>0</v>
      </c>
      <c r="J42" s="78"/>
      <c r="K42" s="78">
        <f ca="1">INDIRECT("'("&amp;$A$4&amp;"b)'!i38")</f>
        <v>0</v>
      </c>
      <c r="L42" s="73">
        <f ca="1">INDIRECT("'("&amp;$A$4&amp;"b)'!j38")</f>
        <v>0</v>
      </c>
      <c r="M42" s="62"/>
      <c r="O42" s="74"/>
      <c r="P42" s="74"/>
      <c r="R42" s="74"/>
      <c r="S42" s="74"/>
      <c r="U42" s="76"/>
      <c r="V42" s="76"/>
      <c r="W42" s="76"/>
      <c r="X42" s="76"/>
      <c r="Y42" s="76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</row>
    <row r="43" spans="1:37" s="63" customFormat="1" ht="15" customHeight="1" x14ac:dyDescent="0.35">
      <c r="A43" s="62" t="s">
        <v>40</v>
      </c>
      <c r="B43" s="78">
        <f ca="1">INDIRECT("'("&amp;$A$4&amp;"b)'!C39")</f>
        <v>18</v>
      </c>
      <c r="C43" s="78">
        <f ca="1">INDIRECT("'("&amp;$A$4&amp;"b)'!d39")</f>
        <v>6</v>
      </c>
      <c r="D43" s="78"/>
      <c r="E43" s="78">
        <f ca="1">INDIRECT("'("&amp;$A$4&amp;"b)'!e39")</f>
        <v>2</v>
      </c>
      <c r="F43" s="78">
        <f ca="1">INDIRECT("'("&amp;$A$4&amp;"b)'!f39")</f>
        <v>0</v>
      </c>
      <c r="G43" s="78"/>
      <c r="H43" s="78">
        <f ca="1">INDIRECT("'("&amp;$A$4&amp;"b)'!g39")</f>
        <v>0</v>
      </c>
      <c r="I43" s="78">
        <f ca="1">INDIRECT("'("&amp;$A$4&amp;"b)'!h39")</f>
        <v>0</v>
      </c>
      <c r="J43" s="78"/>
      <c r="K43" s="78">
        <f ca="1">INDIRECT("'("&amp;$A$4&amp;"b)'!i39")</f>
        <v>0</v>
      </c>
      <c r="L43" s="73">
        <f ca="1">INDIRECT("'("&amp;$A$4&amp;"b)'!j39")</f>
        <v>0</v>
      </c>
      <c r="M43" s="62"/>
      <c r="O43" s="74"/>
      <c r="P43" s="74"/>
      <c r="R43" s="74"/>
      <c r="S43" s="74"/>
      <c r="U43" s="76"/>
      <c r="V43" s="76"/>
      <c r="W43" s="76"/>
      <c r="X43" s="76"/>
      <c r="Y43" s="76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</row>
    <row r="44" spans="1:37" s="63" customFormat="1" ht="15" customHeight="1" x14ac:dyDescent="0.35">
      <c r="A44" s="62" t="s">
        <v>41</v>
      </c>
      <c r="B44" s="78">
        <f ca="1">INDIRECT("'("&amp;$A$4&amp;"b)'!C40")</f>
        <v>7</v>
      </c>
      <c r="C44" s="78">
        <f ca="1">INDIRECT("'("&amp;$A$4&amp;"b)'!d40")</f>
        <v>5</v>
      </c>
      <c r="D44" s="78"/>
      <c r="E44" s="78">
        <f ca="1">INDIRECT("'("&amp;$A$4&amp;"b)'!e40")</f>
        <v>0</v>
      </c>
      <c r="F44" s="78">
        <f ca="1">INDIRECT("'("&amp;$A$4&amp;"b)'!f40")</f>
        <v>0</v>
      </c>
      <c r="G44" s="78"/>
      <c r="H44" s="78">
        <f ca="1">INDIRECT("'("&amp;$A$4&amp;"b)'!g40")</f>
        <v>0</v>
      </c>
      <c r="I44" s="78">
        <f ca="1">INDIRECT("'("&amp;$A$4&amp;"b)'!h40")</f>
        <v>0</v>
      </c>
      <c r="J44" s="78"/>
      <c r="K44" s="78">
        <f ca="1">INDIRECT("'("&amp;$A$4&amp;"b)'!i40")</f>
        <v>0</v>
      </c>
      <c r="L44" s="73">
        <f ca="1">INDIRECT("'("&amp;$A$4&amp;"b)'!j40")</f>
        <v>0</v>
      </c>
      <c r="M44" s="62"/>
      <c r="O44" s="74"/>
      <c r="P44" s="74"/>
      <c r="R44" s="74"/>
      <c r="S44" s="74"/>
      <c r="U44" s="76"/>
      <c r="V44" s="76"/>
      <c r="W44" s="76"/>
      <c r="X44" s="76"/>
      <c r="Y44" s="76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</row>
    <row r="45" spans="1:37" s="63" customFormat="1" ht="15" customHeight="1" x14ac:dyDescent="0.35">
      <c r="A45" s="62" t="s">
        <v>42</v>
      </c>
      <c r="B45" s="78">
        <f ca="1">INDIRECT("'("&amp;$A$4&amp;"b)'!C41")</f>
        <v>12</v>
      </c>
      <c r="C45" s="78">
        <f ca="1">INDIRECT("'("&amp;$A$4&amp;"b)'!d41")</f>
        <v>4</v>
      </c>
      <c r="D45" s="78"/>
      <c r="E45" s="78">
        <f ca="1">INDIRECT("'("&amp;$A$4&amp;"b)'!e41")</f>
        <v>4</v>
      </c>
      <c r="F45" s="78">
        <f ca="1">INDIRECT("'("&amp;$A$4&amp;"b)'!f41")</f>
        <v>3</v>
      </c>
      <c r="G45" s="78"/>
      <c r="H45" s="78">
        <f ca="1">INDIRECT("'("&amp;$A$4&amp;"b)'!g41")</f>
        <v>0</v>
      </c>
      <c r="I45" s="78">
        <f ca="1">INDIRECT("'("&amp;$A$4&amp;"b)'!h41")</f>
        <v>0</v>
      </c>
      <c r="J45" s="78"/>
      <c r="K45" s="78">
        <f ca="1">INDIRECT("'("&amp;$A$4&amp;"b)'!i41")</f>
        <v>0</v>
      </c>
      <c r="L45" s="73">
        <f ca="1">INDIRECT("'("&amp;$A$4&amp;"b)'!j41")</f>
        <v>0</v>
      </c>
      <c r="M45" s="62"/>
      <c r="O45" s="74"/>
      <c r="P45" s="74"/>
      <c r="R45" s="74"/>
      <c r="S45" s="74"/>
      <c r="U45" s="76"/>
      <c r="V45" s="76"/>
      <c r="W45" s="76"/>
      <c r="X45" s="76"/>
      <c r="Y45" s="76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</row>
    <row r="46" spans="1:37" s="63" customFormat="1" ht="15" customHeight="1" x14ac:dyDescent="0.35">
      <c r="A46" s="62" t="s">
        <v>43</v>
      </c>
      <c r="B46" s="78">
        <f ca="1">INDIRECT("'("&amp;$A$4&amp;"b)'!C42")</f>
        <v>7</v>
      </c>
      <c r="C46" s="78">
        <f ca="1">INDIRECT("'("&amp;$A$4&amp;"b)'!d42")</f>
        <v>4</v>
      </c>
      <c r="D46" s="78"/>
      <c r="E46" s="78">
        <f ca="1">INDIRECT("'("&amp;$A$4&amp;"b)'!e42")</f>
        <v>1</v>
      </c>
      <c r="F46" s="78">
        <f ca="1">INDIRECT("'("&amp;$A$4&amp;"b)'!f42")</f>
        <v>0</v>
      </c>
      <c r="G46" s="78"/>
      <c r="H46" s="78">
        <f ca="1">INDIRECT("'("&amp;$A$4&amp;"b)'!g42")</f>
        <v>0</v>
      </c>
      <c r="I46" s="78">
        <f ca="1">INDIRECT("'("&amp;$A$4&amp;"b)'!h42")</f>
        <v>0</v>
      </c>
      <c r="J46" s="78"/>
      <c r="K46" s="78">
        <f ca="1">INDIRECT("'("&amp;$A$4&amp;"b)'!i42")</f>
        <v>0</v>
      </c>
      <c r="L46" s="73">
        <f ca="1">INDIRECT("'("&amp;$A$4&amp;"b)'!j42")</f>
        <v>0</v>
      </c>
      <c r="M46" s="62"/>
      <c r="O46" s="74"/>
      <c r="P46" s="74"/>
      <c r="R46" s="74"/>
      <c r="S46" s="74"/>
      <c r="U46" s="76"/>
      <c r="V46" s="76"/>
      <c r="W46" s="76"/>
      <c r="X46" s="76"/>
      <c r="Y46" s="76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</row>
    <row r="47" spans="1:37" s="63" customFormat="1" ht="15" customHeight="1" x14ac:dyDescent="0.35">
      <c r="A47" s="62" t="s">
        <v>44</v>
      </c>
      <c r="B47" s="78">
        <f ca="1">INDIRECT("'("&amp;$A$4&amp;"b)'!C43")</f>
        <v>15</v>
      </c>
      <c r="C47" s="78">
        <f ca="1">INDIRECT("'("&amp;$A$4&amp;"b)'!d43")</f>
        <v>6</v>
      </c>
      <c r="D47" s="78"/>
      <c r="E47" s="78">
        <f ca="1">INDIRECT("'("&amp;$A$4&amp;"b)'!e43")</f>
        <v>3</v>
      </c>
      <c r="F47" s="78">
        <f ca="1">INDIRECT("'("&amp;$A$4&amp;"b)'!f43")</f>
        <v>0</v>
      </c>
      <c r="G47" s="78"/>
      <c r="H47" s="78">
        <f ca="1">INDIRECT("'("&amp;$A$4&amp;"b)'!g43")</f>
        <v>1</v>
      </c>
      <c r="I47" s="78">
        <f ca="1">INDIRECT("'("&amp;$A$4&amp;"b)'!h43")</f>
        <v>0</v>
      </c>
      <c r="J47" s="78"/>
      <c r="K47" s="78">
        <f ca="1">INDIRECT("'("&amp;$A$4&amp;"b)'!i43")</f>
        <v>0</v>
      </c>
      <c r="L47" s="73">
        <f ca="1">INDIRECT("'("&amp;$A$4&amp;"b)'!j43")</f>
        <v>0</v>
      </c>
      <c r="M47" s="62"/>
      <c r="O47" s="74"/>
      <c r="P47" s="74"/>
      <c r="R47" s="74"/>
      <c r="S47" s="74"/>
      <c r="U47" s="76"/>
      <c r="V47" s="76"/>
      <c r="W47" s="76"/>
      <c r="X47" s="76"/>
      <c r="Y47" s="76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</row>
    <row r="48" spans="1:37" s="63" customFormat="1" ht="15" customHeight="1" x14ac:dyDescent="0.35">
      <c r="A48" s="62" t="s">
        <v>46</v>
      </c>
      <c r="B48" s="78">
        <f ca="1">INDIRECT("'("&amp;$A$4&amp;"b)'!C44")</f>
        <v>0</v>
      </c>
      <c r="C48" s="78">
        <f ca="1">INDIRECT("'("&amp;$A$4&amp;"b)'!d44")</f>
        <v>0</v>
      </c>
      <c r="D48" s="78"/>
      <c r="E48" s="78">
        <f ca="1">INDIRECT("'("&amp;$A$4&amp;"b)'!e44")</f>
        <v>0</v>
      </c>
      <c r="F48" s="78">
        <f ca="1">INDIRECT("'("&amp;$A$4&amp;"b)'!f44")</f>
        <v>0</v>
      </c>
      <c r="G48" s="78"/>
      <c r="H48" s="78">
        <f ca="1">INDIRECT("'("&amp;$A$4&amp;"b)'!g44")</f>
        <v>0</v>
      </c>
      <c r="I48" s="78">
        <f ca="1">INDIRECT("'("&amp;$A$4&amp;"b)'!h44")</f>
        <v>0</v>
      </c>
      <c r="J48" s="78"/>
      <c r="K48" s="78">
        <f ca="1">INDIRECT("'("&amp;$A$4&amp;"b)'!i44")</f>
        <v>0</v>
      </c>
      <c r="L48" s="73">
        <f ca="1">INDIRECT("'("&amp;$A$4&amp;"b)'!j44")</f>
        <v>0</v>
      </c>
      <c r="M48" s="62"/>
      <c r="O48" s="74"/>
      <c r="P48" s="74"/>
      <c r="R48" s="74"/>
      <c r="S48" s="74"/>
      <c r="U48" s="76"/>
      <c r="V48" s="76"/>
      <c r="W48" s="76"/>
      <c r="X48" s="76"/>
      <c r="Y48" s="76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</row>
    <row r="49" spans="1:37" s="63" customFormat="1" ht="15" customHeight="1" x14ac:dyDescent="0.35">
      <c r="A49" s="80" t="s">
        <v>47</v>
      </c>
      <c r="B49" s="73">
        <f ca="1">INDIRECT("'("&amp;$A$4&amp;"b)'!C45")</f>
        <v>302</v>
      </c>
      <c r="C49" s="73">
        <f ca="1">INDIRECT("'("&amp;$A$4&amp;"b)'!d45")</f>
        <v>96</v>
      </c>
      <c r="D49" s="73"/>
      <c r="E49" s="73">
        <f ca="1">INDIRECT("'("&amp;$A$4&amp;"b)'!e45")</f>
        <v>56</v>
      </c>
      <c r="F49" s="73">
        <f ca="1">INDIRECT("'("&amp;$A$4&amp;"b)'!f45")</f>
        <v>11</v>
      </c>
      <c r="G49" s="73"/>
      <c r="H49" s="73">
        <f ca="1">INDIRECT("'("&amp;$A$4&amp;"b)'!g45")</f>
        <v>6</v>
      </c>
      <c r="I49" s="73">
        <f ca="1">INDIRECT("'("&amp;$A$4&amp;"b)'!h45")</f>
        <v>1</v>
      </c>
      <c r="J49" s="73"/>
      <c r="K49" s="73">
        <f ca="1">INDIRECT("'("&amp;$A$4&amp;"b)'!i45")</f>
        <v>0</v>
      </c>
      <c r="L49" s="73">
        <f ca="1">INDIRECT("'("&amp;$A$4&amp;"b)'!j45")</f>
        <v>0</v>
      </c>
      <c r="M49" s="62"/>
      <c r="O49" s="74"/>
      <c r="P49" s="74"/>
      <c r="R49" s="74"/>
      <c r="S49" s="74"/>
      <c r="U49" s="76"/>
      <c r="V49" s="76"/>
      <c r="W49" s="76"/>
      <c r="X49" s="76"/>
      <c r="Y49" s="76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</row>
    <row r="50" spans="1:37" s="63" customFormat="1" ht="15" customHeight="1" x14ac:dyDescent="0.35">
      <c r="A50" s="62" t="s">
        <v>48</v>
      </c>
      <c r="B50" s="187">
        <f ca="1">INDIRECT("'("&amp;$A$4&amp;"b)'!C46")</f>
        <v>46</v>
      </c>
      <c r="C50" s="187">
        <f ca="1">INDIRECT("'("&amp;$A$4&amp;"b)'!d46")</f>
        <v>5</v>
      </c>
      <c r="D50" s="187"/>
      <c r="E50" s="187">
        <f ca="1">INDIRECT("'("&amp;$A$4&amp;"b)'!e46")</f>
        <v>9</v>
      </c>
      <c r="F50" s="187">
        <f ca="1">INDIRECT("'("&amp;$A$4&amp;"b)'!f46")</f>
        <v>0</v>
      </c>
      <c r="G50" s="187"/>
      <c r="H50" s="187">
        <f ca="1">INDIRECT("'("&amp;$A$4&amp;"b)'!g46")</f>
        <v>1</v>
      </c>
      <c r="I50" s="187">
        <f ca="1">INDIRECT("'("&amp;$A$4&amp;"b)'!h46")</f>
        <v>0</v>
      </c>
      <c r="J50" s="187"/>
      <c r="K50" s="187">
        <f ca="1">INDIRECT("'("&amp;$A$4&amp;"b)'!i46")</f>
        <v>0</v>
      </c>
      <c r="L50" s="73">
        <f ca="1">INDIRECT("'("&amp;$A$4&amp;"b)'!j46")</f>
        <v>0</v>
      </c>
      <c r="M50" s="62"/>
      <c r="O50" s="74"/>
      <c r="P50" s="74"/>
      <c r="R50" s="74"/>
      <c r="S50" s="74"/>
      <c r="U50" s="76"/>
      <c r="V50" s="76"/>
      <c r="W50" s="76"/>
      <c r="X50" s="76"/>
      <c r="Y50" s="76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</row>
    <row r="51" spans="1:37" s="63" customFormat="1" ht="15" customHeight="1" x14ac:dyDescent="0.35">
      <c r="A51" s="62" t="s">
        <v>49</v>
      </c>
      <c r="B51" s="187">
        <f ca="1">INDIRECT("'("&amp;$A$4&amp;"b)'!C47")</f>
        <v>19</v>
      </c>
      <c r="C51" s="187">
        <f ca="1">INDIRECT("'("&amp;$A$4&amp;"b)'!d47")</f>
        <v>4</v>
      </c>
      <c r="D51" s="187"/>
      <c r="E51" s="187">
        <f ca="1">INDIRECT("'("&amp;$A$4&amp;"b)'!e47")</f>
        <v>4</v>
      </c>
      <c r="F51" s="187">
        <f ca="1">INDIRECT("'("&amp;$A$4&amp;"b)'!f47")</f>
        <v>1</v>
      </c>
      <c r="G51" s="187"/>
      <c r="H51" s="187">
        <f ca="1">INDIRECT("'("&amp;$A$4&amp;"b)'!g47")</f>
        <v>0</v>
      </c>
      <c r="I51" s="187">
        <f ca="1">INDIRECT("'("&amp;$A$4&amp;"b)'!h47")</f>
        <v>0</v>
      </c>
      <c r="J51" s="187"/>
      <c r="K51" s="187">
        <f ca="1">INDIRECT("'("&amp;$A$4&amp;"b)'!i47")</f>
        <v>0</v>
      </c>
      <c r="L51" s="73">
        <f ca="1">INDIRECT("'("&amp;$A$4&amp;"b)'!j47")</f>
        <v>0</v>
      </c>
      <c r="M51" s="62"/>
      <c r="O51" s="74"/>
      <c r="P51" s="74"/>
      <c r="R51" s="74"/>
      <c r="S51" s="74"/>
      <c r="U51" s="76"/>
      <c r="V51" s="76"/>
      <c r="W51" s="76"/>
      <c r="X51" s="76"/>
      <c r="Y51" s="76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</row>
    <row r="52" spans="1:37" s="63" customFormat="1" ht="15" customHeight="1" x14ac:dyDescent="0.35">
      <c r="A52" s="62" t="s">
        <v>50</v>
      </c>
      <c r="B52" s="78">
        <f ca="1">INDIRECT("'("&amp;$A$4&amp;"b)'!C48")</f>
        <v>47</v>
      </c>
      <c r="C52" s="78">
        <f ca="1">INDIRECT("'("&amp;$A$4&amp;"b)'!d48")</f>
        <v>14</v>
      </c>
      <c r="D52" s="78"/>
      <c r="E52" s="78">
        <f ca="1">INDIRECT("'("&amp;$A$4&amp;"b)'!e48")</f>
        <v>5</v>
      </c>
      <c r="F52" s="78">
        <f ca="1">INDIRECT("'("&amp;$A$4&amp;"b)'!f48")</f>
        <v>1</v>
      </c>
      <c r="G52" s="78"/>
      <c r="H52" s="78">
        <f ca="1">INDIRECT("'("&amp;$A$4&amp;"b)'!g48")</f>
        <v>0</v>
      </c>
      <c r="I52" s="78">
        <f ca="1">INDIRECT("'("&amp;$A$4&amp;"b)'!h48")</f>
        <v>0</v>
      </c>
      <c r="J52" s="78"/>
      <c r="K52" s="78">
        <f ca="1">INDIRECT("'("&amp;$A$4&amp;"b)'!i48")</f>
        <v>0</v>
      </c>
      <c r="L52" s="73">
        <f ca="1">INDIRECT("'("&amp;$A$4&amp;"b)'!j48")</f>
        <v>0</v>
      </c>
      <c r="M52" s="62"/>
      <c r="O52" s="74"/>
      <c r="P52" s="74"/>
      <c r="R52" s="74"/>
      <c r="S52" s="74"/>
      <c r="U52" s="76"/>
      <c r="V52" s="76"/>
      <c r="W52" s="76"/>
      <c r="X52" s="76"/>
      <c r="Y52" s="76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</row>
    <row r="53" spans="1:37" s="63" customFormat="1" ht="15" customHeight="1" x14ac:dyDescent="0.35">
      <c r="A53" s="62" t="s">
        <v>51</v>
      </c>
      <c r="B53" s="78">
        <f ca="1">INDIRECT("'("&amp;$A$4&amp;"b)'!C49")</f>
        <v>11</v>
      </c>
      <c r="C53" s="78">
        <f ca="1">INDIRECT("'("&amp;$A$4&amp;"b)'!d49")</f>
        <v>6</v>
      </c>
      <c r="D53" s="78"/>
      <c r="E53" s="78">
        <f ca="1">INDIRECT("'("&amp;$A$4&amp;"b)'!e49")</f>
        <v>3</v>
      </c>
      <c r="F53" s="78">
        <f ca="1">INDIRECT("'("&amp;$A$4&amp;"b)'!f49")</f>
        <v>0</v>
      </c>
      <c r="G53" s="78"/>
      <c r="H53" s="78">
        <f ca="1">INDIRECT("'("&amp;$A$4&amp;"b)'!g49")</f>
        <v>0</v>
      </c>
      <c r="I53" s="78">
        <f ca="1">INDIRECT("'("&amp;$A$4&amp;"b)'!h49")</f>
        <v>0</v>
      </c>
      <c r="J53" s="78"/>
      <c r="K53" s="78">
        <f ca="1">INDIRECT("'("&amp;$A$4&amp;"b)'!i49")</f>
        <v>0</v>
      </c>
      <c r="L53" s="73">
        <f ca="1">INDIRECT("'("&amp;$A$4&amp;"b)'!j49")</f>
        <v>0</v>
      </c>
      <c r="M53" s="62"/>
      <c r="O53" s="74"/>
      <c r="P53" s="74"/>
      <c r="R53" s="74"/>
      <c r="S53" s="74"/>
      <c r="U53" s="76"/>
      <c r="V53" s="76"/>
      <c r="W53" s="76"/>
      <c r="X53" s="76"/>
      <c r="Y53" s="76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</row>
    <row r="54" spans="1:37" s="63" customFormat="1" ht="15" customHeight="1" x14ac:dyDescent="0.35">
      <c r="A54" s="62" t="s">
        <v>52</v>
      </c>
      <c r="B54" s="78">
        <f ca="1">INDIRECT("'("&amp;$A$4&amp;"b)'!C50")</f>
        <v>34</v>
      </c>
      <c r="C54" s="78">
        <f ca="1">INDIRECT("'("&amp;$A$4&amp;"b)'!d50")</f>
        <v>11</v>
      </c>
      <c r="D54" s="78"/>
      <c r="E54" s="78">
        <f ca="1">INDIRECT("'("&amp;$A$4&amp;"b)'!e50")</f>
        <v>4</v>
      </c>
      <c r="F54" s="78">
        <f ca="1">INDIRECT("'("&amp;$A$4&amp;"b)'!f50")</f>
        <v>1</v>
      </c>
      <c r="G54" s="78"/>
      <c r="H54" s="78">
        <f ca="1">INDIRECT("'("&amp;$A$4&amp;"b)'!g50")</f>
        <v>1</v>
      </c>
      <c r="I54" s="78">
        <f ca="1">INDIRECT("'("&amp;$A$4&amp;"b)'!h50")</f>
        <v>0</v>
      </c>
      <c r="J54" s="78"/>
      <c r="K54" s="78">
        <f ca="1">INDIRECT("'("&amp;$A$4&amp;"b)'!i50")</f>
        <v>0</v>
      </c>
      <c r="L54" s="73">
        <f ca="1">INDIRECT("'("&amp;$A$4&amp;"b)'!j50")</f>
        <v>0</v>
      </c>
      <c r="M54" s="62"/>
      <c r="O54" s="74"/>
      <c r="P54" s="74"/>
      <c r="R54" s="74"/>
      <c r="S54" s="74"/>
      <c r="U54" s="76"/>
      <c r="V54" s="76"/>
      <c r="W54" s="76"/>
      <c r="X54" s="76"/>
      <c r="Y54" s="76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</row>
    <row r="55" spans="1:37" s="63" customFormat="1" ht="15" customHeight="1" x14ac:dyDescent="0.35">
      <c r="A55" s="62" t="s">
        <v>53</v>
      </c>
      <c r="B55" s="78">
        <f ca="1">INDIRECT("'("&amp;$A$4&amp;"b)'!C51")</f>
        <v>31</v>
      </c>
      <c r="C55" s="78">
        <f ca="1">INDIRECT("'("&amp;$A$4&amp;"b)'!d51")</f>
        <v>3</v>
      </c>
      <c r="D55" s="78"/>
      <c r="E55" s="78">
        <f ca="1">INDIRECT("'("&amp;$A$4&amp;"b)'!e51")</f>
        <v>0</v>
      </c>
      <c r="F55" s="78">
        <f ca="1">INDIRECT("'("&amp;$A$4&amp;"b)'!f51")</f>
        <v>1</v>
      </c>
      <c r="G55" s="78"/>
      <c r="H55" s="78">
        <f ca="1">INDIRECT("'("&amp;$A$4&amp;"b)'!g51")</f>
        <v>1</v>
      </c>
      <c r="I55" s="78">
        <f ca="1">INDIRECT("'("&amp;$A$4&amp;"b)'!h51")</f>
        <v>0</v>
      </c>
      <c r="J55" s="78"/>
      <c r="K55" s="78">
        <f ca="1">INDIRECT("'("&amp;$A$4&amp;"b)'!i51")</f>
        <v>0</v>
      </c>
      <c r="L55" s="73">
        <f ca="1">INDIRECT("'("&amp;$A$4&amp;"b)'!j51")</f>
        <v>0</v>
      </c>
      <c r="M55" s="62"/>
      <c r="O55" s="74"/>
      <c r="P55" s="74"/>
      <c r="Q55" s="62"/>
      <c r="R55" s="74"/>
      <c r="S55" s="74"/>
      <c r="U55" s="76"/>
      <c r="V55" s="76"/>
      <c r="W55" s="76"/>
      <c r="X55" s="76"/>
      <c r="Y55" s="76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</row>
    <row r="56" spans="1:37" s="63" customFormat="1" ht="15" customHeight="1" thickBot="1" x14ac:dyDescent="0.4">
      <c r="A56" s="81" t="s">
        <v>54</v>
      </c>
      <c r="B56" s="82">
        <f ca="1">INDIRECT("'("&amp;$A$4&amp;"b)'!C52")</f>
        <v>114</v>
      </c>
      <c r="C56" s="82">
        <f ca="1">INDIRECT("'("&amp;$A$4&amp;"b)'!d52")</f>
        <v>53</v>
      </c>
      <c r="D56" s="82"/>
      <c r="E56" s="82">
        <f ca="1">INDIRECT("'("&amp;$A$4&amp;"b)'!e52")</f>
        <v>31</v>
      </c>
      <c r="F56" s="82">
        <f ca="1">INDIRECT("'("&amp;$A$4&amp;"b)'!f52")</f>
        <v>7</v>
      </c>
      <c r="G56" s="82"/>
      <c r="H56" s="82">
        <f ca="1">INDIRECT("'("&amp;$A$4&amp;"b)'!g52")</f>
        <v>3</v>
      </c>
      <c r="I56" s="82">
        <f ca="1">INDIRECT("'("&amp;$A$4&amp;"b)'!h52")</f>
        <v>1</v>
      </c>
      <c r="J56" s="82"/>
      <c r="K56" s="82">
        <f ca="1">INDIRECT("'("&amp;$A$4&amp;"b)'!i52")</f>
        <v>0</v>
      </c>
      <c r="L56" s="83">
        <f ca="1">INDIRECT("'("&amp;$A$4&amp;"b)'!j52")</f>
        <v>0</v>
      </c>
      <c r="M56" s="62"/>
      <c r="O56" s="74"/>
      <c r="P56" s="74"/>
      <c r="Q56" s="62"/>
      <c r="R56" s="74"/>
      <c r="S56" s="74"/>
      <c r="U56" s="76"/>
      <c r="V56" s="76"/>
      <c r="W56" s="76"/>
      <c r="X56" s="76"/>
      <c r="Y56" s="76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</row>
    <row r="57" spans="1:37" s="63" customFormat="1" ht="15" customHeight="1" x14ac:dyDescent="0.3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2"/>
      <c r="N57" s="62"/>
      <c r="O57" s="74"/>
      <c r="P57" s="74"/>
      <c r="Q57" s="62"/>
      <c r="R57" s="74"/>
      <c r="S57" s="74"/>
      <c r="T57" s="74"/>
      <c r="U57" s="74"/>
      <c r="V57" s="74"/>
      <c r="W57" s="74"/>
      <c r="X57" s="74"/>
      <c r="Y57" s="74"/>
    </row>
    <row r="58" spans="1:37" s="63" customFormat="1" ht="15" customHeight="1" x14ac:dyDescent="0.3">
      <c r="A58" s="276"/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62"/>
      <c r="N58" s="62"/>
      <c r="O58" s="74"/>
      <c r="P58" s="74"/>
      <c r="Q58" s="62"/>
      <c r="R58" s="74"/>
      <c r="S58" s="74"/>
      <c r="T58" s="74"/>
      <c r="U58" s="74"/>
      <c r="V58" s="74"/>
      <c r="W58" s="74"/>
      <c r="X58" s="74"/>
      <c r="Y58" s="74"/>
    </row>
    <row r="59" spans="1:37" s="63" customFormat="1" ht="15" customHeight="1" x14ac:dyDescent="0.35">
      <c r="A59" s="8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74"/>
      <c r="P59" s="74"/>
      <c r="Q59" s="62"/>
      <c r="R59" s="74"/>
      <c r="S59" s="74"/>
      <c r="T59" s="74"/>
      <c r="U59" s="74"/>
      <c r="V59" s="74"/>
      <c r="W59" s="74"/>
      <c r="X59" s="74"/>
      <c r="Y59" s="74"/>
    </row>
    <row r="60" spans="1:37" s="63" customFormat="1" x14ac:dyDescent="0.3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2"/>
      <c r="N60" s="62"/>
      <c r="O60" s="74"/>
      <c r="P60" s="74"/>
      <c r="Q60" s="62"/>
      <c r="R60" s="74"/>
      <c r="S60" s="74"/>
      <c r="T60" s="74"/>
      <c r="U60" s="74"/>
      <c r="V60" s="74"/>
      <c r="W60" s="74"/>
      <c r="X60" s="74"/>
      <c r="Y60" s="74"/>
    </row>
    <row r="61" spans="1:37" s="63" customFormat="1" ht="15" customHeight="1" x14ac:dyDescent="0.3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62"/>
      <c r="N61" s="62"/>
      <c r="O61" s="74"/>
      <c r="P61" s="74"/>
      <c r="Q61" s="62"/>
      <c r="R61" s="74"/>
      <c r="S61" s="74"/>
      <c r="T61" s="74"/>
      <c r="U61" s="74"/>
      <c r="V61" s="74"/>
      <c r="W61" s="74"/>
      <c r="X61" s="74"/>
      <c r="Y61" s="74"/>
    </row>
    <row r="62" spans="1:37" s="63" customFormat="1" ht="15" customHeight="1" x14ac:dyDescent="0.3">
      <c r="A62" s="62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Q62" s="62"/>
    </row>
    <row r="63" spans="1:37" s="63" customFormat="1" ht="15" customHeight="1" x14ac:dyDescent="0.35">
      <c r="A63" s="86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Q63" s="62"/>
    </row>
    <row r="64" spans="1:37" s="63" customFormat="1" ht="15" customHeight="1" x14ac:dyDescent="0.35">
      <c r="A64" s="86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Q64" s="62"/>
    </row>
    <row r="65" spans="1:17" s="63" customFormat="1" x14ac:dyDescent="0.3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Q65" s="62"/>
    </row>
    <row r="67" spans="1:17" s="63" customFormat="1" x14ac:dyDescent="0.3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87"/>
      <c r="Q67" s="62"/>
    </row>
    <row r="68" spans="1:17" s="63" customFormat="1" ht="14.5" x14ac:dyDescent="0.35">
      <c r="A68" s="86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87"/>
      <c r="Q68" s="62"/>
    </row>
    <row r="75" spans="1:17" x14ac:dyDescent="0.3">
      <c r="O75" s="62" t="s">
        <v>70</v>
      </c>
      <c r="P75" s="63"/>
    </row>
    <row r="76" spans="1:17" x14ac:dyDescent="0.3">
      <c r="O76" s="62" t="s">
        <v>71</v>
      </c>
    </row>
    <row r="77" spans="1:17" x14ac:dyDescent="0.3">
      <c r="O77" s="62" t="s">
        <v>72</v>
      </c>
    </row>
    <row r="78" spans="1:17" x14ac:dyDescent="0.3">
      <c r="O78" s="62" t="s">
        <v>73</v>
      </c>
    </row>
    <row r="79" spans="1:17" x14ac:dyDescent="0.3">
      <c r="O79" s="62" t="s">
        <v>74</v>
      </c>
    </row>
    <row r="80" spans="1:17" x14ac:dyDescent="0.3">
      <c r="O80" s="62" t="s">
        <v>75</v>
      </c>
    </row>
    <row r="81" spans="15:15" x14ac:dyDescent="0.3">
      <c r="O81" s="62" t="s">
        <v>76</v>
      </c>
    </row>
  </sheetData>
  <mergeCells count="8">
    <mergeCell ref="A1:L1"/>
    <mergeCell ref="A4:I4"/>
    <mergeCell ref="B5:I5"/>
    <mergeCell ref="E7:F7"/>
    <mergeCell ref="H7:I7"/>
    <mergeCell ref="E6:I6"/>
    <mergeCell ref="B6:C7"/>
    <mergeCell ref="K6:L7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rgb="FF00B0F0"/>
  </sheetPr>
  <dimension ref="A1:AF81"/>
  <sheetViews>
    <sheetView workbookViewId="0">
      <selection activeCell="A2" sqref="A2"/>
    </sheetView>
  </sheetViews>
  <sheetFormatPr defaultColWidth="9.26953125" defaultRowHeight="13" x14ac:dyDescent="0.3"/>
  <cols>
    <col min="1" max="1" width="50.7265625" style="62" customWidth="1"/>
    <col min="2" max="2" width="10.7265625" style="62" customWidth="1"/>
    <col min="3" max="3" width="2.7265625" style="62" customWidth="1"/>
    <col min="4" max="5" width="10.7265625" style="62" customWidth="1"/>
    <col min="6" max="6" width="2.7265625" style="62" customWidth="1"/>
    <col min="7" max="7" width="10.7265625" style="62" customWidth="1"/>
    <col min="8" max="8" width="9.26953125" style="62" customWidth="1"/>
    <col min="9" max="10" width="0" style="62" hidden="1" customWidth="1"/>
    <col min="11" max="11" width="9.26953125" style="62" customWidth="1"/>
    <col min="12" max="12" width="10" style="62" bestFit="1" customWidth="1"/>
    <col min="13" max="13" width="11.7265625" style="62" customWidth="1"/>
    <col min="14" max="18" width="9.26953125" style="62"/>
    <col min="19" max="19" width="11" style="62" customWidth="1"/>
    <col min="20" max="16384" width="9.26953125" style="62"/>
  </cols>
  <sheetData>
    <row r="1" spans="1:32" s="61" customFormat="1" ht="37.5" customHeight="1" x14ac:dyDescent="0.5">
      <c r="A1" s="325"/>
      <c r="B1" s="325"/>
      <c r="C1" s="325"/>
      <c r="D1" s="325"/>
      <c r="E1" s="325"/>
      <c r="F1" s="325"/>
      <c r="G1" s="325"/>
      <c r="H1" s="59"/>
      <c r="I1" s="59"/>
      <c r="J1" s="60"/>
      <c r="K1" s="60"/>
    </row>
    <row r="2" spans="1:32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32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2"/>
      <c r="I3" s="62"/>
      <c r="J3" s="62"/>
      <c r="K3" s="62"/>
    </row>
    <row r="4" spans="1:32" s="63" customFormat="1" ht="15" customHeight="1" x14ac:dyDescent="0.3">
      <c r="A4" s="326" t="str">
        <f>FIRE0508c!A4</f>
        <v>2018-19</v>
      </c>
      <c r="B4" s="326"/>
      <c r="C4" s="326"/>
      <c r="D4" s="326"/>
      <c r="E4" s="326"/>
      <c r="F4" s="326"/>
      <c r="G4" s="326"/>
      <c r="H4" s="62"/>
      <c r="I4" s="62"/>
      <c r="J4" s="62"/>
      <c r="K4" s="62"/>
      <c r="L4" s="62"/>
    </row>
    <row r="5" spans="1:32" s="63" customFormat="1" ht="13.5" thickBot="1" x14ac:dyDescent="0.35">
      <c r="A5" s="62"/>
      <c r="B5" s="91"/>
      <c r="C5" s="91"/>
      <c r="D5" s="91"/>
      <c r="E5" s="91"/>
      <c r="F5" s="91"/>
      <c r="G5" s="91"/>
      <c r="H5" s="62"/>
      <c r="I5" s="62"/>
      <c r="J5" s="68"/>
      <c r="K5" s="68"/>
      <c r="M5" s="68"/>
      <c r="N5" s="68"/>
      <c r="P5" s="68"/>
      <c r="Q5" s="68"/>
      <c r="R5" s="68"/>
      <c r="S5" s="68"/>
      <c r="T5" s="68"/>
      <c r="W5" s="69"/>
    </row>
    <row r="6" spans="1:32" s="63" customFormat="1" ht="13.5" thickBot="1" x14ac:dyDescent="0.35">
      <c r="A6" s="62"/>
      <c r="B6" s="323" t="s">
        <v>1</v>
      </c>
      <c r="C6" s="93"/>
      <c r="D6" s="322" t="s">
        <v>77</v>
      </c>
      <c r="E6" s="322"/>
      <c r="F6" s="94"/>
      <c r="G6" s="323" t="s">
        <v>5</v>
      </c>
      <c r="H6" s="62"/>
      <c r="I6" s="62"/>
      <c r="J6" s="68"/>
      <c r="K6" s="68"/>
      <c r="M6" s="68"/>
      <c r="N6" s="68"/>
      <c r="P6" s="68"/>
      <c r="Q6" s="68"/>
      <c r="R6" s="68"/>
      <c r="S6" s="68"/>
      <c r="T6" s="68"/>
      <c r="W6" s="69"/>
    </row>
    <row r="7" spans="1:32" s="72" customFormat="1" ht="39.5" thickBot="1" x14ac:dyDescent="0.35">
      <c r="A7" s="70" t="s">
        <v>67</v>
      </c>
      <c r="B7" s="324"/>
      <c r="C7" s="92"/>
      <c r="D7" s="71" t="s">
        <v>3</v>
      </c>
      <c r="E7" s="71" t="s">
        <v>78</v>
      </c>
      <c r="F7" s="92"/>
      <c r="G7" s="324"/>
      <c r="L7" s="62"/>
    </row>
    <row r="8" spans="1:32" s="63" customFormat="1" ht="15" customHeight="1" x14ac:dyDescent="0.35">
      <c r="A8" s="77" t="s">
        <v>6</v>
      </c>
      <c r="B8" s="73">
        <f ca="1">INDIRECT("'("&amp;$A$4&amp;"c)'!C4")</f>
        <v>966</v>
      </c>
      <c r="C8" s="73"/>
      <c r="D8" s="73">
        <f ca="1">INDIRECT("'("&amp;$A$4&amp;"c)'!d4")</f>
        <v>137</v>
      </c>
      <c r="E8" s="73">
        <f ca="1">INDIRECT("'("&amp;$A$4&amp;"c)'!e4")</f>
        <v>21</v>
      </c>
      <c r="F8" s="73"/>
      <c r="G8" s="73">
        <f ca="1">INDIRECT("'("&amp;$A$4&amp;"c)'!f4")</f>
        <v>0</v>
      </c>
      <c r="H8" s="62"/>
      <c r="J8" s="74"/>
      <c r="K8" s="74"/>
      <c r="M8" s="74"/>
      <c r="N8" s="74"/>
      <c r="P8" s="76"/>
      <c r="Q8" s="76"/>
      <c r="R8" s="76"/>
      <c r="S8" s="76"/>
      <c r="T8" s="76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s="63" customFormat="1" ht="15" customHeight="1" x14ac:dyDescent="0.3">
      <c r="A9" s="89" t="s">
        <v>7</v>
      </c>
      <c r="B9" s="90">
        <f ca="1">INDIRECT("'("&amp;$A$4&amp;"c)'!C5")</f>
        <v>714</v>
      </c>
      <c r="C9" s="90"/>
      <c r="D9" s="90">
        <f ca="1">INDIRECT("'("&amp;$A$4&amp;"c)'!d5")</f>
        <v>107</v>
      </c>
      <c r="E9" s="90">
        <f ca="1">INDIRECT("'("&amp;$A$4&amp;"c)'!e5")</f>
        <v>19</v>
      </c>
      <c r="F9" s="90"/>
      <c r="G9" s="90">
        <f ca="1">INDIRECT("'("&amp;$A$4&amp;"c)'!f5")</f>
        <v>0</v>
      </c>
      <c r="H9" s="62"/>
      <c r="J9" s="74"/>
      <c r="K9" s="74"/>
      <c r="M9" s="74"/>
      <c r="N9" s="74"/>
      <c r="P9" s="76"/>
      <c r="Q9" s="76"/>
      <c r="R9" s="76"/>
      <c r="S9" s="76"/>
      <c r="T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s="63" customFormat="1" ht="15" customHeight="1" x14ac:dyDescent="0.3">
      <c r="A10" s="62" t="s">
        <v>8</v>
      </c>
      <c r="B10" s="78">
        <f ca="1">INDIRECT("'("&amp;$A$4&amp;"c)'!C6")</f>
        <v>19</v>
      </c>
      <c r="C10" s="78"/>
      <c r="D10" s="78">
        <f ca="1">INDIRECT("'("&amp;$A$4&amp;"c)'!d6")</f>
        <v>4</v>
      </c>
      <c r="E10" s="78">
        <f ca="1">INDIRECT("'("&amp;$A$4&amp;"c)'!e6")</f>
        <v>0</v>
      </c>
      <c r="F10" s="78"/>
      <c r="G10" s="78">
        <f ca="1">INDIRECT("'("&amp;$A$4&amp;"c)'!f6")</f>
        <v>0</v>
      </c>
      <c r="H10" s="62"/>
      <c r="J10" s="74"/>
      <c r="K10" s="74"/>
      <c r="M10" s="74"/>
      <c r="N10" s="74"/>
      <c r="P10" s="76"/>
      <c r="Q10" s="76"/>
      <c r="R10" s="76"/>
      <c r="S10" s="76"/>
      <c r="T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s="63" customFormat="1" ht="15" customHeight="1" x14ac:dyDescent="0.3">
      <c r="A11" s="62" t="s">
        <v>9</v>
      </c>
      <c r="B11" s="78">
        <f ca="1">INDIRECT("'("&amp;$A$4&amp;"c)'!C7")</f>
        <v>27</v>
      </c>
      <c r="C11" s="78"/>
      <c r="D11" s="78">
        <f ca="1">INDIRECT("'("&amp;$A$4&amp;"c)'!d7")</f>
        <v>4</v>
      </c>
      <c r="E11" s="78">
        <f ca="1">INDIRECT("'("&amp;$A$4&amp;"c)'!e7")</f>
        <v>1</v>
      </c>
      <c r="F11" s="78"/>
      <c r="G11" s="78">
        <f ca="1">INDIRECT("'("&amp;$A$4&amp;"c)'!f7")</f>
        <v>0</v>
      </c>
      <c r="H11" s="62"/>
      <c r="J11" s="74"/>
      <c r="K11" s="74"/>
      <c r="M11" s="74"/>
      <c r="N11" s="74"/>
      <c r="P11" s="76"/>
      <c r="Q11" s="76"/>
      <c r="R11" s="76"/>
      <c r="S11" s="76"/>
      <c r="T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63" customFormat="1" ht="15" customHeight="1" x14ac:dyDescent="0.3">
      <c r="A12" s="62" t="s">
        <v>10</v>
      </c>
      <c r="B12" s="78">
        <f ca="1">INDIRECT("'("&amp;$A$4&amp;"c)'!C8")</f>
        <v>18</v>
      </c>
      <c r="C12" s="78"/>
      <c r="D12" s="78">
        <f ca="1">INDIRECT("'("&amp;$A$4&amp;"c)'!d8")</f>
        <v>2</v>
      </c>
      <c r="E12" s="78">
        <f ca="1">INDIRECT("'("&amp;$A$4&amp;"c)'!e8")</f>
        <v>1</v>
      </c>
      <c r="F12" s="78"/>
      <c r="G12" s="78">
        <f ca="1">INDIRECT("'("&amp;$A$4&amp;"c)'!f8")</f>
        <v>0</v>
      </c>
      <c r="H12" s="62"/>
      <c r="J12" s="74"/>
      <c r="K12" s="74"/>
      <c r="M12" s="74"/>
      <c r="N12" s="74"/>
      <c r="P12" s="76"/>
      <c r="Q12" s="76"/>
      <c r="R12" s="76"/>
      <c r="S12" s="76"/>
      <c r="T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63" customFormat="1" ht="15" customHeight="1" x14ac:dyDescent="0.3">
      <c r="A13" s="62" t="s">
        <v>11</v>
      </c>
      <c r="B13" s="78">
        <f ca="1">INDIRECT("'("&amp;$A$4&amp;"c)'!C9")</f>
        <v>19</v>
      </c>
      <c r="C13" s="78"/>
      <c r="D13" s="78">
        <f ca="1">INDIRECT("'("&amp;$A$4&amp;"c)'!d9")</f>
        <v>5</v>
      </c>
      <c r="E13" s="78">
        <f ca="1">INDIRECT("'("&amp;$A$4&amp;"c)'!e9")</f>
        <v>0</v>
      </c>
      <c r="F13" s="78"/>
      <c r="G13" s="78">
        <f ca="1">INDIRECT("'("&amp;$A$4&amp;"c)'!f9")</f>
        <v>0</v>
      </c>
      <c r="H13" s="62"/>
      <c r="J13" s="74"/>
      <c r="K13" s="74"/>
      <c r="M13" s="74"/>
      <c r="N13" s="74"/>
      <c r="P13" s="76"/>
      <c r="Q13" s="76"/>
      <c r="R13" s="76"/>
      <c r="S13" s="76"/>
      <c r="T13" s="76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63" customFormat="1" ht="15" customHeight="1" x14ac:dyDescent="0.3">
      <c r="A14" s="62" t="s">
        <v>12</v>
      </c>
      <c r="B14" s="78">
        <f ca="1">INDIRECT("'("&amp;$A$4&amp;"c)'!C10")</f>
        <v>19</v>
      </c>
      <c r="C14" s="78"/>
      <c r="D14" s="78">
        <f ca="1">INDIRECT("'("&amp;$A$4&amp;"c)'!d10")</f>
        <v>2</v>
      </c>
      <c r="E14" s="78">
        <f ca="1">INDIRECT("'("&amp;$A$4&amp;"c)'!e10")</f>
        <v>0</v>
      </c>
      <c r="F14" s="78"/>
      <c r="G14" s="78">
        <f ca="1">INDIRECT("'("&amp;$A$4&amp;"c)'!f10")</f>
        <v>0</v>
      </c>
      <c r="H14" s="62"/>
      <c r="J14" s="74"/>
      <c r="K14" s="74"/>
      <c r="M14" s="74"/>
      <c r="N14" s="74"/>
      <c r="P14" s="76"/>
      <c r="Q14" s="76"/>
      <c r="R14" s="76"/>
      <c r="S14" s="76"/>
      <c r="T14" s="76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63" customFormat="1" ht="15" customHeight="1" x14ac:dyDescent="0.3">
      <c r="A15" s="62" t="s">
        <v>13</v>
      </c>
      <c r="B15" s="78">
        <f ca="1">INDIRECT("'("&amp;$A$4&amp;"c)'!C11")</f>
        <v>7</v>
      </c>
      <c r="C15" s="78"/>
      <c r="D15" s="78">
        <f ca="1">INDIRECT("'("&amp;$A$4&amp;"c)'!d11")</f>
        <v>0</v>
      </c>
      <c r="E15" s="78">
        <f ca="1">INDIRECT("'("&amp;$A$4&amp;"c)'!e11")</f>
        <v>1</v>
      </c>
      <c r="F15" s="78"/>
      <c r="G15" s="78">
        <f ca="1">INDIRECT("'("&amp;$A$4&amp;"c)'!f11")</f>
        <v>0</v>
      </c>
      <c r="H15" s="62"/>
      <c r="J15" s="74"/>
      <c r="K15" s="74"/>
      <c r="M15" s="74"/>
      <c r="N15" s="74"/>
      <c r="P15" s="76"/>
      <c r="Q15" s="76"/>
      <c r="R15" s="76"/>
      <c r="S15" s="76"/>
      <c r="T15" s="76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 s="63" customFormat="1" ht="15" customHeight="1" x14ac:dyDescent="0.3">
      <c r="A16" s="62" t="s">
        <v>14</v>
      </c>
      <c r="B16" s="78">
        <f ca="1">INDIRECT("'("&amp;$A$4&amp;"c)'!C12")</f>
        <v>4</v>
      </c>
      <c r="C16" s="78"/>
      <c r="D16" s="78">
        <f ca="1">INDIRECT("'("&amp;$A$4&amp;"c)'!d12")</f>
        <v>1</v>
      </c>
      <c r="E16" s="78">
        <f ca="1">INDIRECT("'("&amp;$A$4&amp;"c)'!e12")</f>
        <v>1</v>
      </c>
      <c r="F16" s="78"/>
      <c r="G16" s="78">
        <f ca="1">INDIRECT("'("&amp;$A$4&amp;"c)'!f12")</f>
        <v>0</v>
      </c>
      <c r="H16" s="62"/>
      <c r="J16" s="74"/>
      <c r="K16" s="74"/>
      <c r="M16" s="74"/>
      <c r="N16" s="74"/>
      <c r="P16" s="76"/>
      <c r="Q16" s="76"/>
      <c r="R16" s="76"/>
      <c r="S16" s="76"/>
      <c r="T16" s="76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 s="63" customFormat="1" ht="15" customHeight="1" x14ac:dyDescent="0.3">
      <c r="A17" s="62" t="s">
        <v>15</v>
      </c>
      <c r="B17" s="78">
        <f ca="1">INDIRECT("'("&amp;$A$4&amp;"c)'!C13")</f>
        <v>22</v>
      </c>
      <c r="C17" s="78"/>
      <c r="D17" s="78">
        <f ca="1">INDIRECT("'("&amp;$A$4&amp;"c)'!d13")</f>
        <v>2</v>
      </c>
      <c r="E17" s="78">
        <f ca="1">INDIRECT("'("&amp;$A$4&amp;"c)'!e13")</f>
        <v>2</v>
      </c>
      <c r="F17" s="78"/>
      <c r="G17" s="78">
        <f ca="1">INDIRECT("'("&amp;$A$4&amp;"c)'!f13")</f>
        <v>0</v>
      </c>
      <c r="H17" s="62"/>
      <c r="J17" s="74"/>
      <c r="K17" s="74"/>
      <c r="M17" s="74"/>
      <c r="N17" s="74"/>
      <c r="P17" s="76"/>
      <c r="Q17" s="76"/>
      <c r="R17" s="76"/>
      <c r="S17" s="76"/>
      <c r="T17" s="76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 s="63" customFormat="1" ht="15" customHeight="1" x14ac:dyDescent="0.3">
      <c r="A18" s="79" t="s">
        <v>16</v>
      </c>
      <c r="B18" s="78">
        <f ca="1">INDIRECT("'("&amp;$A$4&amp;"c)'!C14")</f>
        <v>12</v>
      </c>
      <c r="C18" s="78"/>
      <c r="D18" s="78">
        <f ca="1">INDIRECT("'("&amp;$A$4&amp;"c)'!d14")</f>
        <v>1</v>
      </c>
      <c r="E18" s="78">
        <f ca="1">INDIRECT("'("&amp;$A$4&amp;"c)'!e14")</f>
        <v>0</v>
      </c>
      <c r="F18" s="78"/>
      <c r="G18" s="78">
        <f ca="1">INDIRECT("'("&amp;$A$4&amp;"c)'!f14")</f>
        <v>0</v>
      </c>
      <c r="H18" s="62"/>
      <c r="J18" s="74"/>
      <c r="K18" s="74"/>
      <c r="M18" s="74"/>
      <c r="N18" s="74"/>
      <c r="P18" s="76"/>
      <c r="Q18" s="76"/>
      <c r="R18" s="76"/>
      <c r="S18" s="76"/>
      <c r="T18" s="76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 s="63" customFormat="1" ht="15" customHeight="1" x14ac:dyDescent="0.3">
      <c r="A19" s="79" t="s">
        <v>17</v>
      </c>
      <c r="B19" s="78">
        <f ca="1">INDIRECT("'("&amp;$A$4&amp;"c)'!C15")</f>
        <v>9</v>
      </c>
      <c r="C19" s="78"/>
      <c r="D19" s="78">
        <f ca="1">INDIRECT("'("&amp;$A$4&amp;"c)'!d15")</f>
        <v>1</v>
      </c>
      <c r="E19" s="78">
        <f ca="1">INDIRECT("'("&amp;$A$4&amp;"c)'!e15")</f>
        <v>1</v>
      </c>
      <c r="F19" s="78"/>
      <c r="G19" s="78">
        <f ca="1">INDIRECT("'("&amp;$A$4&amp;"c)'!f15")</f>
        <v>0</v>
      </c>
      <c r="H19" s="62"/>
      <c r="J19" s="74"/>
      <c r="K19" s="74"/>
      <c r="M19" s="74"/>
      <c r="N19" s="74"/>
      <c r="P19" s="76"/>
      <c r="Q19" s="76"/>
      <c r="R19" s="76"/>
      <c r="S19" s="76"/>
      <c r="T19" s="76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 s="63" customFormat="1" ht="15" customHeight="1" x14ac:dyDescent="0.3">
      <c r="A20" s="62" t="s">
        <v>18</v>
      </c>
      <c r="B20" s="78">
        <f ca="1">INDIRECT("'("&amp;$A$4&amp;"c)'!C16")</f>
        <v>30</v>
      </c>
      <c r="C20" s="78"/>
      <c r="D20" s="78">
        <f ca="1">INDIRECT("'("&amp;$A$4&amp;"c)'!d16")</f>
        <v>5</v>
      </c>
      <c r="E20" s="78">
        <f ca="1">INDIRECT("'("&amp;$A$4&amp;"c)'!e16")</f>
        <v>0</v>
      </c>
      <c r="F20" s="78"/>
      <c r="G20" s="78">
        <f ca="1">INDIRECT("'("&amp;$A$4&amp;"c)'!f16")</f>
        <v>0</v>
      </c>
      <c r="H20" s="62"/>
      <c r="J20" s="74"/>
      <c r="K20" s="74"/>
      <c r="M20" s="74"/>
      <c r="N20" s="74"/>
      <c r="P20" s="76"/>
      <c r="Q20" s="76"/>
      <c r="R20" s="76"/>
      <c r="S20" s="76"/>
      <c r="T20" s="76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 s="63" customFormat="1" ht="15" customHeight="1" x14ac:dyDescent="0.3">
      <c r="A21" s="62" t="s">
        <v>122</v>
      </c>
      <c r="B21" s="78">
        <f ca="1">INDIRECT("'("&amp;$A$4&amp;"c)'!C17")</f>
        <v>28</v>
      </c>
      <c r="C21" s="78"/>
      <c r="D21" s="78">
        <f ca="1">INDIRECT("'("&amp;$A$4&amp;"c)'!d17")</f>
        <v>5</v>
      </c>
      <c r="E21" s="78">
        <f ca="1">INDIRECT("'("&amp;$A$4&amp;"c)'!e17")</f>
        <v>0</v>
      </c>
      <c r="F21" s="78"/>
      <c r="G21" s="78">
        <f ca="1">INDIRECT("'("&amp;$A$4&amp;"c)'!f17")</f>
        <v>0</v>
      </c>
      <c r="H21" s="62"/>
      <c r="J21" s="74"/>
      <c r="K21" s="74"/>
      <c r="M21" s="74"/>
      <c r="N21" s="74"/>
      <c r="P21" s="76"/>
      <c r="Q21" s="76"/>
      <c r="R21" s="76"/>
      <c r="S21" s="76"/>
      <c r="T21" s="76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 s="63" customFormat="1" ht="15" customHeight="1" x14ac:dyDescent="0.3">
      <c r="A22" s="62" t="s">
        <v>20</v>
      </c>
      <c r="B22" s="78">
        <f ca="1">INDIRECT("'("&amp;$A$4&amp;"c)'!C18")</f>
        <v>4</v>
      </c>
      <c r="C22" s="78"/>
      <c r="D22" s="78">
        <f ca="1">INDIRECT("'("&amp;$A$4&amp;"c)'!d18")</f>
        <v>1</v>
      </c>
      <c r="E22" s="78">
        <f ca="1">INDIRECT("'("&amp;$A$4&amp;"c)'!e18")</f>
        <v>0</v>
      </c>
      <c r="F22" s="78"/>
      <c r="G22" s="78">
        <f ca="1">INDIRECT("'("&amp;$A$4&amp;"c)'!f18")</f>
        <v>0</v>
      </c>
      <c r="H22" s="62"/>
      <c r="J22" s="74"/>
      <c r="K22" s="74"/>
      <c r="M22" s="74"/>
      <c r="N22" s="74"/>
      <c r="P22" s="76"/>
      <c r="Q22" s="76"/>
      <c r="R22" s="76"/>
      <c r="S22" s="76"/>
      <c r="T22" s="76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s="63" customFormat="1" ht="15" customHeight="1" x14ac:dyDescent="0.3">
      <c r="A23" s="62" t="s">
        <v>21</v>
      </c>
      <c r="B23" s="78">
        <f ca="1">INDIRECT("'("&amp;$A$4&amp;"c)'!C19")</f>
        <v>19</v>
      </c>
      <c r="C23" s="78"/>
      <c r="D23" s="78">
        <f ca="1">INDIRECT("'("&amp;$A$4&amp;"c)'!d19")</f>
        <v>0</v>
      </c>
      <c r="E23" s="78">
        <f ca="1">INDIRECT("'("&amp;$A$4&amp;"c)'!e19")</f>
        <v>0</v>
      </c>
      <c r="F23" s="78"/>
      <c r="G23" s="78">
        <f ca="1">INDIRECT("'("&amp;$A$4&amp;"c)'!f19")</f>
        <v>0</v>
      </c>
      <c r="H23" s="62"/>
      <c r="J23" s="74"/>
      <c r="K23" s="74"/>
      <c r="M23" s="74"/>
      <c r="N23" s="74"/>
      <c r="P23" s="76"/>
      <c r="Q23" s="76"/>
      <c r="R23" s="76"/>
      <c r="S23" s="76"/>
      <c r="T23" s="76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s="63" customFormat="1" ht="15" customHeight="1" x14ac:dyDescent="0.3">
      <c r="A24" s="62" t="s">
        <v>22</v>
      </c>
      <c r="B24" s="78">
        <f ca="1">INDIRECT("'("&amp;$A$4&amp;"c)'!C20")</f>
        <v>35</v>
      </c>
      <c r="C24" s="78"/>
      <c r="D24" s="78">
        <f ca="1">INDIRECT("'("&amp;$A$4&amp;"c)'!d20")</f>
        <v>9</v>
      </c>
      <c r="E24" s="78">
        <f ca="1">INDIRECT("'("&amp;$A$4&amp;"c)'!e20")</f>
        <v>1</v>
      </c>
      <c r="F24" s="78"/>
      <c r="G24" s="78">
        <f ca="1">INDIRECT("'("&amp;$A$4&amp;"c)'!f20")</f>
        <v>0</v>
      </c>
      <c r="H24" s="62"/>
      <c r="J24" s="74"/>
      <c r="K24" s="74"/>
      <c r="M24" s="74"/>
      <c r="N24" s="74"/>
      <c r="P24" s="76"/>
      <c r="Q24" s="76"/>
      <c r="R24" s="76"/>
      <c r="S24" s="76"/>
      <c r="T24" s="76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s="63" customFormat="1" ht="15" customHeight="1" x14ac:dyDescent="0.3">
      <c r="A25" s="62" t="s">
        <v>23</v>
      </c>
      <c r="B25" s="78">
        <f ca="1">INDIRECT("'("&amp;$A$4&amp;"c)'!C21")</f>
        <v>14</v>
      </c>
      <c r="C25" s="78"/>
      <c r="D25" s="78">
        <f ca="1">INDIRECT("'("&amp;$A$4&amp;"c)'!d21")</f>
        <v>0</v>
      </c>
      <c r="E25" s="78">
        <f ca="1">INDIRECT("'("&amp;$A$4&amp;"c)'!e21")</f>
        <v>2</v>
      </c>
      <c r="F25" s="78"/>
      <c r="G25" s="78">
        <f ca="1">INDIRECT("'("&amp;$A$4&amp;"c)'!f21")</f>
        <v>0</v>
      </c>
      <c r="H25" s="62"/>
      <c r="J25" s="74"/>
      <c r="K25" s="74"/>
      <c r="M25" s="74"/>
      <c r="N25" s="74"/>
      <c r="P25" s="76"/>
      <c r="Q25" s="76"/>
      <c r="R25" s="76"/>
      <c r="S25" s="76"/>
      <c r="T25" s="76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s="63" customFormat="1" ht="15" customHeight="1" x14ac:dyDescent="0.3">
      <c r="A26" s="62" t="s">
        <v>24</v>
      </c>
      <c r="B26" s="78">
        <f ca="1">INDIRECT("'("&amp;$A$4&amp;"c)'!C22")</f>
        <v>25</v>
      </c>
      <c r="C26" s="78"/>
      <c r="D26" s="78">
        <f ca="1">INDIRECT("'("&amp;$A$4&amp;"c)'!d22")</f>
        <v>4</v>
      </c>
      <c r="E26" s="78">
        <f ca="1">INDIRECT("'("&amp;$A$4&amp;"c)'!e22")</f>
        <v>1</v>
      </c>
      <c r="F26" s="78"/>
      <c r="G26" s="78">
        <f ca="1">INDIRECT("'("&amp;$A$4&amp;"c)'!f22")</f>
        <v>0</v>
      </c>
      <c r="H26" s="62"/>
      <c r="J26" s="74"/>
      <c r="K26" s="74"/>
      <c r="M26" s="74"/>
      <c r="N26" s="74"/>
      <c r="P26" s="76"/>
      <c r="Q26" s="76"/>
      <c r="R26" s="76"/>
      <c r="S26" s="76"/>
      <c r="T26" s="76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s="63" customFormat="1" ht="15" customHeight="1" x14ac:dyDescent="0.3">
      <c r="A27" s="62" t="s">
        <v>25</v>
      </c>
      <c r="B27" s="78">
        <f ca="1">INDIRECT("'("&amp;$A$4&amp;"c)'!C23")</f>
        <v>51</v>
      </c>
      <c r="C27" s="78"/>
      <c r="D27" s="78">
        <f ca="1">INDIRECT("'("&amp;$A$4&amp;"c)'!d23")</f>
        <v>7</v>
      </c>
      <c r="E27" s="78">
        <f ca="1">INDIRECT("'("&amp;$A$4&amp;"c)'!e23")</f>
        <v>1</v>
      </c>
      <c r="F27" s="78"/>
      <c r="G27" s="78">
        <f ca="1">INDIRECT("'("&amp;$A$4&amp;"c)'!f23")</f>
        <v>0</v>
      </c>
      <c r="H27" s="62"/>
      <c r="J27" s="74"/>
      <c r="K27" s="74"/>
      <c r="M27" s="74"/>
      <c r="N27" s="74"/>
      <c r="P27" s="76"/>
      <c r="Q27" s="76"/>
      <c r="R27" s="76"/>
      <c r="S27" s="76"/>
      <c r="T27" s="76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s="63" customFormat="1" ht="15" customHeight="1" x14ac:dyDescent="0.3">
      <c r="A28" s="62" t="s">
        <v>26</v>
      </c>
      <c r="B28" s="78">
        <f ca="1">INDIRECT("'("&amp;$A$4&amp;"c)'!C24")</f>
        <v>22</v>
      </c>
      <c r="C28" s="78"/>
      <c r="D28" s="78">
        <f ca="1">INDIRECT("'("&amp;$A$4&amp;"c)'!d24")</f>
        <v>8</v>
      </c>
      <c r="E28" s="78">
        <f ca="1">INDIRECT("'("&amp;$A$4&amp;"c)'!e24")</f>
        <v>1</v>
      </c>
      <c r="F28" s="78"/>
      <c r="G28" s="78">
        <f ca="1">INDIRECT("'("&amp;$A$4&amp;"c)'!f24")</f>
        <v>0</v>
      </c>
      <c r="H28" s="62"/>
      <c r="J28" s="74"/>
      <c r="K28" s="74"/>
      <c r="M28" s="74"/>
      <c r="N28" s="74"/>
      <c r="P28" s="76"/>
      <c r="Q28" s="76"/>
      <c r="R28" s="76"/>
      <c r="S28" s="76"/>
      <c r="T28" s="76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s="63" customFormat="1" ht="15" customHeight="1" x14ac:dyDescent="0.3">
      <c r="A29" s="62" t="s">
        <v>27</v>
      </c>
      <c r="B29" s="78">
        <f ca="1">INDIRECT("'("&amp;$A$4&amp;"c)'!C25")</f>
        <v>51</v>
      </c>
      <c r="C29" s="78"/>
      <c r="D29" s="78">
        <f ca="1">INDIRECT("'("&amp;$A$4&amp;"c)'!d25")</f>
        <v>5</v>
      </c>
      <c r="E29" s="78">
        <f ca="1">INDIRECT("'("&amp;$A$4&amp;"c)'!e25")</f>
        <v>1</v>
      </c>
      <c r="F29" s="78"/>
      <c r="G29" s="78">
        <f ca="1">INDIRECT("'("&amp;$A$4&amp;"c)'!f25")</f>
        <v>0</v>
      </c>
      <c r="H29" s="62"/>
      <c r="J29" s="74"/>
      <c r="K29" s="74"/>
      <c r="M29" s="74"/>
      <c r="N29" s="74"/>
      <c r="P29" s="76"/>
      <c r="Q29" s="76"/>
      <c r="R29" s="76"/>
      <c r="S29" s="76"/>
      <c r="T29" s="76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s="63" customFormat="1" ht="15" customHeight="1" x14ac:dyDescent="0.3">
      <c r="A30" s="63" t="s">
        <v>28</v>
      </c>
      <c r="B30" s="78">
        <f ca="1">INDIRECT("'("&amp;$A$4&amp;"c)'!C26")</f>
        <v>3</v>
      </c>
      <c r="C30" s="78"/>
      <c r="D30" s="78">
        <f ca="1">INDIRECT("'("&amp;$A$4&amp;"c)'!d26")</f>
        <v>0</v>
      </c>
      <c r="E30" s="78">
        <f ca="1">INDIRECT("'("&amp;$A$4&amp;"c)'!e26")</f>
        <v>0</v>
      </c>
      <c r="F30" s="78"/>
      <c r="G30" s="78">
        <f ca="1">INDIRECT("'("&amp;$A$4&amp;"c)'!f26")</f>
        <v>0</v>
      </c>
      <c r="H30" s="62"/>
      <c r="J30" s="74"/>
      <c r="K30" s="74"/>
      <c r="M30" s="74"/>
      <c r="N30" s="74"/>
      <c r="P30" s="76"/>
      <c r="Q30" s="76"/>
      <c r="R30" s="76"/>
      <c r="S30" s="76"/>
      <c r="T30" s="76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s="63" customFormat="1" ht="15" customHeight="1" x14ac:dyDescent="0.3">
      <c r="A31" s="63" t="s">
        <v>29</v>
      </c>
      <c r="B31" s="78">
        <f ca="1">INDIRECT("'("&amp;$A$4&amp;"c)'!C27")</f>
        <v>16</v>
      </c>
      <c r="C31" s="78"/>
      <c r="D31" s="78">
        <f ca="1">INDIRECT("'("&amp;$A$4&amp;"c)'!d27")</f>
        <v>0</v>
      </c>
      <c r="E31" s="78">
        <f ca="1">INDIRECT("'("&amp;$A$4&amp;"c)'!e27")</f>
        <v>0</v>
      </c>
      <c r="F31" s="78"/>
      <c r="G31" s="78">
        <f ca="1">INDIRECT("'("&amp;$A$4&amp;"c)'!f27")</f>
        <v>0</v>
      </c>
      <c r="H31" s="62"/>
      <c r="J31" s="74"/>
      <c r="K31" s="74"/>
      <c r="M31" s="74"/>
      <c r="N31" s="74"/>
      <c r="P31" s="76"/>
      <c r="Q31" s="76"/>
      <c r="R31" s="76"/>
      <c r="S31" s="76"/>
      <c r="T31" s="76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s="63" customFormat="1" ht="15" customHeight="1" x14ac:dyDescent="0.3">
      <c r="A32" s="62" t="s">
        <v>30</v>
      </c>
      <c r="B32" s="78">
        <f ca="1">INDIRECT("'("&amp;$A$4&amp;"c)'!C28")</f>
        <v>18</v>
      </c>
      <c r="C32" s="78"/>
      <c r="D32" s="78">
        <f ca="1">INDIRECT("'("&amp;$A$4&amp;"c)'!d28")</f>
        <v>4</v>
      </c>
      <c r="E32" s="78">
        <f ca="1">INDIRECT("'("&amp;$A$4&amp;"c)'!e28")</f>
        <v>0</v>
      </c>
      <c r="F32" s="78"/>
      <c r="G32" s="78">
        <f ca="1">INDIRECT("'("&amp;$A$4&amp;"c)'!f28")</f>
        <v>0</v>
      </c>
      <c r="H32" s="62"/>
      <c r="J32" s="74"/>
      <c r="K32" s="74"/>
      <c r="M32" s="74"/>
      <c r="N32" s="74"/>
      <c r="P32" s="76"/>
      <c r="Q32" s="76"/>
      <c r="R32" s="76"/>
      <c r="S32" s="76"/>
      <c r="T32" s="76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s="63" customFormat="1" ht="15" customHeight="1" x14ac:dyDescent="0.3">
      <c r="A33" s="63" t="s">
        <v>31</v>
      </c>
      <c r="B33" s="78">
        <f ca="1">INDIRECT("'("&amp;$A$4&amp;"c)'!C29")</f>
        <v>14</v>
      </c>
      <c r="C33" s="78"/>
      <c r="D33" s="78">
        <f ca="1">INDIRECT("'("&amp;$A$4&amp;"c)'!d29")</f>
        <v>4</v>
      </c>
      <c r="E33" s="78">
        <f ca="1">INDIRECT("'("&amp;$A$4&amp;"c)'!e29")</f>
        <v>0</v>
      </c>
      <c r="F33" s="78"/>
      <c r="G33" s="78">
        <f ca="1">INDIRECT("'("&amp;$A$4&amp;"c)'!f29")</f>
        <v>0</v>
      </c>
      <c r="H33" s="62"/>
      <c r="J33" s="74"/>
      <c r="K33" s="74"/>
      <c r="M33" s="74"/>
      <c r="N33" s="74"/>
      <c r="P33" s="76"/>
      <c r="Q33" s="76"/>
      <c r="R33" s="76"/>
      <c r="S33" s="76"/>
      <c r="T33" s="76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s="63" customFormat="1" ht="15" customHeight="1" x14ac:dyDescent="0.3">
      <c r="A34" s="63" t="s">
        <v>32</v>
      </c>
      <c r="B34" s="78">
        <f ca="1">INDIRECT("'("&amp;$A$4&amp;"c)'!C30")</f>
        <v>22</v>
      </c>
      <c r="C34" s="78"/>
      <c r="D34" s="78">
        <f ca="1">INDIRECT("'("&amp;$A$4&amp;"c)'!d30")</f>
        <v>1</v>
      </c>
      <c r="E34" s="78">
        <f ca="1">INDIRECT("'("&amp;$A$4&amp;"c)'!e30")</f>
        <v>2</v>
      </c>
      <c r="F34" s="78"/>
      <c r="G34" s="78">
        <f ca="1">INDIRECT("'("&amp;$A$4&amp;"c)'!f30")</f>
        <v>0</v>
      </c>
      <c r="H34" s="62"/>
      <c r="J34" s="74"/>
      <c r="K34" s="74"/>
      <c r="M34" s="74"/>
      <c r="N34" s="74"/>
      <c r="P34" s="76"/>
      <c r="Q34" s="76"/>
      <c r="R34" s="76"/>
      <c r="S34" s="76"/>
      <c r="T34" s="76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s="63" customFormat="1" ht="15" customHeight="1" x14ac:dyDescent="0.3">
      <c r="A35" s="62" t="s">
        <v>33</v>
      </c>
      <c r="B35" s="78">
        <f ca="1">INDIRECT("'("&amp;$A$4&amp;"c)'!C31")</f>
        <v>26</v>
      </c>
      <c r="C35" s="78"/>
      <c r="D35" s="78">
        <f ca="1">INDIRECT("'("&amp;$A$4&amp;"c)'!d31")</f>
        <v>2</v>
      </c>
      <c r="E35" s="78">
        <f ca="1">INDIRECT("'("&amp;$A$4&amp;"c)'!e31")</f>
        <v>0</v>
      </c>
      <c r="F35" s="78"/>
      <c r="G35" s="78">
        <f ca="1">INDIRECT("'("&amp;$A$4&amp;"c)'!f31")</f>
        <v>0</v>
      </c>
      <c r="H35" s="62"/>
      <c r="J35" s="74"/>
      <c r="K35" s="74"/>
      <c r="M35" s="74"/>
      <c r="N35" s="74"/>
      <c r="P35" s="76"/>
      <c r="Q35" s="76"/>
      <c r="R35" s="76"/>
      <c r="S35" s="76"/>
      <c r="T35" s="76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s="63" customFormat="1" ht="15" customHeight="1" x14ac:dyDescent="0.3">
      <c r="A36" s="63" t="s">
        <v>34</v>
      </c>
      <c r="B36" s="78">
        <f ca="1">INDIRECT("'("&amp;$A$4&amp;"c)'!C32")</f>
        <v>34</v>
      </c>
      <c r="C36" s="78"/>
      <c r="D36" s="78">
        <f ca="1">INDIRECT("'("&amp;$A$4&amp;"c)'!d32")</f>
        <v>8</v>
      </c>
      <c r="E36" s="78">
        <f ca="1">INDIRECT("'("&amp;$A$4&amp;"c)'!e32")</f>
        <v>1</v>
      </c>
      <c r="F36" s="78"/>
      <c r="G36" s="78">
        <f ca="1">INDIRECT("'("&amp;$A$4&amp;"c)'!f32")</f>
        <v>0</v>
      </c>
      <c r="H36" s="62"/>
      <c r="J36" s="74"/>
      <c r="K36" s="74"/>
      <c r="M36" s="74"/>
      <c r="N36" s="74"/>
      <c r="P36" s="76"/>
      <c r="Q36" s="76"/>
      <c r="R36" s="76"/>
      <c r="S36" s="76"/>
      <c r="T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s="63" customFormat="1" ht="15" customHeight="1" x14ac:dyDescent="0.3">
      <c r="A37" s="63" t="s">
        <v>35</v>
      </c>
      <c r="B37" s="78">
        <f ca="1">INDIRECT("'("&amp;$A$4&amp;"c)'!C33")</f>
        <v>20</v>
      </c>
      <c r="C37" s="78"/>
      <c r="D37" s="78">
        <f ca="1">INDIRECT("'("&amp;$A$4&amp;"c)'!d33")</f>
        <v>1</v>
      </c>
      <c r="E37" s="78">
        <f ca="1">INDIRECT("'("&amp;$A$4&amp;"c)'!e33")</f>
        <v>0</v>
      </c>
      <c r="F37" s="78"/>
      <c r="G37" s="78">
        <f ca="1">INDIRECT("'("&amp;$A$4&amp;"c)'!f33")</f>
        <v>0</v>
      </c>
      <c r="H37" s="62"/>
      <c r="J37" s="74"/>
      <c r="K37" s="74"/>
      <c r="M37" s="74"/>
      <c r="N37" s="74"/>
      <c r="P37" s="76"/>
      <c r="Q37" s="76"/>
      <c r="R37" s="76"/>
      <c r="S37" s="76"/>
      <c r="T37" s="76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s="63" customFormat="1" ht="15" customHeight="1" x14ac:dyDescent="0.3">
      <c r="A38" s="63" t="s">
        <v>36</v>
      </c>
      <c r="B38" s="78">
        <f ca="1">INDIRECT("'("&amp;$A$4&amp;"c)'!C34")</f>
        <v>7</v>
      </c>
      <c r="C38" s="78"/>
      <c r="D38" s="78">
        <f ca="1">INDIRECT("'("&amp;$A$4&amp;"c)'!d34")</f>
        <v>2</v>
      </c>
      <c r="E38" s="78">
        <f ca="1">INDIRECT("'("&amp;$A$4&amp;"c)'!e34")</f>
        <v>0</v>
      </c>
      <c r="F38" s="78"/>
      <c r="G38" s="78">
        <f ca="1">INDIRECT("'("&amp;$A$4&amp;"c)'!f34")</f>
        <v>0</v>
      </c>
      <c r="H38" s="62"/>
      <c r="J38" s="74"/>
      <c r="K38" s="74"/>
      <c r="M38" s="74"/>
      <c r="N38" s="74"/>
      <c r="P38" s="76"/>
      <c r="Q38" s="76"/>
      <c r="R38" s="76"/>
      <c r="S38" s="76"/>
      <c r="T38" s="76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s="63" customFormat="1" ht="15" customHeight="1" x14ac:dyDescent="0.3">
      <c r="A39" s="62" t="s">
        <v>37</v>
      </c>
      <c r="B39" s="78">
        <f ca="1">INDIRECT("'("&amp;$A$4&amp;"c)'!C35")</f>
        <v>18</v>
      </c>
      <c r="C39" s="78"/>
      <c r="D39" s="78">
        <f ca="1">INDIRECT("'("&amp;$A$4&amp;"c)'!d35")</f>
        <v>2</v>
      </c>
      <c r="E39" s="78">
        <f ca="1">INDIRECT("'("&amp;$A$4&amp;"c)'!e35")</f>
        <v>0</v>
      </c>
      <c r="F39" s="78"/>
      <c r="G39" s="78">
        <f ca="1">INDIRECT("'("&amp;$A$4&amp;"c)'!f35")</f>
        <v>0</v>
      </c>
      <c r="H39" s="62"/>
      <c r="J39" s="74"/>
      <c r="K39" s="74"/>
      <c r="M39" s="74"/>
      <c r="N39" s="74"/>
      <c r="P39" s="76"/>
      <c r="Q39" s="76"/>
      <c r="R39" s="76"/>
      <c r="S39" s="76"/>
      <c r="T39" s="76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s="63" customFormat="1" ht="15" customHeight="1" x14ac:dyDescent="0.3">
      <c r="A40" s="62" t="s">
        <v>38</v>
      </c>
      <c r="B40" s="78">
        <f ca="1">INDIRECT("'("&amp;$A$4&amp;"c)'!C36")</f>
        <v>22</v>
      </c>
      <c r="C40" s="78"/>
      <c r="D40" s="78">
        <f ca="1">INDIRECT("'("&amp;$A$4&amp;"c)'!d36")</f>
        <v>3</v>
      </c>
      <c r="E40" s="78">
        <f ca="1">INDIRECT("'("&amp;$A$4&amp;"c)'!e36")</f>
        <v>2</v>
      </c>
      <c r="F40" s="78"/>
      <c r="G40" s="78">
        <f ca="1">INDIRECT("'("&amp;$A$4&amp;"c)'!f36")</f>
        <v>0</v>
      </c>
      <c r="H40" s="62"/>
      <c r="J40" s="74"/>
      <c r="K40" s="74"/>
      <c r="M40" s="74"/>
      <c r="N40" s="74"/>
      <c r="P40" s="76"/>
      <c r="Q40" s="76"/>
      <c r="R40" s="76"/>
      <c r="S40" s="76"/>
      <c r="T40" s="76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s="63" customFormat="1" ht="15" customHeight="1" x14ac:dyDescent="0.3">
      <c r="A41" s="62" t="s">
        <v>39</v>
      </c>
      <c r="B41" s="78">
        <f ca="1">INDIRECT("'("&amp;$A$4&amp;"c)'!C37")</f>
        <v>6</v>
      </c>
      <c r="C41" s="78"/>
      <c r="D41" s="78">
        <f ca="1">INDIRECT("'("&amp;$A$4&amp;"c)'!d37")</f>
        <v>0</v>
      </c>
      <c r="E41" s="78">
        <f ca="1">INDIRECT("'("&amp;$A$4&amp;"c)'!e37")</f>
        <v>0</v>
      </c>
      <c r="F41" s="78"/>
      <c r="G41" s="78">
        <f ca="1">INDIRECT("'("&amp;$A$4&amp;"c)'!f37")</f>
        <v>0</v>
      </c>
      <c r="H41" s="62"/>
      <c r="J41" s="74"/>
      <c r="K41" s="74"/>
      <c r="M41" s="74"/>
      <c r="N41" s="74"/>
      <c r="P41" s="76"/>
      <c r="Q41" s="76"/>
      <c r="R41" s="76"/>
      <c r="S41" s="76"/>
      <c r="T41" s="76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s="63" customFormat="1" ht="15" customHeight="1" x14ac:dyDescent="0.3">
      <c r="A42" s="62" t="s">
        <v>40</v>
      </c>
      <c r="B42" s="78">
        <f ca="1">INDIRECT("'("&amp;$A$4&amp;"c)'!C38")</f>
        <v>18</v>
      </c>
      <c r="C42" s="78"/>
      <c r="D42" s="78">
        <f ca="1">INDIRECT("'("&amp;$A$4&amp;"c)'!d38")</f>
        <v>4</v>
      </c>
      <c r="E42" s="78">
        <f ca="1">INDIRECT("'("&amp;$A$4&amp;"c)'!e38")</f>
        <v>0</v>
      </c>
      <c r="F42" s="78"/>
      <c r="G42" s="78">
        <f ca="1">INDIRECT("'("&amp;$A$4&amp;"c)'!f38")</f>
        <v>0</v>
      </c>
      <c r="H42" s="62"/>
      <c r="J42" s="74"/>
      <c r="K42" s="74"/>
      <c r="M42" s="74"/>
      <c r="N42" s="74"/>
      <c r="P42" s="76"/>
      <c r="Q42" s="76"/>
      <c r="R42" s="76"/>
      <c r="S42" s="76"/>
      <c r="T42" s="76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s="63" customFormat="1" ht="15" customHeight="1" x14ac:dyDescent="0.3">
      <c r="A43" s="62" t="s">
        <v>41</v>
      </c>
      <c r="B43" s="78">
        <f ca="1">INDIRECT("'("&amp;$A$4&amp;"c)'!C39")</f>
        <v>13</v>
      </c>
      <c r="C43" s="78"/>
      <c r="D43" s="78">
        <f ca="1">INDIRECT("'("&amp;$A$4&amp;"c)'!d39")</f>
        <v>2</v>
      </c>
      <c r="E43" s="78">
        <f ca="1">INDIRECT("'("&amp;$A$4&amp;"c)'!e39")</f>
        <v>0</v>
      </c>
      <c r="F43" s="78"/>
      <c r="G43" s="78">
        <f ca="1">INDIRECT("'("&amp;$A$4&amp;"c)'!f39")</f>
        <v>0</v>
      </c>
      <c r="H43" s="62"/>
      <c r="J43" s="74"/>
      <c r="K43" s="74"/>
      <c r="M43" s="74"/>
      <c r="N43" s="74"/>
      <c r="P43" s="76"/>
      <c r="Q43" s="76"/>
      <c r="R43" s="76"/>
      <c r="S43" s="76"/>
      <c r="T43" s="76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 s="63" customFormat="1" ht="15" customHeight="1" x14ac:dyDescent="0.3">
      <c r="A44" s="62" t="s">
        <v>42</v>
      </c>
      <c r="B44" s="78">
        <f ca="1">INDIRECT("'("&amp;$A$4&amp;"c)'!C40")</f>
        <v>17</v>
      </c>
      <c r="C44" s="78"/>
      <c r="D44" s="78">
        <f ca="1">INDIRECT("'("&amp;$A$4&amp;"c)'!d40")</f>
        <v>6</v>
      </c>
      <c r="E44" s="78">
        <f ca="1">INDIRECT("'("&amp;$A$4&amp;"c)'!e40")</f>
        <v>0</v>
      </c>
      <c r="F44" s="78"/>
      <c r="G44" s="78">
        <f ca="1">INDIRECT("'("&amp;$A$4&amp;"c)'!f40")</f>
        <v>0</v>
      </c>
      <c r="H44" s="62"/>
      <c r="J44" s="74"/>
      <c r="K44" s="74"/>
      <c r="M44" s="74"/>
      <c r="N44" s="74"/>
      <c r="P44" s="76"/>
      <c r="Q44" s="76"/>
      <c r="R44" s="76"/>
      <c r="S44" s="76"/>
      <c r="T44" s="7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 s="63" customFormat="1" ht="15" customHeight="1" x14ac:dyDescent="0.3">
      <c r="A45" s="62" t="s">
        <v>43</v>
      </c>
      <c r="B45" s="78">
        <f ca="1">INDIRECT("'("&amp;$A$4&amp;"c)'!C41")</f>
        <v>10</v>
      </c>
      <c r="C45" s="78"/>
      <c r="D45" s="78">
        <f ca="1">INDIRECT("'("&amp;$A$4&amp;"c)'!d41")</f>
        <v>0</v>
      </c>
      <c r="E45" s="78">
        <f ca="1">INDIRECT("'("&amp;$A$4&amp;"c)'!e41")</f>
        <v>0</v>
      </c>
      <c r="F45" s="78"/>
      <c r="G45" s="78">
        <f ca="1">INDIRECT("'("&amp;$A$4&amp;"c)'!f41")</f>
        <v>0</v>
      </c>
      <c r="H45" s="62"/>
      <c r="J45" s="74"/>
      <c r="K45" s="74"/>
      <c r="M45" s="74"/>
      <c r="N45" s="74"/>
      <c r="P45" s="76"/>
      <c r="Q45" s="76"/>
      <c r="R45" s="76"/>
      <c r="S45" s="76"/>
      <c r="T45" s="7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 s="63" customFormat="1" ht="15" customHeight="1" x14ac:dyDescent="0.3">
      <c r="A46" s="62" t="s">
        <v>44</v>
      </c>
      <c r="B46" s="78">
        <f ca="1">INDIRECT("'("&amp;$A$4&amp;"c)'!C42")</f>
        <v>15</v>
      </c>
      <c r="C46" s="78"/>
      <c r="D46" s="78">
        <f ca="1">INDIRECT("'("&amp;$A$4&amp;"c)'!d42")</f>
        <v>2</v>
      </c>
      <c r="E46" s="78">
        <f ca="1">INDIRECT("'("&amp;$A$4&amp;"c)'!e42")</f>
        <v>0</v>
      </c>
      <c r="F46" s="78"/>
      <c r="G46" s="78">
        <f ca="1">INDIRECT("'("&amp;$A$4&amp;"c)'!f42")</f>
        <v>0</v>
      </c>
      <c r="H46" s="62"/>
      <c r="J46" s="74"/>
      <c r="K46" s="74"/>
      <c r="M46" s="74"/>
      <c r="N46" s="74"/>
      <c r="P46" s="76"/>
      <c r="Q46" s="76"/>
      <c r="R46" s="76"/>
      <c r="S46" s="76"/>
      <c r="T46" s="76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 s="63" customFormat="1" ht="15" customHeight="1" x14ac:dyDescent="0.3">
      <c r="A47" s="62" t="s">
        <v>46</v>
      </c>
      <c r="B47" s="78">
        <f ca="1">INDIRECT("'("&amp;$A$4&amp;"c)'!C43")</f>
        <v>0</v>
      </c>
      <c r="C47" s="78"/>
      <c r="D47" s="78">
        <f ca="1">INDIRECT("'("&amp;$A$4&amp;"c)'!d43")</f>
        <v>0</v>
      </c>
      <c r="E47" s="78">
        <f ca="1">INDIRECT("'("&amp;$A$4&amp;"c)'!e43")</f>
        <v>0</v>
      </c>
      <c r="F47" s="78"/>
      <c r="G47" s="78">
        <f ca="1">INDIRECT("'("&amp;$A$4&amp;"c)'!f43")</f>
        <v>0</v>
      </c>
      <c r="H47" s="62"/>
      <c r="J47" s="74"/>
      <c r="K47" s="74"/>
      <c r="M47" s="74"/>
      <c r="N47" s="74"/>
      <c r="P47" s="76"/>
      <c r="Q47" s="76"/>
      <c r="R47" s="76"/>
      <c r="S47" s="76"/>
      <c r="T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 s="63" customFormat="1" ht="15" customHeight="1" x14ac:dyDescent="0.35">
      <c r="A48" s="80" t="s">
        <v>47</v>
      </c>
      <c r="B48" s="90">
        <f ca="1">INDIRECT("'("&amp;$A$4&amp;"c)'!C44")</f>
        <v>252</v>
      </c>
      <c r="C48" s="90"/>
      <c r="D48" s="90">
        <f ca="1">INDIRECT("'("&amp;$A$4&amp;"c)'!d44")</f>
        <v>30</v>
      </c>
      <c r="E48" s="90">
        <f ca="1">INDIRECT("'("&amp;$A$4&amp;"c)'!e44")</f>
        <v>2</v>
      </c>
      <c r="F48" s="90"/>
      <c r="G48" s="90">
        <f ca="1">INDIRECT("'("&amp;$A$4&amp;"c)'!f44")</f>
        <v>0</v>
      </c>
      <c r="H48" s="62"/>
      <c r="J48" s="74"/>
      <c r="K48" s="74"/>
      <c r="M48" s="74"/>
      <c r="N48" s="74"/>
      <c r="P48" s="76"/>
      <c r="Q48" s="76"/>
      <c r="R48" s="76"/>
      <c r="S48" s="76"/>
      <c r="T48" s="76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 s="63" customFormat="1" ht="15" customHeight="1" x14ac:dyDescent="0.35">
      <c r="A49" s="62" t="s">
        <v>48</v>
      </c>
      <c r="B49" s="186">
        <f ca="1">INDIRECT("'("&amp;$A$4&amp;"c)'!C45")</f>
        <v>26</v>
      </c>
      <c r="C49" s="186"/>
      <c r="D49" s="186">
        <f ca="1">INDIRECT("'("&amp;$A$4&amp;"c)'!d45")</f>
        <v>3</v>
      </c>
      <c r="E49" s="186">
        <f ca="1">INDIRECT("'("&amp;$A$4&amp;"c)'!e45")</f>
        <v>0</v>
      </c>
      <c r="F49" s="186"/>
      <c r="G49" s="186">
        <f ca="1">INDIRECT("'("&amp;$A$4&amp;"c)'!f45")</f>
        <v>0</v>
      </c>
      <c r="H49" s="62"/>
      <c r="J49" s="74"/>
      <c r="K49" s="74"/>
      <c r="M49" s="74"/>
      <c r="N49" s="74"/>
      <c r="P49" s="76"/>
      <c r="Q49" s="76"/>
      <c r="R49" s="76"/>
      <c r="S49" s="76"/>
      <c r="T49" s="76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 s="63" customFormat="1" ht="15" customHeight="1" x14ac:dyDescent="0.3">
      <c r="A50" s="62" t="s">
        <v>49</v>
      </c>
      <c r="B50" s="187">
        <f ca="1">INDIRECT("'("&amp;$A$4&amp;"c)'!C46")</f>
        <v>8</v>
      </c>
      <c r="C50" s="187"/>
      <c r="D50" s="187">
        <f ca="1">INDIRECT("'("&amp;$A$4&amp;"c)'!d46")</f>
        <v>1</v>
      </c>
      <c r="E50" s="187">
        <f ca="1">INDIRECT("'("&amp;$A$4&amp;"c)'!e46")</f>
        <v>0</v>
      </c>
      <c r="F50" s="187"/>
      <c r="G50" s="187">
        <f ca="1">INDIRECT("'("&amp;$A$4&amp;"c)'!f46")</f>
        <v>0</v>
      </c>
      <c r="H50" s="62"/>
      <c r="J50" s="74"/>
      <c r="K50" s="74"/>
      <c r="M50" s="74"/>
      <c r="N50" s="74"/>
      <c r="P50" s="76"/>
      <c r="Q50" s="76"/>
      <c r="R50" s="76"/>
      <c r="S50" s="76"/>
      <c r="T50" s="76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 s="63" customFormat="1" ht="15" customHeight="1" x14ac:dyDescent="0.3">
      <c r="A51" s="62" t="s">
        <v>50</v>
      </c>
      <c r="B51" s="78">
        <f ca="1">INDIRECT("'("&amp;$A$4&amp;"c)'!C47")</f>
        <v>34</v>
      </c>
      <c r="C51" s="78"/>
      <c r="D51" s="78">
        <f ca="1">INDIRECT("'("&amp;$A$4&amp;"c)'!d47")</f>
        <v>1</v>
      </c>
      <c r="E51" s="78">
        <f ca="1">INDIRECT("'("&amp;$A$4&amp;"c)'!e47")</f>
        <v>0</v>
      </c>
      <c r="F51" s="78"/>
      <c r="G51" s="78">
        <f ca="1">INDIRECT("'("&amp;$A$4&amp;"c)'!f47")</f>
        <v>0</v>
      </c>
      <c r="H51" s="62"/>
      <c r="J51" s="74"/>
      <c r="K51" s="74"/>
      <c r="M51" s="74"/>
      <c r="N51" s="74"/>
      <c r="P51" s="76"/>
      <c r="Q51" s="76"/>
      <c r="R51" s="76"/>
      <c r="S51" s="76"/>
      <c r="T51" s="76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 s="63" customFormat="1" ht="15" customHeight="1" x14ac:dyDescent="0.3">
      <c r="A52" s="62" t="s">
        <v>51</v>
      </c>
      <c r="B52" s="78">
        <f ca="1">INDIRECT("'("&amp;$A$4&amp;"c)'!C48")</f>
        <v>9</v>
      </c>
      <c r="C52" s="78"/>
      <c r="D52" s="78">
        <f ca="1">INDIRECT("'("&amp;$A$4&amp;"c)'!d48")</f>
        <v>1</v>
      </c>
      <c r="E52" s="78">
        <f ca="1">INDIRECT("'("&amp;$A$4&amp;"c)'!e48")</f>
        <v>0</v>
      </c>
      <c r="F52" s="78"/>
      <c r="G52" s="78">
        <f ca="1">INDIRECT("'("&amp;$A$4&amp;"c)'!f48")</f>
        <v>0</v>
      </c>
      <c r="H52" s="62"/>
      <c r="J52" s="74"/>
      <c r="K52" s="74"/>
      <c r="M52" s="74"/>
      <c r="N52" s="74"/>
      <c r="P52" s="76"/>
      <c r="Q52" s="76"/>
      <c r="R52" s="76"/>
      <c r="S52" s="76"/>
      <c r="T52" s="76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 s="63" customFormat="1" ht="15" customHeight="1" x14ac:dyDescent="0.3">
      <c r="A53" s="62" t="s">
        <v>52</v>
      </c>
      <c r="B53" s="78">
        <f ca="1">INDIRECT("'("&amp;$A$4&amp;"c)'!C49")</f>
        <v>35</v>
      </c>
      <c r="C53" s="78"/>
      <c r="D53" s="78">
        <f ca="1">INDIRECT("'("&amp;$A$4&amp;"c)'!d49")</f>
        <v>2</v>
      </c>
      <c r="E53" s="78">
        <f ca="1">INDIRECT("'("&amp;$A$4&amp;"c)'!e49")</f>
        <v>1</v>
      </c>
      <c r="F53" s="78"/>
      <c r="G53" s="78">
        <f ca="1">INDIRECT("'("&amp;$A$4&amp;"c)'!f49")</f>
        <v>0</v>
      </c>
      <c r="H53" s="62"/>
      <c r="J53" s="74"/>
      <c r="K53" s="74"/>
      <c r="M53" s="74"/>
      <c r="N53" s="74"/>
      <c r="P53" s="76"/>
      <c r="Q53" s="76"/>
      <c r="R53" s="76"/>
      <c r="S53" s="76"/>
      <c r="T53" s="76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 s="63" customFormat="1" ht="15" customHeight="1" x14ac:dyDescent="0.3">
      <c r="A54" s="62" t="s">
        <v>53</v>
      </c>
      <c r="B54" s="78">
        <f ca="1">INDIRECT("'("&amp;$A$4&amp;"c)'!C50")</f>
        <v>48</v>
      </c>
      <c r="C54" s="78"/>
      <c r="D54" s="78">
        <f ca="1">INDIRECT("'("&amp;$A$4&amp;"c)'!d50")</f>
        <v>4</v>
      </c>
      <c r="E54" s="78">
        <f ca="1">INDIRECT("'("&amp;$A$4&amp;"c)'!e50")</f>
        <v>1</v>
      </c>
      <c r="F54" s="78"/>
      <c r="G54" s="78">
        <f ca="1">INDIRECT("'("&amp;$A$4&amp;"c)'!f50")</f>
        <v>0</v>
      </c>
      <c r="H54" s="62"/>
      <c r="J54" s="74"/>
      <c r="K54" s="74"/>
      <c r="M54" s="74"/>
      <c r="N54" s="74"/>
      <c r="P54" s="76"/>
      <c r="Q54" s="76"/>
      <c r="R54" s="76"/>
      <c r="S54" s="76"/>
      <c r="T54" s="76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s="63" customFormat="1" ht="15" customHeight="1" thickBot="1" x14ac:dyDescent="0.35">
      <c r="A55" s="81" t="s">
        <v>54</v>
      </c>
      <c r="B55" s="82">
        <f ca="1">INDIRECT("'("&amp;$A$4&amp;"c)'!C51")</f>
        <v>92</v>
      </c>
      <c r="C55" s="82"/>
      <c r="D55" s="82">
        <f ca="1">INDIRECT("'("&amp;$A$4&amp;"c)'!d51")</f>
        <v>18</v>
      </c>
      <c r="E55" s="82">
        <f ca="1">INDIRECT("'("&amp;$A$4&amp;"c)'!e51")</f>
        <v>0</v>
      </c>
      <c r="F55" s="82"/>
      <c r="G55" s="82">
        <f ca="1">INDIRECT("'("&amp;$A$4&amp;"c)'!f51")</f>
        <v>0</v>
      </c>
      <c r="H55" s="62"/>
      <c r="J55" s="74"/>
      <c r="K55" s="74"/>
      <c r="L55" s="62"/>
      <c r="M55" s="74"/>
      <c r="N55" s="74"/>
      <c r="P55" s="76"/>
      <c r="Q55" s="76"/>
      <c r="R55" s="76"/>
      <c r="S55" s="76"/>
      <c r="T55" s="76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x14ac:dyDescent="0.3">
      <c r="J56" s="74"/>
      <c r="K56" s="74"/>
      <c r="M56" s="74"/>
      <c r="N56" s="74"/>
      <c r="O56" s="74"/>
      <c r="P56" s="74"/>
      <c r="Q56" s="74"/>
      <c r="R56" s="74"/>
      <c r="S56" s="74"/>
      <c r="T56" s="74"/>
    </row>
    <row r="57" spans="1:32" s="63" customFormat="1" ht="15" customHeight="1" x14ac:dyDescent="0.3">
      <c r="A57" s="321"/>
      <c r="B57" s="321"/>
      <c r="C57" s="321"/>
      <c r="D57" s="321"/>
      <c r="E57" s="321"/>
      <c r="F57" s="321"/>
      <c r="G57" s="321"/>
      <c r="H57" s="62"/>
      <c r="I57" s="62"/>
      <c r="J57" s="74"/>
      <c r="K57" s="74"/>
      <c r="L57" s="62"/>
      <c r="M57" s="74"/>
      <c r="N57" s="74"/>
      <c r="O57" s="74"/>
      <c r="P57" s="74"/>
      <c r="Q57" s="74"/>
      <c r="R57" s="74"/>
      <c r="S57" s="74"/>
      <c r="T57" s="74"/>
    </row>
    <row r="58" spans="1:32" s="63" customFormat="1" ht="15" customHeight="1" x14ac:dyDescent="0.3">
      <c r="A58" s="327"/>
      <c r="B58" s="327"/>
      <c r="C58" s="327"/>
      <c r="D58" s="327"/>
      <c r="E58" s="327"/>
      <c r="F58" s="327"/>
      <c r="G58" s="327"/>
      <c r="H58" s="62"/>
      <c r="I58" s="62"/>
      <c r="J58" s="74"/>
      <c r="K58" s="74"/>
      <c r="L58" s="62"/>
      <c r="M58" s="74"/>
      <c r="N58" s="74"/>
      <c r="O58" s="74"/>
      <c r="P58" s="74"/>
      <c r="Q58" s="74"/>
      <c r="R58" s="74"/>
      <c r="S58" s="74"/>
      <c r="T58" s="74"/>
    </row>
    <row r="59" spans="1:32" s="63" customFormat="1" ht="15" customHeight="1" x14ac:dyDescent="0.35">
      <c r="A59" s="84"/>
      <c r="B59" s="62"/>
      <c r="C59" s="62"/>
      <c r="D59" s="62"/>
      <c r="E59" s="62"/>
      <c r="F59" s="62"/>
      <c r="G59" s="62"/>
      <c r="H59" s="62"/>
      <c r="I59" s="62"/>
      <c r="J59" s="74"/>
      <c r="K59" s="74"/>
      <c r="L59" s="62"/>
      <c r="M59" s="74"/>
      <c r="N59" s="74"/>
      <c r="O59" s="74"/>
      <c r="P59" s="74"/>
      <c r="Q59" s="74"/>
      <c r="R59" s="74"/>
      <c r="S59" s="74"/>
      <c r="T59" s="74"/>
    </row>
    <row r="60" spans="1:32" s="63" customFormat="1" x14ac:dyDescent="0.3">
      <c r="A60" s="321"/>
      <c r="B60" s="321"/>
      <c r="C60" s="321"/>
      <c r="D60" s="321"/>
      <c r="E60" s="321"/>
      <c r="F60" s="321"/>
      <c r="G60" s="321"/>
      <c r="H60" s="62"/>
      <c r="I60" s="62"/>
      <c r="J60" s="74"/>
      <c r="K60" s="74"/>
      <c r="L60" s="62"/>
      <c r="M60" s="74"/>
      <c r="N60" s="74"/>
      <c r="O60" s="74"/>
      <c r="P60" s="74"/>
      <c r="Q60" s="74"/>
      <c r="R60" s="74"/>
      <c r="S60" s="74"/>
      <c r="T60" s="74"/>
    </row>
    <row r="61" spans="1:32" s="63" customFormat="1" ht="15" customHeight="1" x14ac:dyDescent="0.3">
      <c r="A61" s="85"/>
      <c r="B61" s="85"/>
      <c r="C61" s="85"/>
      <c r="D61" s="85"/>
      <c r="E61" s="85"/>
      <c r="F61" s="85"/>
      <c r="G61" s="85"/>
      <c r="H61" s="62"/>
      <c r="I61" s="62"/>
      <c r="J61" s="74"/>
      <c r="K61" s="74"/>
      <c r="L61" s="62"/>
      <c r="M61" s="74"/>
      <c r="N61" s="74"/>
      <c r="O61" s="74"/>
      <c r="P61" s="74"/>
      <c r="Q61" s="74"/>
      <c r="R61" s="74"/>
      <c r="S61" s="74"/>
      <c r="T61" s="74"/>
    </row>
    <row r="62" spans="1:32" s="63" customFormat="1" ht="15" customHeight="1" x14ac:dyDescent="0.3">
      <c r="A62" s="62"/>
      <c r="B62" s="60"/>
      <c r="C62" s="60"/>
      <c r="D62" s="60"/>
      <c r="E62" s="60"/>
      <c r="F62" s="60"/>
      <c r="G62" s="60"/>
      <c r="L62" s="62"/>
    </row>
    <row r="63" spans="1:32" s="63" customFormat="1" ht="15" customHeight="1" x14ac:dyDescent="0.35">
      <c r="A63" s="86"/>
      <c r="B63" s="60"/>
      <c r="C63" s="60"/>
      <c r="D63" s="60"/>
      <c r="E63" s="60"/>
      <c r="F63" s="60"/>
      <c r="G63" s="60"/>
      <c r="L63" s="62"/>
    </row>
    <row r="64" spans="1:32" s="63" customFormat="1" ht="15" customHeight="1" x14ac:dyDescent="0.35">
      <c r="A64" s="86"/>
      <c r="B64" s="60"/>
      <c r="C64" s="60"/>
      <c r="D64" s="60"/>
      <c r="E64" s="60"/>
      <c r="F64" s="60"/>
      <c r="G64" s="60"/>
      <c r="L64" s="62"/>
    </row>
    <row r="65" spans="1:12" s="63" customFormat="1" x14ac:dyDescent="0.3">
      <c r="A65" s="321"/>
      <c r="B65" s="321"/>
      <c r="C65" s="321"/>
      <c r="D65" s="321"/>
      <c r="E65" s="321"/>
      <c r="F65" s="321"/>
      <c r="G65" s="321"/>
      <c r="L65" s="62"/>
    </row>
    <row r="67" spans="1:12" s="63" customFormat="1" x14ac:dyDescent="0.3">
      <c r="A67" s="62"/>
      <c r="B67" s="62"/>
      <c r="C67" s="62"/>
      <c r="D67" s="62"/>
      <c r="E67" s="62"/>
      <c r="F67" s="62"/>
      <c r="G67" s="62"/>
      <c r="L67" s="62"/>
    </row>
    <row r="68" spans="1:12" s="63" customFormat="1" ht="14.5" x14ac:dyDescent="0.35">
      <c r="A68" s="86"/>
      <c r="B68" s="62"/>
      <c r="C68" s="62"/>
      <c r="D68" s="62"/>
      <c r="E68" s="62"/>
      <c r="F68" s="62"/>
      <c r="G68" s="62"/>
      <c r="L68" s="62"/>
    </row>
    <row r="75" spans="1:12" x14ac:dyDescent="0.3">
      <c r="J75" s="62" t="s">
        <v>70</v>
      </c>
      <c r="K75" s="63"/>
    </row>
    <row r="76" spans="1:12" x14ac:dyDescent="0.3">
      <c r="J76" s="62" t="s">
        <v>71</v>
      </c>
    </row>
    <row r="77" spans="1:12" x14ac:dyDescent="0.3">
      <c r="J77" s="62" t="s">
        <v>72</v>
      </c>
    </row>
    <row r="78" spans="1:12" x14ac:dyDescent="0.3">
      <c r="J78" s="62" t="s">
        <v>73</v>
      </c>
    </row>
    <row r="79" spans="1:12" x14ac:dyDescent="0.3">
      <c r="J79" s="62" t="s">
        <v>74</v>
      </c>
    </row>
    <row r="80" spans="1:12" x14ac:dyDescent="0.3">
      <c r="J80" s="62" t="s">
        <v>75</v>
      </c>
    </row>
    <row r="81" spans="10:10" x14ac:dyDescent="0.3">
      <c r="J81" s="62" t="s">
        <v>76</v>
      </c>
    </row>
  </sheetData>
  <mergeCells count="9">
    <mergeCell ref="A58:G58"/>
    <mergeCell ref="A60:G60"/>
    <mergeCell ref="A65:G65"/>
    <mergeCell ref="A1:G1"/>
    <mergeCell ref="A4:G4"/>
    <mergeCell ref="B6:B7"/>
    <mergeCell ref="D6:E6"/>
    <mergeCell ref="G6:G7"/>
    <mergeCell ref="A57:G57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rgb="FF00B0F0"/>
  </sheetPr>
  <dimension ref="A1:AF81"/>
  <sheetViews>
    <sheetView workbookViewId="0">
      <selection activeCell="A2" sqref="A2"/>
    </sheetView>
  </sheetViews>
  <sheetFormatPr defaultColWidth="9.26953125" defaultRowHeight="13" x14ac:dyDescent="0.3"/>
  <cols>
    <col min="1" max="1" width="50.7265625" style="62" customWidth="1"/>
    <col min="2" max="2" width="10.7265625" style="62" customWidth="1"/>
    <col min="3" max="3" width="2.7265625" style="62" customWidth="1"/>
    <col min="4" max="5" width="10.7265625" style="62" customWidth="1"/>
    <col min="6" max="6" width="2.7265625" style="62" customWidth="1"/>
    <col min="7" max="7" width="10.7265625" style="62" customWidth="1"/>
    <col min="8" max="8" width="9.26953125" style="62" customWidth="1"/>
    <col min="9" max="10" width="0" style="62" hidden="1" customWidth="1"/>
    <col min="11" max="11" width="9.26953125" style="62" customWidth="1"/>
    <col min="12" max="12" width="10" style="62" bestFit="1" customWidth="1"/>
    <col min="13" max="13" width="11.7265625" style="62" customWidth="1"/>
    <col min="14" max="18" width="9.26953125" style="62"/>
    <col min="19" max="19" width="11" style="62" customWidth="1"/>
    <col min="20" max="16384" width="9.26953125" style="62"/>
  </cols>
  <sheetData>
    <row r="1" spans="1:32" s="61" customFormat="1" ht="37.5" customHeight="1" x14ac:dyDescent="0.5">
      <c r="A1" s="325"/>
      <c r="B1" s="325"/>
      <c r="C1" s="325"/>
      <c r="D1" s="325"/>
      <c r="E1" s="325"/>
      <c r="F1" s="325"/>
      <c r="G1" s="325"/>
      <c r="H1" s="59"/>
      <c r="I1" s="59"/>
      <c r="J1" s="60"/>
      <c r="K1" s="60"/>
    </row>
    <row r="2" spans="1:32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32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2"/>
      <c r="I3" s="62"/>
      <c r="J3" s="62"/>
      <c r="K3" s="62"/>
    </row>
    <row r="4" spans="1:32" s="63" customFormat="1" ht="15" customHeight="1" x14ac:dyDescent="0.3">
      <c r="A4" s="326" t="str">
        <f>FIRE0508d!A4</f>
        <v>2018-19</v>
      </c>
      <c r="B4" s="326"/>
      <c r="C4" s="326"/>
      <c r="D4" s="326"/>
      <c r="E4" s="326"/>
      <c r="F4" s="326"/>
      <c r="G4" s="326"/>
      <c r="H4" s="62"/>
      <c r="I4" s="62"/>
      <c r="J4" s="62"/>
      <c r="K4" s="62"/>
      <c r="L4" s="62"/>
    </row>
    <row r="5" spans="1:32" s="63" customFormat="1" ht="13.5" thickBot="1" x14ac:dyDescent="0.35">
      <c r="A5" s="62"/>
      <c r="B5" s="91"/>
      <c r="C5" s="91"/>
      <c r="D5" s="91"/>
      <c r="E5" s="91"/>
      <c r="F5" s="91"/>
      <c r="G5" s="91"/>
      <c r="H5" s="62"/>
      <c r="I5" s="62"/>
      <c r="J5" s="68"/>
      <c r="K5" s="68"/>
      <c r="M5" s="68"/>
      <c r="N5" s="68"/>
      <c r="P5" s="68"/>
      <c r="Q5" s="68"/>
      <c r="R5" s="68"/>
      <c r="S5" s="68"/>
      <c r="T5" s="68"/>
      <c r="W5" s="69"/>
    </row>
    <row r="6" spans="1:32" s="63" customFormat="1" ht="13.5" thickBot="1" x14ac:dyDescent="0.35">
      <c r="A6" s="62"/>
      <c r="B6" s="323" t="s">
        <v>1</v>
      </c>
      <c r="C6" s="93"/>
      <c r="D6" s="322" t="s">
        <v>77</v>
      </c>
      <c r="E6" s="322"/>
      <c r="F6" s="94"/>
      <c r="G6" s="323" t="s">
        <v>5</v>
      </c>
      <c r="H6" s="62"/>
      <c r="I6" s="62"/>
      <c r="J6" s="68"/>
      <c r="K6" s="68"/>
      <c r="M6" s="68"/>
      <c r="N6" s="68"/>
      <c r="P6" s="68"/>
      <c r="Q6" s="68"/>
      <c r="R6" s="68"/>
      <c r="S6" s="68"/>
      <c r="T6" s="68"/>
      <c r="W6" s="69"/>
    </row>
    <row r="7" spans="1:32" s="72" customFormat="1" ht="39.5" thickBot="1" x14ac:dyDescent="0.35">
      <c r="A7" s="70" t="s">
        <v>67</v>
      </c>
      <c r="B7" s="324"/>
      <c r="C7" s="92"/>
      <c r="D7" s="71" t="s">
        <v>3</v>
      </c>
      <c r="E7" s="71" t="s">
        <v>78</v>
      </c>
      <c r="F7" s="92"/>
      <c r="G7" s="324"/>
      <c r="L7" s="62"/>
    </row>
    <row r="8" spans="1:32" s="63" customFormat="1" ht="15" customHeight="1" x14ac:dyDescent="0.35">
      <c r="A8" s="77" t="s">
        <v>6</v>
      </c>
      <c r="B8" s="73">
        <f ca="1">INDIRECT("'("&amp;$A$4&amp;"d)'!C4")</f>
        <v>551</v>
      </c>
      <c r="C8" s="73"/>
      <c r="D8" s="73">
        <f ca="1">INDIRECT("'("&amp;$A$4&amp;"d)'!d4")</f>
        <v>39</v>
      </c>
      <c r="E8" s="73">
        <f ca="1">INDIRECT("'("&amp;$A$4&amp;"d)'!e4")</f>
        <v>5</v>
      </c>
      <c r="F8" s="73"/>
      <c r="G8" s="73">
        <f ca="1">INDIRECT("'("&amp;$A$4&amp;"d)'!f4")</f>
        <v>0</v>
      </c>
      <c r="H8" s="62"/>
      <c r="J8" s="74"/>
      <c r="K8" s="74"/>
      <c r="M8" s="74"/>
      <c r="N8" s="74"/>
      <c r="P8" s="76"/>
      <c r="Q8" s="76"/>
      <c r="R8" s="76"/>
      <c r="S8" s="76"/>
      <c r="T8" s="76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s="63" customFormat="1" ht="15" customHeight="1" x14ac:dyDescent="0.3">
      <c r="A9" s="89" t="s">
        <v>7</v>
      </c>
      <c r="B9" s="90">
        <f ca="1">INDIRECT("'("&amp;$A$4&amp;"d)'!C5")</f>
        <v>344</v>
      </c>
      <c r="C9" s="90"/>
      <c r="D9" s="90">
        <f ca="1">INDIRECT("'("&amp;$A$4&amp;"d)'!d5")</f>
        <v>23</v>
      </c>
      <c r="E9" s="90">
        <f ca="1">INDIRECT("'("&amp;$A$4&amp;"d)'!e5")</f>
        <v>2</v>
      </c>
      <c r="F9" s="90"/>
      <c r="G9" s="90">
        <f ca="1">INDIRECT("'("&amp;$A$4&amp;"d)'!f5")</f>
        <v>0</v>
      </c>
      <c r="H9" s="62"/>
      <c r="J9" s="74"/>
      <c r="K9" s="74"/>
      <c r="M9" s="74"/>
      <c r="N9" s="74"/>
      <c r="P9" s="76"/>
      <c r="Q9" s="76"/>
      <c r="R9" s="76"/>
      <c r="S9" s="76"/>
      <c r="T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s="63" customFormat="1" ht="15" customHeight="1" x14ac:dyDescent="0.3">
      <c r="A10" s="62" t="s">
        <v>8</v>
      </c>
      <c r="B10" s="78">
        <f ca="1">INDIRECT("'("&amp;$A$4&amp;"d)'!C6")</f>
        <v>20</v>
      </c>
      <c r="C10" s="78"/>
      <c r="D10" s="78">
        <f ca="1">INDIRECT("'("&amp;$A$4&amp;"d)'!d6")</f>
        <v>0</v>
      </c>
      <c r="E10" s="78">
        <f ca="1">INDIRECT("'("&amp;$A$4&amp;"d)'!e6")</f>
        <v>0</v>
      </c>
      <c r="F10" s="78"/>
      <c r="G10" s="78">
        <f ca="1">INDIRECT("'("&amp;$A$4&amp;"d)'!f6")</f>
        <v>0</v>
      </c>
      <c r="H10" s="62"/>
      <c r="J10" s="74"/>
      <c r="K10" s="74"/>
      <c r="M10" s="74"/>
      <c r="N10" s="74"/>
      <c r="P10" s="76"/>
      <c r="Q10" s="76"/>
      <c r="R10" s="76"/>
      <c r="S10" s="76"/>
      <c r="T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s="63" customFormat="1" ht="15" customHeight="1" x14ac:dyDescent="0.3">
      <c r="A11" s="62" t="s">
        <v>9</v>
      </c>
      <c r="B11" s="78">
        <f ca="1">INDIRECT("'("&amp;$A$4&amp;"d)'!C7")</f>
        <v>10</v>
      </c>
      <c r="C11" s="78"/>
      <c r="D11" s="78">
        <f ca="1">INDIRECT("'("&amp;$A$4&amp;"d)'!d7")</f>
        <v>0</v>
      </c>
      <c r="E11" s="78">
        <f ca="1">INDIRECT("'("&amp;$A$4&amp;"d)'!e7")</f>
        <v>0</v>
      </c>
      <c r="F11" s="78"/>
      <c r="G11" s="78">
        <f ca="1">INDIRECT("'("&amp;$A$4&amp;"d)'!f7")</f>
        <v>0</v>
      </c>
      <c r="H11" s="62"/>
      <c r="J11" s="74"/>
      <c r="K11" s="74"/>
      <c r="M11" s="74"/>
      <c r="N11" s="74"/>
      <c r="P11" s="76"/>
      <c r="Q11" s="76"/>
      <c r="R11" s="76"/>
      <c r="S11" s="76"/>
      <c r="T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63" customFormat="1" ht="15" customHeight="1" x14ac:dyDescent="0.3">
      <c r="A12" s="62" t="s">
        <v>10</v>
      </c>
      <c r="B12" s="78">
        <f ca="1">INDIRECT("'("&amp;$A$4&amp;"d)'!C8")</f>
        <v>12</v>
      </c>
      <c r="C12" s="78"/>
      <c r="D12" s="78">
        <f ca="1">INDIRECT("'("&amp;$A$4&amp;"d)'!d8")</f>
        <v>0</v>
      </c>
      <c r="E12" s="78">
        <f ca="1">INDIRECT("'("&amp;$A$4&amp;"d)'!e8")</f>
        <v>0</v>
      </c>
      <c r="F12" s="78"/>
      <c r="G12" s="78">
        <f ca="1">INDIRECT("'("&amp;$A$4&amp;"d)'!f8")</f>
        <v>0</v>
      </c>
      <c r="H12" s="62"/>
      <c r="J12" s="74"/>
      <c r="K12" s="74"/>
      <c r="M12" s="74"/>
      <c r="N12" s="74"/>
      <c r="P12" s="76"/>
      <c r="Q12" s="76"/>
      <c r="R12" s="76"/>
      <c r="S12" s="76"/>
      <c r="T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63" customFormat="1" ht="15" customHeight="1" x14ac:dyDescent="0.3">
      <c r="A13" s="62" t="s">
        <v>11</v>
      </c>
      <c r="B13" s="78">
        <f ca="1">INDIRECT("'("&amp;$A$4&amp;"d)'!C9")</f>
        <v>10</v>
      </c>
      <c r="C13" s="78"/>
      <c r="D13" s="78">
        <f ca="1">INDIRECT("'("&amp;$A$4&amp;"d)'!d9")</f>
        <v>1</v>
      </c>
      <c r="E13" s="78">
        <f ca="1">INDIRECT("'("&amp;$A$4&amp;"d)'!e9")</f>
        <v>0</v>
      </c>
      <c r="F13" s="78"/>
      <c r="G13" s="78">
        <f ca="1">INDIRECT("'("&amp;$A$4&amp;"d)'!f9")</f>
        <v>0</v>
      </c>
      <c r="H13" s="62"/>
      <c r="J13" s="74"/>
      <c r="K13" s="74"/>
      <c r="M13" s="74"/>
      <c r="N13" s="74"/>
      <c r="P13" s="76"/>
      <c r="Q13" s="76"/>
      <c r="R13" s="76"/>
      <c r="S13" s="76"/>
      <c r="T13" s="76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63" customFormat="1" ht="15" customHeight="1" x14ac:dyDescent="0.3">
      <c r="A14" s="62" t="s">
        <v>12</v>
      </c>
      <c r="B14" s="78">
        <f ca="1">INDIRECT("'("&amp;$A$4&amp;"d)'!C10")</f>
        <v>15</v>
      </c>
      <c r="C14" s="78"/>
      <c r="D14" s="78">
        <f ca="1">INDIRECT("'("&amp;$A$4&amp;"d)'!d10")</f>
        <v>0</v>
      </c>
      <c r="E14" s="78">
        <f ca="1">INDIRECT("'("&amp;$A$4&amp;"d)'!e10")</f>
        <v>0</v>
      </c>
      <c r="F14" s="78"/>
      <c r="G14" s="78">
        <f ca="1">INDIRECT("'("&amp;$A$4&amp;"d)'!f10")</f>
        <v>0</v>
      </c>
      <c r="H14" s="62"/>
      <c r="J14" s="74"/>
      <c r="K14" s="74"/>
      <c r="M14" s="74"/>
      <c r="N14" s="74"/>
      <c r="P14" s="76"/>
      <c r="Q14" s="76"/>
      <c r="R14" s="76"/>
      <c r="S14" s="76"/>
      <c r="T14" s="76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63" customFormat="1" ht="15" customHeight="1" x14ac:dyDescent="0.3">
      <c r="A15" s="62" t="s">
        <v>13</v>
      </c>
      <c r="B15" s="78">
        <f ca="1">INDIRECT("'("&amp;$A$4&amp;"d)'!C11")</f>
        <v>16</v>
      </c>
      <c r="C15" s="78"/>
      <c r="D15" s="78">
        <f ca="1">INDIRECT("'("&amp;$A$4&amp;"d)'!d11")</f>
        <v>0</v>
      </c>
      <c r="E15" s="78">
        <f ca="1">INDIRECT("'("&amp;$A$4&amp;"d)'!e11")</f>
        <v>1</v>
      </c>
      <c r="F15" s="78"/>
      <c r="G15" s="78">
        <f ca="1">INDIRECT("'("&amp;$A$4&amp;"d)'!f11")</f>
        <v>0</v>
      </c>
      <c r="H15" s="62"/>
      <c r="J15" s="74"/>
      <c r="K15" s="74"/>
      <c r="M15" s="74"/>
      <c r="N15" s="74"/>
      <c r="P15" s="76"/>
      <c r="Q15" s="76"/>
      <c r="R15" s="76"/>
      <c r="S15" s="76"/>
      <c r="T15" s="76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 s="63" customFormat="1" ht="15" customHeight="1" x14ac:dyDescent="0.3">
      <c r="A16" s="62" t="s">
        <v>14</v>
      </c>
      <c r="B16" s="78">
        <f ca="1">INDIRECT("'("&amp;$A$4&amp;"d)'!C12")</f>
        <v>5</v>
      </c>
      <c r="C16" s="78"/>
      <c r="D16" s="78">
        <f ca="1">INDIRECT("'("&amp;$A$4&amp;"d)'!d12")</f>
        <v>0</v>
      </c>
      <c r="E16" s="78">
        <f ca="1">INDIRECT("'("&amp;$A$4&amp;"d)'!e12")</f>
        <v>0</v>
      </c>
      <c r="F16" s="78"/>
      <c r="G16" s="78">
        <f ca="1">INDIRECT("'("&amp;$A$4&amp;"d)'!f12")</f>
        <v>0</v>
      </c>
      <c r="H16" s="62"/>
      <c r="J16" s="74"/>
      <c r="K16" s="74"/>
      <c r="M16" s="74"/>
      <c r="N16" s="74"/>
      <c r="P16" s="76"/>
      <c r="Q16" s="76"/>
      <c r="R16" s="76"/>
      <c r="S16" s="76"/>
      <c r="T16" s="76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 s="63" customFormat="1" ht="15" customHeight="1" x14ac:dyDescent="0.3">
      <c r="A17" s="62" t="s">
        <v>15</v>
      </c>
      <c r="B17" s="78">
        <f ca="1">INDIRECT("'("&amp;$A$4&amp;"d)'!C13")</f>
        <v>11</v>
      </c>
      <c r="C17" s="78"/>
      <c r="D17" s="78">
        <f ca="1">INDIRECT("'("&amp;$A$4&amp;"d)'!d13")</f>
        <v>1</v>
      </c>
      <c r="E17" s="78">
        <f ca="1">INDIRECT("'("&amp;$A$4&amp;"d)'!e13")</f>
        <v>1</v>
      </c>
      <c r="F17" s="78"/>
      <c r="G17" s="78">
        <f ca="1">INDIRECT("'("&amp;$A$4&amp;"d)'!f13")</f>
        <v>0</v>
      </c>
      <c r="H17" s="62"/>
      <c r="J17" s="74"/>
      <c r="K17" s="74"/>
      <c r="M17" s="74"/>
      <c r="N17" s="74"/>
      <c r="P17" s="76"/>
      <c r="Q17" s="76"/>
      <c r="R17" s="76"/>
      <c r="S17" s="76"/>
      <c r="T17" s="76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 s="63" customFormat="1" ht="15" customHeight="1" x14ac:dyDescent="0.3">
      <c r="A18" s="79" t="s">
        <v>16</v>
      </c>
      <c r="B18" s="78">
        <f ca="1">INDIRECT("'("&amp;$A$4&amp;"d)'!C14")</f>
        <v>6</v>
      </c>
      <c r="C18" s="78"/>
      <c r="D18" s="78">
        <f ca="1">INDIRECT("'("&amp;$A$4&amp;"d)'!d14")</f>
        <v>0</v>
      </c>
      <c r="E18" s="78">
        <f ca="1">INDIRECT("'("&amp;$A$4&amp;"d)'!e14")</f>
        <v>0</v>
      </c>
      <c r="F18" s="78"/>
      <c r="G18" s="78">
        <f ca="1">INDIRECT("'("&amp;$A$4&amp;"d)'!f14")</f>
        <v>0</v>
      </c>
      <c r="H18" s="62"/>
      <c r="J18" s="74"/>
      <c r="K18" s="74"/>
      <c r="M18" s="74"/>
      <c r="N18" s="74"/>
      <c r="P18" s="76"/>
      <c r="Q18" s="76"/>
      <c r="R18" s="76"/>
      <c r="S18" s="76"/>
      <c r="T18" s="76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 s="63" customFormat="1" ht="15" customHeight="1" x14ac:dyDescent="0.3">
      <c r="A19" s="79" t="s">
        <v>17</v>
      </c>
      <c r="B19" s="78">
        <f ca="1">INDIRECT("'("&amp;$A$4&amp;"d)'!C15")</f>
        <v>10</v>
      </c>
      <c r="C19" s="78"/>
      <c r="D19" s="78">
        <f ca="1">INDIRECT("'("&amp;$A$4&amp;"d)'!d15")</f>
        <v>1</v>
      </c>
      <c r="E19" s="78">
        <f ca="1">INDIRECT("'("&amp;$A$4&amp;"d)'!e15")</f>
        <v>0</v>
      </c>
      <c r="F19" s="78"/>
      <c r="G19" s="78">
        <f ca="1">INDIRECT("'("&amp;$A$4&amp;"d)'!f15")</f>
        <v>0</v>
      </c>
      <c r="H19" s="62"/>
      <c r="J19" s="74"/>
      <c r="K19" s="74"/>
      <c r="M19" s="74"/>
      <c r="N19" s="74"/>
      <c r="P19" s="76"/>
      <c r="Q19" s="76"/>
      <c r="R19" s="76"/>
      <c r="S19" s="76"/>
      <c r="T19" s="76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 s="63" customFormat="1" ht="15" customHeight="1" x14ac:dyDescent="0.3">
      <c r="A20" s="62" t="s">
        <v>18</v>
      </c>
      <c r="B20" s="78">
        <f ca="1">INDIRECT("'("&amp;$A$4&amp;"d)'!C16")</f>
        <v>4</v>
      </c>
      <c r="C20" s="78"/>
      <c r="D20" s="78">
        <f ca="1">INDIRECT("'("&amp;$A$4&amp;"d)'!d16")</f>
        <v>1</v>
      </c>
      <c r="E20" s="78">
        <f ca="1">INDIRECT("'("&amp;$A$4&amp;"d)'!e16")</f>
        <v>0</v>
      </c>
      <c r="F20" s="78"/>
      <c r="G20" s="78">
        <f ca="1">INDIRECT("'("&amp;$A$4&amp;"d)'!f16")</f>
        <v>0</v>
      </c>
      <c r="H20" s="62"/>
      <c r="J20" s="74"/>
      <c r="K20" s="74"/>
      <c r="M20" s="74"/>
      <c r="N20" s="74"/>
      <c r="P20" s="76"/>
      <c r="Q20" s="76"/>
      <c r="R20" s="76"/>
      <c r="S20" s="76"/>
      <c r="T20" s="76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 s="63" customFormat="1" ht="15" customHeight="1" x14ac:dyDescent="0.3">
      <c r="A21" s="62" t="s">
        <v>122</v>
      </c>
      <c r="B21" s="78">
        <f ca="1">INDIRECT("'("&amp;$A$4&amp;"d)'!C17")</f>
        <v>10</v>
      </c>
      <c r="C21" s="78"/>
      <c r="D21" s="78">
        <f ca="1">INDIRECT("'("&amp;$A$4&amp;"d)'!d17")</f>
        <v>0</v>
      </c>
      <c r="E21" s="78">
        <f ca="1">INDIRECT("'("&amp;$A$4&amp;"d)'!e17")</f>
        <v>0</v>
      </c>
      <c r="F21" s="78"/>
      <c r="G21" s="78">
        <f ca="1">INDIRECT("'("&amp;$A$4&amp;"d)'!f17")</f>
        <v>0</v>
      </c>
      <c r="H21" s="62"/>
      <c r="J21" s="74"/>
      <c r="K21" s="74"/>
      <c r="M21" s="74"/>
      <c r="N21" s="74"/>
      <c r="P21" s="76"/>
      <c r="Q21" s="76"/>
      <c r="R21" s="76"/>
      <c r="S21" s="76"/>
      <c r="T21" s="76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 s="63" customFormat="1" ht="15" customHeight="1" x14ac:dyDescent="0.3">
      <c r="A22" s="62" t="s">
        <v>20</v>
      </c>
      <c r="B22" s="78">
        <f ca="1">INDIRECT("'("&amp;$A$4&amp;"d)'!C18")</f>
        <v>5</v>
      </c>
      <c r="C22" s="78"/>
      <c r="D22" s="78">
        <f ca="1">INDIRECT("'("&amp;$A$4&amp;"d)'!d18")</f>
        <v>0</v>
      </c>
      <c r="E22" s="78">
        <f ca="1">INDIRECT("'("&amp;$A$4&amp;"d)'!e18")</f>
        <v>0</v>
      </c>
      <c r="F22" s="78"/>
      <c r="G22" s="78">
        <f ca="1">INDIRECT("'("&amp;$A$4&amp;"d)'!f18")</f>
        <v>0</v>
      </c>
      <c r="H22" s="62"/>
      <c r="J22" s="74"/>
      <c r="K22" s="74"/>
      <c r="M22" s="74"/>
      <c r="N22" s="74"/>
      <c r="P22" s="76"/>
      <c r="Q22" s="76"/>
      <c r="R22" s="76"/>
      <c r="S22" s="76"/>
      <c r="T22" s="76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s="63" customFormat="1" ht="15" customHeight="1" x14ac:dyDescent="0.3">
      <c r="A23" s="62" t="s">
        <v>21</v>
      </c>
      <c r="B23" s="78">
        <f ca="1">INDIRECT("'("&amp;$A$4&amp;"d)'!C19")</f>
        <v>12</v>
      </c>
      <c r="C23" s="78"/>
      <c r="D23" s="78">
        <f ca="1">INDIRECT("'("&amp;$A$4&amp;"d)'!d19")</f>
        <v>3</v>
      </c>
      <c r="E23" s="78">
        <f ca="1">INDIRECT("'("&amp;$A$4&amp;"d)'!e19")</f>
        <v>0</v>
      </c>
      <c r="F23" s="78"/>
      <c r="G23" s="78">
        <f ca="1">INDIRECT("'("&amp;$A$4&amp;"d)'!f19")</f>
        <v>0</v>
      </c>
      <c r="H23" s="62"/>
      <c r="J23" s="74"/>
      <c r="K23" s="74"/>
      <c r="M23" s="74"/>
      <c r="N23" s="74"/>
      <c r="P23" s="76"/>
      <c r="Q23" s="76"/>
      <c r="R23" s="76"/>
      <c r="S23" s="76"/>
      <c r="T23" s="76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s="63" customFormat="1" ht="15" customHeight="1" x14ac:dyDescent="0.3">
      <c r="A24" s="62" t="s">
        <v>22</v>
      </c>
      <c r="B24" s="78">
        <f ca="1">INDIRECT("'("&amp;$A$4&amp;"d)'!C20")</f>
        <v>20</v>
      </c>
      <c r="C24" s="78"/>
      <c r="D24" s="78">
        <f ca="1">INDIRECT("'("&amp;$A$4&amp;"d)'!d20")</f>
        <v>1</v>
      </c>
      <c r="E24" s="78">
        <f ca="1">INDIRECT("'("&amp;$A$4&amp;"d)'!e20")</f>
        <v>0</v>
      </c>
      <c r="F24" s="78"/>
      <c r="G24" s="78">
        <f ca="1">INDIRECT("'("&amp;$A$4&amp;"d)'!f20")</f>
        <v>0</v>
      </c>
      <c r="H24" s="62"/>
      <c r="J24" s="74"/>
      <c r="K24" s="74"/>
      <c r="M24" s="74"/>
      <c r="N24" s="74"/>
      <c r="P24" s="76"/>
      <c r="Q24" s="76"/>
      <c r="R24" s="76"/>
      <c r="S24" s="76"/>
      <c r="T24" s="76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s="63" customFormat="1" ht="15" customHeight="1" x14ac:dyDescent="0.3">
      <c r="A25" s="62" t="s">
        <v>23</v>
      </c>
      <c r="B25" s="78">
        <f ca="1">INDIRECT("'("&amp;$A$4&amp;"d)'!C21")</f>
        <v>9</v>
      </c>
      <c r="C25" s="78"/>
      <c r="D25" s="78">
        <f ca="1">INDIRECT("'("&amp;$A$4&amp;"d)'!d21")</f>
        <v>0</v>
      </c>
      <c r="E25" s="78">
        <f ca="1">INDIRECT("'("&amp;$A$4&amp;"d)'!e21")</f>
        <v>0</v>
      </c>
      <c r="F25" s="78"/>
      <c r="G25" s="78">
        <f ca="1">INDIRECT("'("&amp;$A$4&amp;"d)'!f21")</f>
        <v>0</v>
      </c>
      <c r="H25" s="62"/>
      <c r="J25" s="74"/>
      <c r="K25" s="74"/>
      <c r="M25" s="74"/>
      <c r="N25" s="74"/>
      <c r="P25" s="76"/>
      <c r="Q25" s="76"/>
      <c r="R25" s="76"/>
      <c r="S25" s="76"/>
      <c r="T25" s="76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s="63" customFormat="1" ht="15" customHeight="1" x14ac:dyDescent="0.3">
      <c r="A26" s="62" t="s">
        <v>24</v>
      </c>
      <c r="B26" s="78">
        <f ca="1">INDIRECT("'("&amp;$A$4&amp;"d)'!C22")</f>
        <v>4</v>
      </c>
      <c r="C26" s="78"/>
      <c r="D26" s="78">
        <f ca="1">INDIRECT("'("&amp;$A$4&amp;"d)'!d22")</f>
        <v>2</v>
      </c>
      <c r="E26" s="78">
        <f ca="1">INDIRECT("'("&amp;$A$4&amp;"d)'!e22")</f>
        <v>0</v>
      </c>
      <c r="F26" s="78"/>
      <c r="G26" s="78">
        <f ca="1">INDIRECT("'("&amp;$A$4&amp;"d)'!f22")</f>
        <v>0</v>
      </c>
      <c r="H26" s="62"/>
      <c r="J26" s="74"/>
      <c r="K26" s="74"/>
      <c r="M26" s="74"/>
      <c r="N26" s="74"/>
      <c r="P26" s="76"/>
      <c r="Q26" s="76"/>
      <c r="R26" s="76"/>
      <c r="S26" s="76"/>
      <c r="T26" s="76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s="63" customFormat="1" ht="15" customHeight="1" x14ac:dyDescent="0.3">
      <c r="A27" s="62" t="s">
        <v>25</v>
      </c>
      <c r="B27" s="78">
        <f ca="1">INDIRECT("'("&amp;$A$4&amp;"d)'!C23")</f>
        <v>8</v>
      </c>
      <c r="C27" s="78"/>
      <c r="D27" s="78">
        <f ca="1">INDIRECT("'("&amp;$A$4&amp;"d)'!d23")</f>
        <v>0</v>
      </c>
      <c r="E27" s="78">
        <f ca="1">INDIRECT("'("&amp;$A$4&amp;"d)'!e23")</f>
        <v>0</v>
      </c>
      <c r="F27" s="78"/>
      <c r="G27" s="78">
        <f ca="1">INDIRECT("'("&amp;$A$4&amp;"d)'!f23")</f>
        <v>0</v>
      </c>
      <c r="H27" s="62"/>
      <c r="J27" s="74"/>
      <c r="K27" s="74"/>
      <c r="M27" s="74"/>
      <c r="N27" s="74"/>
      <c r="P27" s="76"/>
      <c r="Q27" s="76"/>
      <c r="R27" s="76"/>
      <c r="S27" s="76"/>
      <c r="T27" s="76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s="63" customFormat="1" ht="15" customHeight="1" x14ac:dyDescent="0.3">
      <c r="A28" s="62" t="s">
        <v>26</v>
      </c>
      <c r="B28" s="78">
        <f ca="1">INDIRECT("'("&amp;$A$4&amp;"d)'!C24")</f>
        <v>4</v>
      </c>
      <c r="C28" s="78"/>
      <c r="D28" s="78">
        <f ca="1">INDIRECT("'("&amp;$A$4&amp;"d)'!d24")</f>
        <v>0</v>
      </c>
      <c r="E28" s="78">
        <f ca="1">INDIRECT("'("&amp;$A$4&amp;"d)'!e24")</f>
        <v>0</v>
      </c>
      <c r="F28" s="78"/>
      <c r="G28" s="78">
        <f ca="1">INDIRECT("'("&amp;$A$4&amp;"d)'!f24")</f>
        <v>0</v>
      </c>
      <c r="H28" s="62"/>
      <c r="J28" s="74"/>
      <c r="K28" s="74"/>
      <c r="M28" s="74"/>
      <c r="N28" s="74"/>
      <c r="P28" s="76"/>
      <c r="Q28" s="76"/>
      <c r="R28" s="76"/>
      <c r="S28" s="76"/>
      <c r="T28" s="76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s="63" customFormat="1" ht="15" customHeight="1" x14ac:dyDescent="0.3">
      <c r="A29" s="62" t="s">
        <v>27</v>
      </c>
      <c r="B29" s="78">
        <f ca="1">INDIRECT("'("&amp;$A$4&amp;"d)'!C25")</f>
        <v>11</v>
      </c>
      <c r="C29" s="78"/>
      <c r="D29" s="78">
        <f ca="1">INDIRECT("'("&amp;$A$4&amp;"d)'!d25")</f>
        <v>1</v>
      </c>
      <c r="E29" s="78">
        <f ca="1">INDIRECT("'("&amp;$A$4&amp;"d)'!e25")</f>
        <v>0</v>
      </c>
      <c r="F29" s="78"/>
      <c r="G29" s="78">
        <f ca="1">INDIRECT("'("&amp;$A$4&amp;"d)'!f25")</f>
        <v>0</v>
      </c>
      <c r="H29" s="62"/>
      <c r="J29" s="74"/>
      <c r="K29" s="74"/>
      <c r="M29" s="74"/>
      <c r="N29" s="74"/>
      <c r="P29" s="76"/>
      <c r="Q29" s="76"/>
      <c r="R29" s="76"/>
      <c r="S29" s="76"/>
      <c r="T29" s="76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s="63" customFormat="1" ht="15" customHeight="1" x14ac:dyDescent="0.3">
      <c r="A30" s="63" t="s">
        <v>28</v>
      </c>
      <c r="B30" s="78">
        <f ca="1">INDIRECT("'("&amp;$A$4&amp;"d)'!C26")</f>
        <v>2</v>
      </c>
      <c r="C30" s="78"/>
      <c r="D30" s="78">
        <f ca="1">INDIRECT("'("&amp;$A$4&amp;"d)'!d26")</f>
        <v>0</v>
      </c>
      <c r="E30" s="78">
        <f ca="1">INDIRECT("'("&amp;$A$4&amp;"d)'!e26")</f>
        <v>0</v>
      </c>
      <c r="F30" s="78"/>
      <c r="G30" s="78">
        <f ca="1">INDIRECT("'("&amp;$A$4&amp;"d)'!f26")</f>
        <v>0</v>
      </c>
      <c r="H30" s="62"/>
      <c r="J30" s="74"/>
      <c r="K30" s="74"/>
      <c r="M30" s="74"/>
      <c r="N30" s="74"/>
      <c r="P30" s="76"/>
      <c r="Q30" s="76"/>
      <c r="R30" s="76"/>
      <c r="S30" s="76"/>
      <c r="T30" s="76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s="63" customFormat="1" ht="15" customHeight="1" x14ac:dyDescent="0.3">
      <c r="A31" s="63" t="s">
        <v>29</v>
      </c>
      <c r="B31" s="78">
        <f ca="1">INDIRECT("'("&amp;$A$4&amp;"d)'!C27")</f>
        <v>16</v>
      </c>
      <c r="C31" s="78"/>
      <c r="D31" s="78">
        <f ca="1">INDIRECT("'("&amp;$A$4&amp;"d)'!d27")</f>
        <v>2</v>
      </c>
      <c r="E31" s="78">
        <f ca="1">INDIRECT("'("&amp;$A$4&amp;"d)'!e27")</f>
        <v>0</v>
      </c>
      <c r="F31" s="78"/>
      <c r="G31" s="78">
        <f ca="1">INDIRECT("'("&amp;$A$4&amp;"d)'!f27")</f>
        <v>0</v>
      </c>
      <c r="H31" s="62"/>
      <c r="J31" s="74"/>
      <c r="K31" s="74"/>
      <c r="M31" s="74"/>
      <c r="N31" s="74"/>
      <c r="P31" s="76"/>
      <c r="Q31" s="76"/>
      <c r="R31" s="76"/>
      <c r="S31" s="76"/>
      <c r="T31" s="76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s="63" customFormat="1" ht="15" customHeight="1" x14ac:dyDescent="0.3">
      <c r="A32" s="62" t="s">
        <v>30</v>
      </c>
      <c r="B32" s="78">
        <f ca="1">INDIRECT("'("&amp;$A$4&amp;"d)'!C28")</f>
        <v>15</v>
      </c>
      <c r="C32" s="78"/>
      <c r="D32" s="78">
        <f ca="1">INDIRECT("'("&amp;$A$4&amp;"d)'!d28")</f>
        <v>1</v>
      </c>
      <c r="E32" s="78">
        <f ca="1">INDIRECT("'("&amp;$A$4&amp;"d)'!e28")</f>
        <v>0</v>
      </c>
      <c r="F32" s="78"/>
      <c r="G32" s="78">
        <f ca="1">INDIRECT("'("&amp;$A$4&amp;"d)'!f28")</f>
        <v>0</v>
      </c>
      <c r="H32" s="62"/>
      <c r="J32" s="74"/>
      <c r="K32" s="74"/>
      <c r="M32" s="74"/>
      <c r="N32" s="74"/>
      <c r="P32" s="76"/>
      <c r="Q32" s="76"/>
      <c r="R32" s="76"/>
      <c r="S32" s="76"/>
      <c r="T32" s="76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s="63" customFormat="1" ht="15" customHeight="1" x14ac:dyDescent="0.3">
      <c r="A33" s="63" t="s">
        <v>31</v>
      </c>
      <c r="B33" s="78">
        <f ca="1">INDIRECT("'("&amp;$A$4&amp;"d)'!C29")</f>
        <v>17</v>
      </c>
      <c r="C33" s="78"/>
      <c r="D33" s="78">
        <f ca="1">INDIRECT("'("&amp;$A$4&amp;"d)'!d29")</f>
        <v>0</v>
      </c>
      <c r="E33" s="78">
        <f ca="1">INDIRECT("'("&amp;$A$4&amp;"d)'!e29")</f>
        <v>0</v>
      </c>
      <c r="F33" s="78"/>
      <c r="G33" s="78">
        <f ca="1">INDIRECT("'("&amp;$A$4&amp;"d)'!f29")</f>
        <v>0</v>
      </c>
      <c r="H33" s="62"/>
      <c r="J33" s="74"/>
      <c r="K33" s="74"/>
      <c r="M33" s="74"/>
      <c r="N33" s="74"/>
      <c r="P33" s="76"/>
      <c r="Q33" s="76"/>
      <c r="R33" s="76"/>
      <c r="S33" s="76"/>
      <c r="T33" s="76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s="63" customFormat="1" ht="15" customHeight="1" x14ac:dyDescent="0.3">
      <c r="A34" s="63" t="s">
        <v>32</v>
      </c>
      <c r="B34" s="78">
        <f ca="1">INDIRECT("'("&amp;$A$4&amp;"d)'!C30")</f>
        <v>8</v>
      </c>
      <c r="C34" s="78"/>
      <c r="D34" s="78">
        <f ca="1">INDIRECT("'("&amp;$A$4&amp;"d)'!d30")</f>
        <v>0</v>
      </c>
      <c r="E34" s="78">
        <f ca="1">INDIRECT("'("&amp;$A$4&amp;"d)'!e30")</f>
        <v>0</v>
      </c>
      <c r="F34" s="78"/>
      <c r="G34" s="78">
        <f ca="1">INDIRECT("'("&amp;$A$4&amp;"d)'!f30")</f>
        <v>0</v>
      </c>
      <c r="H34" s="62"/>
      <c r="J34" s="74"/>
      <c r="K34" s="74"/>
      <c r="M34" s="74"/>
      <c r="N34" s="74"/>
      <c r="P34" s="76"/>
      <c r="Q34" s="76"/>
      <c r="R34" s="76"/>
      <c r="S34" s="76"/>
      <c r="T34" s="76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s="63" customFormat="1" ht="15" customHeight="1" x14ac:dyDescent="0.3">
      <c r="A35" s="62" t="s">
        <v>33</v>
      </c>
      <c r="B35" s="78">
        <f ca="1">INDIRECT("'("&amp;$A$4&amp;"d)'!C31")</f>
        <v>4</v>
      </c>
      <c r="C35" s="78"/>
      <c r="D35" s="78">
        <f ca="1">INDIRECT("'("&amp;$A$4&amp;"d)'!d31")</f>
        <v>0</v>
      </c>
      <c r="E35" s="78">
        <f ca="1">INDIRECT("'("&amp;$A$4&amp;"d)'!e31")</f>
        <v>0</v>
      </c>
      <c r="F35" s="78"/>
      <c r="G35" s="78">
        <f ca="1">INDIRECT("'("&amp;$A$4&amp;"d)'!f31")</f>
        <v>0</v>
      </c>
      <c r="H35" s="62"/>
      <c r="J35" s="74"/>
      <c r="K35" s="74"/>
      <c r="M35" s="74"/>
      <c r="N35" s="74"/>
      <c r="P35" s="76"/>
      <c r="Q35" s="76"/>
      <c r="R35" s="76"/>
      <c r="S35" s="76"/>
      <c r="T35" s="76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s="63" customFormat="1" ht="15" customHeight="1" x14ac:dyDescent="0.3">
      <c r="A36" s="63" t="s">
        <v>34</v>
      </c>
      <c r="B36" s="78">
        <f ca="1">INDIRECT("'("&amp;$A$4&amp;"d)'!C32")</f>
        <v>6</v>
      </c>
      <c r="C36" s="78"/>
      <c r="D36" s="78">
        <f ca="1">INDIRECT("'("&amp;$A$4&amp;"d)'!d32")</f>
        <v>0</v>
      </c>
      <c r="E36" s="78">
        <f ca="1">INDIRECT("'("&amp;$A$4&amp;"d)'!e32")</f>
        <v>0</v>
      </c>
      <c r="F36" s="78"/>
      <c r="G36" s="78">
        <f ca="1">INDIRECT("'("&amp;$A$4&amp;"d)'!f32")</f>
        <v>0</v>
      </c>
      <c r="H36" s="62"/>
      <c r="J36" s="74"/>
      <c r="K36" s="74"/>
      <c r="M36" s="74"/>
      <c r="N36" s="74"/>
      <c r="P36" s="76"/>
      <c r="Q36" s="76"/>
      <c r="R36" s="76"/>
      <c r="S36" s="76"/>
      <c r="T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s="63" customFormat="1" ht="15" customHeight="1" x14ac:dyDescent="0.3">
      <c r="A37" s="63" t="s">
        <v>35</v>
      </c>
      <c r="B37" s="78">
        <f ca="1">INDIRECT("'("&amp;$A$4&amp;"d)'!C33")</f>
        <v>13</v>
      </c>
      <c r="C37" s="78"/>
      <c r="D37" s="78">
        <f ca="1">INDIRECT("'("&amp;$A$4&amp;"d)'!d33")</f>
        <v>0</v>
      </c>
      <c r="E37" s="78">
        <f ca="1">INDIRECT("'("&amp;$A$4&amp;"d)'!e33")</f>
        <v>0</v>
      </c>
      <c r="F37" s="78"/>
      <c r="G37" s="78">
        <f ca="1">INDIRECT("'("&amp;$A$4&amp;"d)'!f33")</f>
        <v>0</v>
      </c>
      <c r="H37" s="62"/>
      <c r="J37" s="74"/>
      <c r="K37" s="74"/>
      <c r="M37" s="74"/>
      <c r="N37" s="74"/>
      <c r="P37" s="76"/>
      <c r="Q37" s="76"/>
      <c r="R37" s="76"/>
      <c r="S37" s="76"/>
      <c r="T37" s="76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s="63" customFormat="1" ht="15" customHeight="1" x14ac:dyDescent="0.3">
      <c r="A38" s="63" t="s">
        <v>36</v>
      </c>
      <c r="B38" s="78">
        <f ca="1">INDIRECT("'("&amp;$A$4&amp;"d)'!C34")</f>
        <v>6</v>
      </c>
      <c r="C38" s="78"/>
      <c r="D38" s="78">
        <f ca="1">INDIRECT("'("&amp;$A$4&amp;"d)'!d34")</f>
        <v>1</v>
      </c>
      <c r="E38" s="78">
        <f ca="1">INDIRECT("'("&amp;$A$4&amp;"d)'!e34")</f>
        <v>0</v>
      </c>
      <c r="F38" s="78"/>
      <c r="G38" s="78">
        <f ca="1">INDIRECT("'("&amp;$A$4&amp;"d)'!f34")</f>
        <v>0</v>
      </c>
      <c r="H38" s="62"/>
      <c r="J38" s="74"/>
      <c r="K38" s="74"/>
      <c r="M38" s="74"/>
      <c r="N38" s="74"/>
      <c r="P38" s="76"/>
      <c r="Q38" s="76"/>
      <c r="R38" s="76"/>
      <c r="S38" s="76"/>
      <c r="T38" s="76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s="63" customFormat="1" ht="15" customHeight="1" x14ac:dyDescent="0.3">
      <c r="A39" s="62" t="s">
        <v>37</v>
      </c>
      <c r="B39" s="78">
        <f ca="1">INDIRECT("'("&amp;$A$4&amp;"d)'!C35")</f>
        <v>4</v>
      </c>
      <c r="C39" s="78"/>
      <c r="D39" s="78">
        <f ca="1">INDIRECT("'("&amp;$A$4&amp;"d)'!d35")</f>
        <v>0</v>
      </c>
      <c r="E39" s="78">
        <f ca="1">INDIRECT("'("&amp;$A$4&amp;"d)'!e35")</f>
        <v>0</v>
      </c>
      <c r="F39" s="78"/>
      <c r="G39" s="78">
        <f ca="1">INDIRECT("'("&amp;$A$4&amp;"d)'!f35")</f>
        <v>0</v>
      </c>
      <c r="H39" s="62"/>
      <c r="J39" s="74"/>
      <c r="K39" s="74"/>
      <c r="M39" s="74"/>
      <c r="N39" s="74"/>
      <c r="P39" s="76"/>
      <c r="Q39" s="76"/>
      <c r="R39" s="76"/>
      <c r="S39" s="76"/>
      <c r="T39" s="76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s="63" customFormat="1" ht="15" customHeight="1" x14ac:dyDescent="0.3">
      <c r="A40" s="62" t="s">
        <v>38</v>
      </c>
      <c r="B40" s="78">
        <f ca="1">INDIRECT("'("&amp;$A$4&amp;"d)'!C36")</f>
        <v>3</v>
      </c>
      <c r="C40" s="78"/>
      <c r="D40" s="78">
        <f ca="1">INDIRECT("'("&amp;$A$4&amp;"d)'!d36")</f>
        <v>0</v>
      </c>
      <c r="E40" s="78">
        <f ca="1">INDIRECT("'("&amp;$A$4&amp;"d)'!e36")</f>
        <v>0</v>
      </c>
      <c r="F40" s="78"/>
      <c r="G40" s="78">
        <f ca="1">INDIRECT("'("&amp;$A$4&amp;"d)'!f36")</f>
        <v>0</v>
      </c>
      <c r="H40" s="62"/>
      <c r="J40" s="74"/>
      <c r="K40" s="74"/>
      <c r="M40" s="74"/>
      <c r="N40" s="74"/>
      <c r="P40" s="76"/>
      <c r="Q40" s="76"/>
      <c r="R40" s="76"/>
      <c r="S40" s="76"/>
      <c r="T40" s="76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s="63" customFormat="1" ht="15" customHeight="1" x14ac:dyDescent="0.3">
      <c r="A41" s="62" t="s">
        <v>39</v>
      </c>
      <c r="B41" s="78">
        <f ca="1">INDIRECT("'("&amp;$A$4&amp;"d)'!C37")</f>
        <v>15</v>
      </c>
      <c r="C41" s="78"/>
      <c r="D41" s="78">
        <f ca="1">INDIRECT("'("&amp;$A$4&amp;"d)'!d37")</f>
        <v>1</v>
      </c>
      <c r="E41" s="78">
        <f ca="1">INDIRECT("'("&amp;$A$4&amp;"d)'!e37")</f>
        <v>0</v>
      </c>
      <c r="F41" s="78"/>
      <c r="G41" s="78">
        <f ca="1">INDIRECT("'("&amp;$A$4&amp;"d)'!f37")</f>
        <v>0</v>
      </c>
      <c r="H41" s="62"/>
      <c r="J41" s="74"/>
      <c r="K41" s="74"/>
      <c r="M41" s="74"/>
      <c r="N41" s="74"/>
      <c r="P41" s="76"/>
      <c r="Q41" s="76"/>
      <c r="R41" s="76"/>
      <c r="S41" s="76"/>
      <c r="T41" s="76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s="63" customFormat="1" ht="15" customHeight="1" x14ac:dyDescent="0.3">
      <c r="A42" s="62" t="s">
        <v>40</v>
      </c>
      <c r="B42" s="78">
        <f ca="1">INDIRECT("'("&amp;$A$4&amp;"d)'!C38")</f>
        <v>11</v>
      </c>
      <c r="C42" s="78"/>
      <c r="D42" s="78">
        <f ca="1">INDIRECT("'("&amp;$A$4&amp;"d)'!d38")</f>
        <v>0</v>
      </c>
      <c r="E42" s="78">
        <f ca="1">INDIRECT("'("&amp;$A$4&amp;"d)'!e38")</f>
        <v>0</v>
      </c>
      <c r="F42" s="78"/>
      <c r="G42" s="78">
        <f ca="1">INDIRECT("'("&amp;$A$4&amp;"d)'!f38")</f>
        <v>0</v>
      </c>
      <c r="H42" s="62"/>
      <c r="J42" s="74"/>
      <c r="K42" s="74"/>
      <c r="M42" s="74"/>
      <c r="N42" s="74"/>
      <c r="P42" s="76"/>
      <c r="Q42" s="76"/>
      <c r="R42" s="76"/>
      <c r="S42" s="76"/>
      <c r="T42" s="76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s="63" customFormat="1" ht="15" customHeight="1" x14ac:dyDescent="0.3">
      <c r="A43" s="62" t="s">
        <v>41</v>
      </c>
      <c r="B43" s="78">
        <f ca="1">INDIRECT("'("&amp;$A$4&amp;"d)'!C39")</f>
        <v>3</v>
      </c>
      <c r="C43" s="78"/>
      <c r="D43" s="78">
        <f ca="1">INDIRECT("'("&amp;$A$4&amp;"d)'!d39")</f>
        <v>1</v>
      </c>
      <c r="E43" s="78">
        <f ca="1">INDIRECT("'("&amp;$A$4&amp;"d)'!e39")</f>
        <v>0</v>
      </c>
      <c r="F43" s="78"/>
      <c r="G43" s="78">
        <f ca="1">INDIRECT("'("&amp;$A$4&amp;"d)'!f39")</f>
        <v>0</v>
      </c>
      <c r="H43" s="62"/>
      <c r="J43" s="74"/>
      <c r="K43" s="74"/>
      <c r="M43" s="74"/>
      <c r="N43" s="74"/>
      <c r="P43" s="76"/>
      <c r="Q43" s="76"/>
      <c r="R43" s="76"/>
      <c r="S43" s="76"/>
      <c r="T43" s="76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 s="63" customFormat="1" ht="15" customHeight="1" x14ac:dyDescent="0.3">
      <c r="A44" s="62" t="s">
        <v>42</v>
      </c>
      <c r="B44" s="78">
        <f ca="1">INDIRECT("'("&amp;$A$4&amp;"d)'!C40")</f>
        <v>13</v>
      </c>
      <c r="C44" s="78"/>
      <c r="D44" s="78">
        <f ca="1">INDIRECT("'("&amp;$A$4&amp;"d)'!d40")</f>
        <v>3</v>
      </c>
      <c r="E44" s="78">
        <f ca="1">INDIRECT("'("&amp;$A$4&amp;"d)'!e40")</f>
        <v>0</v>
      </c>
      <c r="F44" s="78"/>
      <c r="G44" s="78">
        <f ca="1">INDIRECT("'("&amp;$A$4&amp;"d)'!f40")</f>
        <v>0</v>
      </c>
      <c r="H44" s="62"/>
      <c r="J44" s="74"/>
      <c r="K44" s="74"/>
      <c r="M44" s="74"/>
      <c r="N44" s="74"/>
      <c r="P44" s="76"/>
      <c r="Q44" s="76"/>
      <c r="R44" s="76"/>
      <c r="S44" s="76"/>
      <c r="T44" s="7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 s="63" customFormat="1" ht="15" customHeight="1" x14ac:dyDescent="0.3">
      <c r="A45" s="62" t="s">
        <v>43</v>
      </c>
      <c r="B45" s="78">
        <f ca="1">INDIRECT("'("&amp;$A$4&amp;"d)'!C41")</f>
        <v>4</v>
      </c>
      <c r="C45" s="78"/>
      <c r="D45" s="78">
        <f ca="1">INDIRECT("'("&amp;$A$4&amp;"d)'!d41")</f>
        <v>1</v>
      </c>
      <c r="E45" s="78">
        <f ca="1">INDIRECT("'("&amp;$A$4&amp;"d)'!e41")</f>
        <v>0</v>
      </c>
      <c r="F45" s="78"/>
      <c r="G45" s="78">
        <f ca="1">INDIRECT("'("&amp;$A$4&amp;"d)'!f41")</f>
        <v>0</v>
      </c>
      <c r="H45" s="62"/>
      <c r="J45" s="74"/>
      <c r="K45" s="74"/>
      <c r="M45" s="74"/>
      <c r="N45" s="74"/>
      <c r="P45" s="76"/>
      <c r="Q45" s="76"/>
      <c r="R45" s="76"/>
      <c r="S45" s="76"/>
      <c r="T45" s="7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 s="63" customFormat="1" ht="15" customHeight="1" x14ac:dyDescent="0.3">
      <c r="A46" s="62" t="s">
        <v>44</v>
      </c>
      <c r="B46" s="78">
        <f ca="1">INDIRECT("'("&amp;$A$4&amp;"d)'!C42")</f>
        <v>2</v>
      </c>
      <c r="C46" s="78"/>
      <c r="D46" s="78">
        <f ca="1">INDIRECT("'("&amp;$A$4&amp;"d)'!d42")</f>
        <v>2</v>
      </c>
      <c r="E46" s="78">
        <f ca="1">INDIRECT("'("&amp;$A$4&amp;"d)'!e42")</f>
        <v>0</v>
      </c>
      <c r="F46" s="78"/>
      <c r="G46" s="78">
        <f ca="1">INDIRECT("'("&amp;$A$4&amp;"d)'!f42")</f>
        <v>0</v>
      </c>
      <c r="H46" s="62"/>
      <c r="J46" s="74"/>
      <c r="K46" s="74"/>
      <c r="M46" s="74"/>
      <c r="N46" s="74"/>
      <c r="P46" s="76"/>
      <c r="Q46" s="76"/>
      <c r="R46" s="76"/>
      <c r="S46" s="76"/>
      <c r="T46" s="76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 s="63" customFormat="1" ht="15" customHeight="1" x14ac:dyDescent="0.3">
      <c r="A47" s="62" t="s">
        <v>46</v>
      </c>
      <c r="B47" s="78">
        <f ca="1">INDIRECT("'("&amp;$A$4&amp;"d)'!C43")</f>
        <v>0</v>
      </c>
      <c r="C47" s="78"/>
      <c r="D47" s="78">
        <f ca="1">INDIRECT("'("&amp;$A$4&amp;"d)'!d43")</f>
        <v>0</v>
      </c>
      <c r="E47" s="78">
        <f ca="1">INDIRECT("'("&amp;$A$4&amp;"d)'!e43")</f>
        <v>0</v>
      </c>
      <c r="F47" s="78"/>
      <c r="G47" s="78">
        <f ca="1">INDIRECT("'("&amp;$A$4&amp;"d)'!f43")</f>
        <v>0</v>
      </c>
      <c r="H47" s="62"/>
      <c r="J47" s="74"/>
      <c r="K47" s="74"/>
      <c r="M47" s="74"/>
      <c r="N47" s="74"/>
      <c r="P47" s="76"/>
      <c r="Q47" s="76"/>
      <c r="R47" s="76"/>
      <c r="S47" s="76"/>
      <c r="T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 s="63" customFormat="1" ht="15" customHeight="1" x14ac:dyDescent="0.35">
      <c r="A48" s="80" t="s">
        <v>47</v>
      </c>
      <c r="B48" s="90">
        <f ca="1">INDIRECT("'("&amp;$A$4&amp;"d)'!C44")</f>
        <v>207</v>
      </c>
      <c r="C48" s="90"/>
      <c r="D48" s="90">
        <f ca="1">INDIRECT("'("&amp;$A$4&amp;"d)'!d44")</f>
        <v>16</v>
      </c>
      <c r="E48" s="90">
        <f ca="1">INDIRECT("'("&amp;$A$4&amp;"d)'!e44")</f>
        <v>3</v>
      </c>
      <c r="F48" s="90"/>
      <c r="G48" s="90">
        <f ca="1">INDIRECT("'("&amp;$A$4&amp;"d)'!f44")</f>
        <v>0</v>
      </c>
      <c r="H48" s="62"/>
      <c r="J48" s="74"/>
      <c r="K48" s="74"/>
      <c r="M48" s="74"/>
      <c r="N48" s="74"/>
      <c r="P48" s="76"/>
      <c r="Q48" s="76"/>
      <c r="R48" s="76"/>
      <c r="S48" s="76"/>
      <c r="T48" s="76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 s="63" customFormat="1" ht="15" customHeight="1" x14ac:dyDescent="0.35">
      <c r="A49" s="62" t="s">
        <v>48</v>
      </c>
      <c r="B49" s="186">
        <f ca="1">INDIRECT("'("&amp;$A$4&amp;"d)'!C45")</f>
        <v>22</v>
      </c>
      <c r="C49" s="186"/>
      <c r="D49" s="186">
        <f ca="1">INDIRECT("'("&amp;$A$4&amp;"d)'!d45")</f>
        <v>1</v>
      </c>
      <c r="E49" s="186">
        <f ca="1">INDIRECT("'("&amp;$A$4&amp;"d)'!e45")</f>
        <v>0</v>
      </c>
      <c r="F49" s="186"/>
      <c r="G49" s="186">
        <f ca="1">INDIRECT("'("&amp;$A$4&amp;"d)'!f45")</f>
        <v>0</v>
      </c>
      <c r="H49" s="62"/>
      <c r="J49" s="74"/>
      <c r="K49" s="74"/>
      <c r="M49" s="74"/>
      <c r="N49" s="74"/>
      <c r="P49" s="76"/>
      <c r="Q49" s="76"/>
      <c r="R49" s="76"/>
      <c r="S49" s="76"/>
      <c r="T49" s="76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 s="63" customFormat="1" ht="15" customHeight="1" x14ac:dyDescent="0.3">
      <c r="A50" s="62" t="s">
        <v>49</v>
      </c>
      <c r="B50" s="187">
        <f ca="1">INDIRECT("'("&amp;$A$4&amp;"d)'!C46")</f>
        <v>2</v>
      </c>
      <c r="C50" s="187"/>
      <c r="D50" s="187">
        <f ca="1">INDIRECT("'("&amp;$A$4&amp;"d)'!d46")</f>
        <v>0</v>
      </c>
      <c r="E50" s="187">
        <f ca="1">INDIRECT("'("&amp;$A$4&amp;"d)'!e46")</f>
        <v>0</v>
      </c>
      <c r="F50" s="187"/>
      <c r="G50" s="187">
        <f ca="1">INDIRECT("'("&amp;$A$4&amp;"d)'!f46")</f>
        <v>0</v>
      </c>
      <c r="H50" s="62"/>
      <c r="J50" s="74"/>
      <c r="K50" s="74"/>
      <c r="M50" s="74"/>
      <c r="N50" s="74"/>
      <c r="P50" s="76"/>
      <c r="Q50" s="76"/>
      <c r="R50" s="76"/>
      <c r="S50" s="76"/>
      <c r="T50" s="76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 s="63" customFormat="1" ht="15" customHeight="1" x14ac:dyDescent="0.3">
      <c r="A51" s="62" t="s">
        <v>50</v>
      </c>
      <c r="B51" s="78">
        <f ca="1">INDIRECT("'("&amp;$A$4&amp;"d)'!C47")</f>
        <v>27</v>
      </c>
      <c r="C51" s="78"/>
      <c r="D51" s="78">
        <f ca="1">INDIRECT("'("&amp;$A$4&amp;"d)'!d47")</f>
        <v>1</v>
      </c>
      <c r="E51" s="78">
        <f ca="1">INDIRECT("'("&amp;$A$4&amp;"d)'!e47")</f>
        <v>0</v>
      </c>
      <c r="F51" s="78"/>
      <c r="G51" s="78">
        <f ca="1">INDIRECT("'("&amp;$A$4&amp;"d)'!f47")</f>
        <v>0</v>
      </c>
      <c r="H51" s="62"/>
      <c r="J51" s="74"/>
      <c r="K51" s="74"/>
      <c r="M51" s="74"/>
      <c r="N51" s="74"/>
      <c r="P51" s="76"/>
      <c r="Q51" s="76"/>
      <c r="R51" s="76"/>
      <c r="S51" s="76"/>
      <c r="T51" s="76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 s="63" customFormat="1" ht="15" customHeight="1" x14ac:dyDescent="0.3">
      <c r="A52" s="62" t="s">
        <v>51</v>
      </c>
      <c r="B52" s="78">
        <f ca="1">INDIRECT("'("&amp;$A$4&amp;"d)'!C48")</f>
        <v>2</v>
      </c>
      <c r="C52" s="78"/>
      <c r="D52" s="78">
        <f ca="1">INDIRECT("'("&amp;$A$4&amp;"d)'!d48")</f>
        <v>0</v>
      </c>
      <c r="E52" s="78">
        <f ca="1">INDIRECT("'("&amp;$A$4&amp;"d)'!e48")</f>
        <v>0</v>
      </c>
      <c r="F52" s="78"/>
      <c r="G52" s="78">
        <f ca="1">INDIRECT("'("&amp;$A$4&amp;"d)'!f48")</f>
        <v>0</v>
      </c>
      <c r="H52" s="62"/>
      <c r="J52" s="74"/>
      <c r="K52" s="74"/>
      <c r="M52" s="74"/>
      <c r="N52" s="74"/>
      <c r="P52" s="76"/>
      <c r="Q52" s="76"/>
      <c r="R52" s="76"/>
      <c r="S52" s="76"/>
      <c r="T52" s="76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 s="63" customFormat="1" ht="15" customHeight="1" x14ac:dyDescent="0.3">
      <c r="A53" s="62" t="s">
        <v>52</v>
      </c>
      <c r="B53" s="78">
        <f ca="1">INDIRECT("'("&amp;$A$4&amp;"d)'!C49")</f>
        <v>16</v>
      </c>
      <c r="C53" s="78"/>
      <c r="D53" s="78">
        <f ca="1">INDIRECT("'("&amp;$A$4&amp;"d)'!d49")</f>
        <v>2</v>
      </c>
      <c r="E53" s="78">
        <f ca="1">INDIRECT("'("&amp;$A$4&amp;"d)'!e49")</f>
        <v>0</v>
      </c>
      <c r="F53" s="78"/>
      <c r="G53" s="78">
        <f ca="1">INDIRECT("'("&amp;$A$4&amp;"d)'!f49")</f>
        <v>0</v>
      </c>
      <c r="H53" s="62"/>
      <c r="J53" s="74"/>
      <c r="K53" s="74"/>
      <c r="M53" s="74"/>
      <c r="N53" s="74"/>
      <c r="P53" s="76"/>
      <c r="Q53" s="76"/>
      <c r="R53" s="76"/>
      <c r="S53" s="76"/>
      <c r="T53" s="76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 s="63" customFormat="1" ht="15" customHeight="1" x14ac:dyDescent="0.3">
      <c r="A54" s="62" t="s">
        <v>53</v>
      </c>
      <c r="B54" s="78">
        <f ca="1">INDIRECT("'("&amp;$A$4&amp;"d)'!C50")</f>
        <v>15</v>
      </c>
      <c r="C54" s="78"/>
      <c r="D54" s="78">
        <f ca="1">INDIRECT("'("&amp;$A$4&amp;"d)'!d50")</f>
        <v>0</v>
      </c>
      <c r="E54" s="78">
        <f ca="1">INDIRECT("'("&amp;$A$4&amp;"d)'!e50")</f>
        <v>0</v>
      </c>
      <c r="F54" s="78"/>
      <c r="G54" s="78">
        <f ca="1">INDIRECT("'("&amp;$A$4&amp;"d)'!f50")</f>
        <v>0</v>
      </c>
      <c r="H54" s="62"/>
      <c r="J54" s="74"/>
      <c r="K54" s="74"/>
      <c r="M54" s="74"/>
      <c r="N54" s="74"/>
      <c r="P54" s="76"/>
      <c r="Q54" s="76"/>
      <c r="R54" s="76"/>
      <c r="S54" s="76"/>
      <c r="T54" s="76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s="63" customFormat="1" ht="15" customHeight="1" thickBot="1" x14ac:dyDescent="0.35">
      <c r="A55" s="81" t="s">
        <v>54</v>
      </c>
      <c r="B55" s="82">
        <f ca="1">INDIRECT("'("&amp;$A$4&amp;"d)'!C51")</f>
        <v>123</v>
      </c>
      <c r="C55" s="82"/>
      <c r="D55" s="82">
        <f ca="1">INDIRECT("'("&amp;$A$4&amp;"d)'!d51")</f>
        <v>12</v>
      </c>
      <c r="E55" s="82">
        <f ca="1">INDIRECT("'("&amp;$A$4&amp;"d)'!e51")</f>
        <v>3</v>
      </c>
      <c r="F55" s="82"/>
      <c r="G55" s="82">
        <f ca="1">INDIRECT("'("&amp;$A$4&amp;"d)'!f51")</f>
        <v>0</v>
      </c>
      <c r="H55" s="62"/>
      <c r="J55" s="74"/>
      <c r="K55" s="74"/>
      <c r="L55" s="62"/>
      <c r="M55" s="74"/>
      <c r="N55" s="74"/>
      <c r="P55" s="76"/>
      <c r="Q55" s="76"/>
      <c r="R55" s="76"/>
      <c r="S55" s="76"/>
      <c r="T55" s="76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x14ac:dyDescent="0.3">
      <c r="J56" s="74"/>
      <c r="K56" s="74"/>
      <c r="M56" s="74"/>
      <c r="N56" s="74"/>
      <c r="O56" s="74"/>
      <c r="P56" s="74"/>
      <c r="Q56" s="74"/>
      <c r="R56" s="74"/>
      <c r="S56" s="74"/>
      <c r="T56" s="74"/>
    </row>
    <row r="57" spans="1:32" s="63" customFormat="1" ht="15" customHeight="1" x14ac:dyDescent="0.3">
      <c r="A57" s="321"/>
      <c r="B57" s="321"/>
      <c r="C57" s="321"/>
      <c r="D57" s="321"/>
      <c r="E57" s="321"/>
      <c r="F57" s="321"/>
      <c r="G57" s="321"/>
      <c r="H57" s="62"/>
      <c r="I57" s="62"/>
      <c r="J57" s="74"/>
      <c r="K57" s="74"/>
      <c r="L57" s="62"/>
      <c r="M57" s="74"/>
      <c r="N57" s="74"/>
      <c r="O57" s="74"/>
      <c r="P57" s="74"/>
      <c r="Q57" s="74"/>
      <c r="R57" s="74"/>
      <c r="S57" s="74"/>
      <c r="T57" s="74"/>
    </row>
    <row r="58" spans="1:32" s="63" customFormat="1" ht="15" customHeight="1" x14ac:dyDescent="0.3">
      <c r="A58" s="327"/>
      <c r="B58" s="327"/>
      <c r="C58" s="327"/>
      <c r="D58" s="327"/>
      <c r="E58" s="327"/>
      <c r="F58" s="327"/>
      <c r="G58" s="327"/>
      <c r="H58" s="62"/>
      <c r="I58" s="62"/>
      <c r="J58" s="74"/>
      <c r="K58" s="74"/>
      <c r="L58" s="62"/>
      <c r="M58" s="74"/>
      <c r="N58" s="74"/>
      <c r="O58" s="74"/>
      <c r="P58" s="74"/>
      <c r="Q58" s="74"/>
      <c r="R58" s="74"/>
      <c r="S58" s="74"/>
      <c r="T58" s="74"/>
    </row>
    <row r="59" spans="1:32" s="63" customFormat="1" ht="15" customHeight="1" x14ac:dyDescent="0.35">
      <c r="A59" s="84"/>
      <c r="B59" s="62"/>
      <c r="C59" s="62"/>
      <c r="D59" s="62"/>
      <c r="E59" s="62"/>
      <c r="F59" s="62"/>
      <c r="G59" s="62"/>
      <c r="H59" s="62"/>
      <c r="I59" s="62"/>
      <c r="J59" s="74"/>
      <c r="K59" s="74"/>
      <c r="L59" s="62"/>
      <c r="M59" s="74"/>
      <c r="N59" s="74"/>
      <c r="O59" s="74"/>
      <c r="P59" s="74"/>
      <c r="Q59" s="74"/>
      <c r="R59" s="74"/>
      <c r="S59" s="74"/>
      <c r="T59" s="74"/>
    </row>
    <row r="60" spans="1:32" s="63" customFormat="1" x14ac:dyDescent="0.3">
      <c r="A60" s="321"/>
      <c r="B60" s="321"/>
      <c r="C60" s="321"/>
      <c r="D60" s="321"/>
      <c r="E60" s="321"/>
      <c r="F60" s="321"/>
      <c r="G60" s="321"/>
      <c r="H60" s="62"/>
      <c r="I60" s="62"/>
      <c r="J60" s="74"/>
      <c r="K60" s="74"/>
      <c r="L60" s="62"/>
      <c r="M60" s="74"/>
      <c r="N60" s="74"/>
      <c r="O60" s="74"/>
      <c r="P60" s="74"/>
      <c r="Q60" s="74"/>
      <c r="R60" s="74"/>
      <c r="S60" s="74"/>
      <c r="T60" s="74"/>
    </row>
    <row r="61" spans="1:32" s="63" customFormat="1" ht="15" customHeight="1" x14ac:dyDescent="0.3">
      <c r="A61" s="85"/>
      <c r="B61" s="85"/>
      <c r="C61" s="85"/>
      <c r="D61" s="85"/>
      <c r="E61" s="85"/>
      <c r="F61" s="85"/>
      <c r="G61" s="85"/>
      <c r="H61" s="62"/>
      <c r="I61" s="62"/>
      <c r="J61" s="74"/>
      <c r="K61" s="74"/>
      <c r="L61" s="62"/>
      <c r="M61" s="74"/>
      <c r="N61" s="74"/>
      <c r="O61" s="74"/>
      <c r="P61" s="74"/>
      <c r="Q61" s="74"/>
      <c r="R61" s="74"/>
      <c r="S61" s="74"/>
      <c r="T61" s="74"/>
    </row>
    <row r="62" spans="1:32" s="63" customFormat="1" ht="15" customHeight="1" x14ac:dyDescent="0.3">
      <c r="A62" s="62"/>
      <c r="B62" s="60"/>
      <c r="C62" s="60"/>
      <c r="D62" s="60"/>
      <c r="E62" s="60"/>
      <c r="F62" s="60"/>
      <c r="G62" s="60"/>
      <c r="L62" s="62"/>
    </row>
    <row r="63" spans="1:32" s="63" customFormat="1" ht="15" customHeight="1" x14ac:dyDescent="0.35">
      <c r="A63" s="86"/>
      <c r="B63" s="60"/>
      <c r="C63" s="60"/>
      <c r="D63" s="60"/>
      <c r="E63" s="60"/>
      <c r="F63" s="60"/>
      <c r="G63" s="60"/>
      <c r="L63" s="62"/>
    </row>
    <row r="64" spans="1:32" s="63" customFormat="1" ht="15" customHeight="1" x14ac:dyDescent="0.35">
      <c r="A64" s="86"/>
      <c r="B64" s="60"/>
      <c r="C64" s="60"/>
      <c r="D64" s="60"/>
      <c r="E64" s="60"/>
      <c r="F64" s="60"/>
      <c r="G64" s="60"/>
      <c r="L64" s="62"/>
    </row>
    <row r="65" spans="1:12" s="63" customFormat="1" x14ac:dyDescent="0.3">
      <c r="A65" s="321"/>
      <c r="B65" s="321"/>
      <c r="C65" s="321"/>
      <c r="D65" s="321"/>
      <c r="E65" s="321"/>
      <c r="F65" s="321"/>
      <c r="G65" s="321"/>
      <c r="L65" s="62"/>
    </row>
    <row r="67" spans="1:12" s="63" customFormat="1" x14ac:dyDescent="0.3">
      <c r="A67" s="62"/>
      <c r="B67" s="62"/>
      <c r="C67" s="62"/>
      <c r="D67" s="62"/>
      <c r="E67" s="62"/>
      <c r="F67" s="62"/>
      <c r="G67" s="62"/>
      <c r="L67" s="62"/>
    </row>
    <row r="68" spans="1:12" s="63" customFormat="1" ht="14.5" x14ac:dyDescent="0.35">
      <c r="A68" s="86"/>
      <c r="B68" s="62"/>
      <c r="C68" s="62"/>
      <c r="D68" s="62"/>
      <c r="E68" s="62"/>
      <c r="F68" s="62"/>
      <c r="G68" s="62"/>
      <c r="L68" s="62"/>
    </row>
    <row r="75" spans="1:12" x14ac:dyDescent="0.3">
      <c r="J75" s="62" t="s">
        <v>70</v>
      </c>
      <c r="K75" s="63"/>
    </row>
    <row r="76" spans="1:12" x14ac:dyDescent="0.3">
      <c r="J76" s="62" t="s">
        <v>71</v>
      </c>
    </row>
    <row r="77" spans="1:12" x14ac:dyDescent="0.3">
      <c r="J77" s="62" t="s">
        <v>72</v>
      </c>
    </row>
    <row r="78" spans="1:12" x14ac:dyDescent="0.3">
      <c r="J78" s="62" t="s">
        <v>73</v>
      </c>
    </row>
    <row r="79" spans="1:12" x14ac:dyDescent="0.3">
      <c r="J79" s="62" t="s">
        <v>74</v>
      </c>
    </row>
    <row r="80" spans="1:12" x14ac:dyDescent="0.3">
      <c r="J80" s="62" t="s">
        <v>75</v>
      </c>
    </row>
    <row r="81" spans="10:10" x14ac:dyDescent="0.3">
      <c r="J81" s="62" t="s">
        <v>76</v>
      </c>
    </row>
  </sheetData>
  <mergeCells count="9">
    <mergeCell ref="A58:G58"/>
    <mergeCell ref="A60:G60"/>
    <mergeCell ref="A65:G65"/>
    <mergeCell ref="A1:G1"/>
    <mergeCell ref="A4:G4"/>
    <mergeCell ref="B6:B7"/>
    <mergeCell ref="D6:E6"/>
    <mergeCell ref="G6:G7"/>
    <mergeCell ref="A57:G57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B2:AP40"/>
  <sheetViews>
    <sheetView workbookViewId="0">
      <selection activeCell="A2" sqref="A2"/>
    </sheetView>
  </sheetViews>
  <sheetFormatPr defaultRowHeight="13" x14ac:dyDescent="0.3"/>
  <cols>
    <col min="2" max="2" width="16" customWidth="1"/>
  </cols>
  <sheetData>
    <row r="2" spans="2:42" ht="21" x14ac:dyDescent="0.5">
      <c r="B2" s="192"/>
      <c r="C2" s="192">
        <v>2018</v>
      </c>
      <c r="D2" s="192" t="s">
        <v>124</v>
      </c>
      <c r="E2" s="192" t="s">
        <v>125</v>
      </c>
      <c r="H2" s="207" t="s">
        <v>151</v>
      </c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</row>
    <row r="3" spans="2:42" x14ac:dyDescent="0.3">
      <c r="B3" s="193" t="s">
        <v>126</v>
      </c>
      <c r="C3" s="194">
        <f>X6</f>
        <v>2588</v>
      </c>
      <c r="D3" s="194">
        <f>W6</f>
        <v>2523</v>
      </c>
      <c r="E3" s="194">
        <f>S6</f>
        <v>3228</v>
      </c>
      <c r="I3" t="s">
        <v>127</v>
      </c>
      <c r="J3" t="s">
        <v>128</v>
      </c>
      <c r="K3" t="s">
        <v>129</v>
      </c>
      <c r="L3" t="s">
        <v>130</v>
      </c>
      <c r="M3" t="s">
        <v>131</v>
      </c>
      <c r="N3" t="s">
        <v>132</v>
      </c>
      <c r="O3" t="s">
        <v>133</v>
      </c>
      <c r="P3" t="s">
        <v>134</v>
      </c>
      <c r="Q3" t="s">
        <v>135</v>
      </c>
      <c r="R3" t="s">
        <v>136</v>
      </c>
      <c r="S3" t="s">
        <v>137</v>
      </c>
      <c r="T3" t="s">
        <v>138</v>
      </c>
      <c r="U3" t="s">
        <v>139</v>
      </c>
      <c r="V3" t="s">
        <v>140</v>
      </c>
      <c r="W3" t="s">
        <v>141</v>
      </c>
      <c r="X3" t="s">
        <v>150</v>
      </c>
    </row>
    <row r="4" spans="2:42" x14ac:dyDescent="0.3">
      <c r="B4" s="193"/>
      <c r="C4" s="194"/>
      <c r="D4" s="195">
        <f>($C3-D3)/D3</f>
        <v>2.5762980578676178E-2</v>
      </c>
      <c r="E4" s="195">
        <f>($C3-E3)/E3</f>
        <v>-0.19826517967781909</v>
      </c>
      <c r="H4" t="s">
        <v>142</v>
      </c>
      <c r="I4" s="196">
        <v>2909</v>
      </c>
      <c r="J4" s="196">
        <v>3420</v>
      </c>
      <c r="K4" s="196">
        <v>2476</v>
      </c>
      <c r="L4" s="196">
        <v>2122</v>
      </c>
      <c r="M4" s="196">
        <v>1999</v>
      </c>
      <c r="N4" s="196">
        <v>1800</v>
      </c>
      <c r="O4" s="196">
        <v>1486</v>
      </c>
      <c r="P4" s="196">
        <v>1432</v>
      </c>
      <c r="Q4" s="196">
        <v>1229</v>
      </c>
      <c r="R4" s="196">
        <v>1220</v>
      </c>
      <c r="S4" s="196">
        <v>957</v>
      </c>
      <c r="T4" s="196">
        <v>1097</v>
      </c>
      <c r="U4" s="196">
        <v>1037</v>
      </c>
      <c r="V4" s="196">
        <v>1049</v>
      </c>
      <c r="W4" s="196">
        <f>'(2016-17b)'!C5+'(2016-17b)'!D5</f>
        <v>1071</v>
      </c>
      <c r="X4" s="196">
        <f>'(2017-18b)'!C5+'(2017-18b)'!D5</f>
        <v>1052</v>
      </c>
      <c r="Y4" s="197">
        <f>U4/J4</f>
        <v>0.30321637426900583</v>
      </c>
    </row>
    <row r="5" spans="2:42" x14ac:dyDescent="0.3">
      <c r="B5" s="193"/>
      <c r="C5" s="194"/>
      <c r="D5" s="194"/>
      <c r="E5" s="194"/>
      <c r="H5" t="s">
        <v>143</v>
      </c>
      <c r="I5" s="196">
        <v>3390</v>
      </c>
      <c r="J5" s="196">
        <v>3092</v>
      </c>
      <c r="K5" s="196">
        <v>3078</v>
      </c>
      <c r="L5" s="196">
        <v>2471</v>
      </c>
      <c r="M5" s="196">
        <v>2313</v>
      </c>
      <c r="N5" s="196">
        <v>2491</v>
      </c>
      <c r="O5" s="196">
        <v>2342</v>
      </c>
      <c r="P5" s="196">
        <v>2408</v>
      </c>
      <c r="Q5" s="196">
        <v>2266</v>
      </c>
      <c r="R5" s="196">
        <v>2163</v>
      </c>
      <c r="S5" s="196">
        <v>2271</v>
      </c>
      <c r="T5" s="196">
        <v>2049</v>
      </c>
      <c r="U5" s="196">
        <v>1590</v>
      </c>
      <c r="V5" s="196">
        <v>1553</v>
      </c>
      <c r="W5" s="196">
        <f>'(2016-17c)'!C4+'(2016-17d)'!C4</f>
        <v>1452</v>
      </c>
      <c r="X5" s="196">
        <f>'(2017-18c)'!C4+'(2017-18d)'!C4</f>
        <v>1536</v>
      </c>
      <c r="Y5" s="197">
        <f>U5/J5</f>
        <v>0.51423027166882274</v>
      </c>
    </row>
    <row r="6" spans="2:42" x14ac:dyDescent="0.3">
      <c r="B6" s="193"/>
      <c r="C6" s="194"/>
      <c r="D6" s="194"/>
      <c r="E6" s="194"/>
      <c r="I6" s="206">
        <f>I4+I5</f>
        <v>6299</v>
      </c>
      <c r="J6" s="206">
        <f t="shared" ref="J6:X6" si="0">J4+J5</f>
        <v>6512</v>
      </c>
      <c r="K6" s="206">
        <f t="shared" si="0"/>
        <v>5554</v>
      </c>
      <c r="L6" s="206">
        <f t="shared" si="0"/>
        <v>4593</v>
      </c>
      <c r="M6" s="206">
        <f t="shared" si="0"/>
        <v>4312</v>
      </c>
      <c r="N6" s="206">
        <f t="shared" si="0"/>
        <v>4291</v>
      </c>
      <c r="O6" s="206">
        <f t="shared" si="0"/>
        <v>3828</v>
      </c>
      <c r="P6" s="206">
        <f t="shared" si="0"/>
        <v>3840</v>
      </c>
      <c r="Q6" s="206">
        <f t="shared" si="0"/>
        <v>3495</v>
      </c>
      <c r="R6" s="206">
        <f t="shared" si="0"/>
        <v>3383</v>
      </c>
      <c r="S6" s="206">
        <f t="shared" si="0"/>
        <v>3228</v>
      </c>
      <c r="T6" s="206">
        <f t="shared" si="0"/>
        <v>3146</v>
      </c>
      <c r="U6" s="206">
        <f t="shared" si="0"/>
        <v>2627</v>
      </c>
      <c r="V6" s="206">
        <f t="shared" si="0"/>
        <v>2602</v>
      </c>
      <c r="W6" s="206">
        <f t="shared" si="0"/>
        <v>2523</v>
      </c>
      <c r="X6" s="206">
        <f t="shared" si="0"/>
        <v>2588</v>
      </c>
      <c r="Y6" s="197">
        <f>U6/J6</f>
        <v>0.40340909090909088</v>
      </c>
    </row>
    <row r="7" spans="2:42" x14ac:dyDescent="0.3">
      <c r="B7" s="193" t="s">
        <v>144</v>
      </c>
      <c r="C7" s="194">
        <f>X4</f>
        <v>1052</v>
      </c>
      <c r="D7" s="194">
        <f>W4</f>
        <v>1071</v>
      </c>
      <c r="E7" s="194">
        <f>S4</f>
        <v>957</v>
      </c>
      <c r="I7" s="197">
        <f t="shared" ref="I7:K7" si="1">I4/(I4+I5)</f>
        <v>0.46181933640260359</v>
      </c>
      <c r="J7" s="197">
        <f t="shared" si="1"/>
        <v>0.52518427518427513</v>
      </c>
      <c r="K7" s="197">
        <f t="shared" si="1"/>
        <v>0.44580482535109833</v>
      </c>
      <c r="L7" s="197">
        <f>L4/(L4+L5)</f>
        <v>0.46200740256912692</v>
      </c>
      <c r="M7" s="197">
        <f t="shared" ref="M7:U7" si="2">M4/(M4+M5)</f>
        <v>0.46358998144712432</v>
      </c>
      <c r="N7" s="197">
        <f t="shared" si="2"/>
        <v>0.41948263807970171</v>
      </c>
      <c r="O7" s="197">
        <f t="shared" si="2"/>
        <v>0.38819226750261232</v>
      </c>
      <c r="P7" s="197">
        <f t="shared" si="2"/>
        <v>0.37291666666666667</v>
      </c>
      <c r="Q7" s="197">
        <f t="shared" si="2"/>
        <v>0.35164520743919886</v>
      </c>
      <c r="R7" s="197">
        <f t="shared" si="2"/>
        <v>0.36062666272539168</v>
      </c>
      <c r="S7" s="197">
        <f t="shared" si="2"/>
        <v>0.29646840148698883</v>
      </c>
      <c r="T7" s="197">
        <f t="shared" si="2"/>
        <v>0.3486967577876669</v>
      </c>
      <c r="U7" s="197">
        <f t="shared" si="2"/>
        <v>0.39474685953559191</v>
      </c>
      <c r="V7" s="197">
        <f>V4/(V4+V5)</f>
        <v>0.40315142198308995</v>
      </c>
      <c r="W7" s="197">
        <f>W4/(W4+W5)</f>
        <v>0.42449464922711061</v>
      </c>
      <c r="X7" s="197">
        <f>X4/(X4+X5)</f>
        <v>0.40649149922720246</v>
      </c>
    </row>
    <row r="8" spans="2:42" x14ac:dyDescent="0.3">
      <c r="B8" s="193"/>
      <c r="C8" s="193"/>
      <c r="D8" s="195">
        <f>($C7-D7)/D7</f>
        <v>-1.7740429505135387E-2</v>
      </c>
      <c r="E8" s="195">
        <f>($C7-E7)/E7</f>
        <v>9.9268547544409613E-2</v>
      </c>
    </row>
    <row r="9" spans="2:42" x14ac:dyDescent="0.3">
      <c r="H9" s="207" t="s">
        <v>145</v>
      </c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</row>
    <row r="10" spans="2:42" x14ac:dyDescent="0.3">
      <c r="I10" t="s">
        <v>127</v>
      </c>
      <c r="J10" t="s">
        <v>128</v>
      </c>
      <c r="K10" t="s">
        <v>129</v>
      </c>
      <c r="L10" t="s">
        <v>130</v>
      </c>
      <c r="M10" t="s">
        <v>131</v>
      </c>
      <c r="N10" t="s">
        <v>132</v>
      </c>
      <c r="O10" t="s">
        <v>133</v>
      </c>
      <c r="P10" t="s">
        <v>134</v>
      </c>
      <c r="Q10" t="s">
        <v>135</v>
      </c>
      <c r="R10" t="s">
        <v>136</v>
      </c>
      <c r="S10" t="s">
        <v>137</v>
      </c>
      <c r="T10" t="s">
        <v>138</v>
      </c>
      <c r="U10" t="s">
        <v>139</v>
      </c>
      <c r="V10" t="s">
        <v>140</v>
      </c>
      <c r="W10" t="s">
        <v>141</v>
      </c>
      <c r="X10" t="s">
        <v>150</v>
      </c>
    </row>
    <row r="11" spans="2:42" x14ac:dyDescent="0.3">
      <c r="H11" t="s">
        <v>280</v>
      </c>
      <c r="P11">
        <f>'(2009-10b)'!$G$5+'(2009-10b)'!$H$5</f>
        <v>24</v>
      </c>
      <c r="Q11">
        <f>'(2010-11b)'!$G$5+'(2010-11b)'!$H$5</f>
        <v>33</v>
      </c>
      <c r="R11">
        <f>'(2011-12b)'!$G$5+'(2011-12b)'!$H$5</f>
        <v>21</v>
      </c>
      <c r="S11">
        <f>'(2012-13b)'!$G$5+'(2012-13b)'!$H$5</f>
        <v>31</v>
      </c>
      <c r="T11">
        <f>'(2013-14b)'!$G$5+'(2013-14b)'!$H$5</f>
        <v>35</v>
      </c>
      <c r="U11">
        <f>'(2014-15b)'!$G$5+'(2014-15b)'!$H$5</f>
        <v>33</v>
      </c>
      <c r="V11">
        <f>'(2015-16b)'!$G$5+'(2015-16b)'!$H$5</f>
        <v>16</v>
      </c>
      <c r="W11">
        <f>'(2016-17b)'!$G$5+'(2016-17b)'!$H$5</f>
        <v>75</v>
      </c>
      <c r="X11">
        <f>'(2017-18b)'!$G$5+'(2017-18b)'!$H$5</f>
        <v>28</v>
      </c>
    </row>
    <row r="12" spans="2:42" x14ac:dyDescent="0.3">
      <c r="B12" s="198" t="s">
        <v>145</v>
      </c>
      <c r="C12" s="199">
        <v>49</v>
      </c>
      <c r="D12" s="199">
        <v>81</v>
      </c>
      <c r="E12" s="199">
        <v>74</v>
      </c>
      <c r="H12" t="s">
        <v>281</v>
      </c>
      <c r="P12" s="196">
        <f>'(2009-10c)'!$E$4+'(2009-10d)'!$E$4</f>
        <v>54</v>
      </c>
      <c r="Q12" s="196">
        <f>'(2010-11c)'!$E$4+'(2010-11d)'!$E$4</f>
        <v>41</v>
      </c>
      <c r="R12" s="196">
        <f>'(2011-12c)'!$E$4+'(2011-12d)'!$E$4</f>
        <v>39</v>
      </c>
      <c r="S12" s="196">
        <f>'(2012-13c)'!$E$4+'(2012-13d)'!$E$4</f>
        <v>43</v>
      </c>
      <c r="T12" s="196">
        <f>'(2013-14c)'!$E$4+'(2013-14d)'!$E$4</f>
        <v>35</v>
      </c>
      <c r="U12" s="196">
        <f>'(2014-15c)'!$E$4+'(2014-15d)'!$E$4</f>
        <v>48</v>
      </c>
      <c r="V12" s="196">
        <f>'(2015-16c)'!$E$4+'(2015-16d)'!$E$4</f>
        <v>33</v>
      </c>
      <c r="W12" s="196">
        <f>'(2016-17c)'!$E$4+'(2016-17d)'!$E$4</f>
        <v>55</v>
      </c>
      <c r="X12" s="196">
        <f>'(2017-18c)'!$E$4+'(2017-18d)'!$E$4</f>
        <v>33</v>
      </c>
    </row>
    <row r="13" spans="2:42" x14ac:dyDescent="0.3">
      <c r="B13" s="198"/>
      <c r="C13" s="199"/>
      <c r="D13" s="200">
        <f>($C12-D12)/D12</f>
        <v>-0.39506172839506171</v>
      </c>
      <c r="E13" s="200">
        <f>($C12-E12)/E12</f>
        <v>-0.33783783783783783</v>
      </c>
      <c r="I13" s="206">
        <f>I11+I12</f>
        <v>0</v>
      </c>
      <c r="J13" s="206">
        <f t="shared" ref="J13" si="3">J11+J12</f>
        <v>0</v>
      </c>
      <c r="K13" s="206">
        <f t="shared" ref="K13" si="4">K11+K12</f>
        <v>0</v>
      </c>
      <c r="L13" s="206">
        <f t="shared" ref="L13" si="5">L11+L12</f>
        <v>0</v>
      </c>
      <c r="M13" s="206">
        <f t="shared" ref="M13" si="6">M11+M12</f>
        <v>0</v>
      </c>
      <c r="N13" s="206">
        <f t="shared" ref="N13" si="7">N11+N12</f>
        <v>0</v>
      </c>
      <c r="O13" s="206">
        <f t="shared" ref="O13" si="8">O11+O12</f>
        <v>0</v>
      </c>
      <c r="P13" s="206">
        <f t="shared" ref="P13" si="9">P11+P12</f>
        <v>78</v>
      </c>
      <c r="Q13" s="206">
        <f t="shared" ref="Q13" si="10">Q11+Q12</f>
        <v>74</v>
      </c>
      <c r="R13" s="206">
        <f t="shared" ref="R13" si="11">R11+R12</f>
        <v>60</v>
      </c>
      <c r="S13" s="206">
        <f t="shared" ref="S13" si="12">S11+S12</f>
        <v>74</v>
      </c>
      <c r="T13" s="206">
        <f t="shared" ref="T13" si="13">T11+T12</f>
        <v>70</v>
      </c>
      <c r="U13" s="206">
        <f t="shared" ref="U13" si="14">U11+U12</f>
        <v>81</v>
      </c>
      <c r="V13" s="206">
        <f t="shared" ref="V13" si="15">V11+V12</f>
        <v>49</v>
      </c>
      <c r="W13" s="206">
        <f t="shared" ref="W13" si="16">W11+W12</f>
        <v>130</v>
      </c>
      <c r="X13" s="206">
        <f t="shared" ref="X13" si="17">X11+X12</f>
        <v>61</v>
      </c>
    </row>
    <row r="14" spans="2:42" x14ac:dyDescent="0.3">
      <c r="B14" s="198"/>
      <c r="C14" s="199"/>
      <c r="D14" s="199"/>
      <c r="E14" s="199"/>
    </row>
    <row r="15" spans="2:42" ht="13.5" thickBot="1" x14ac:dyDescent="0.35">
      <c r="B15" s="198" t="s">
        <v>144</v>
      </c>
      <c r="C15" s="199">
        <v>16</v>
      </c>
      <c r="D15" s="199">
        <v>33</v>
      </c>
      <c r="E15" s="199">
        <v>33</v>
      </c>
    </row>
    <row r="16" spans="2:42" ht="15" thickBot="1" x14ac:dyDescent="0.4">
      <c r="B16" s="198"/>
      <c r="C16" s="198"/>
      <c r="D16" s="200">
        <f>($C15-D15)/D15</f>
        <v>-0.51515151515151514</v>
      </c>
      <c r="E16" s="200">
        <f>($C15-E15)/E15</f>
        <v>-0.51515151515151514</v>
      </c>
      <c r="H16" s="333" t="s">
        <v>146</v>
      </c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5"/>
    </row>
    <row r="19" spans="2:5" x14ac:dyDescent="0.3">
      <c r="B19" s="201" t="s">
        <v>147</v>
      </c>
      <c r="C19" s="202">
        <v>2764</v>
      </c>
      <c r="D19" s="202">
        <v>2831</v>
      </c>
      <c r="E19" s="202">
        <v>3751</v>
      </c>
    </row>
    <row r="20" spans="2:5" x14ac:dyDescent="0.3">
      <c r="B20" s="201"/>
      <c r="C20" s="201"/>
      <c r="D20" s="203">
        <f>($C19-D19)/D19</f>
        <v>-2.3666548922642177E-2</v>
      </c>
      <c r="E20" s="203">
        <f>($C19-E19)/E19</f>
        <v>-0.26312983204478807</v>
      </c>
    </row>
    <row r="39" spans="8:42" ht="13.5" thickBot="1" x14ac:dyDescent="0.35"/>
    <row r="40" spans="8:42" ht="15" thickBot="1" x14ac:dyDescent="0.4">
      <c r="H40" s="336" t="s">
        <v>148</v>
      </c>
      <c r="I40" s="337"/>
      <c r="J40" s="337"/>
      <c r="K40" s="337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7"/>
      <c r="AO40" s="337"/>
      <c r="AP40" s="338"/>
    </row>
  </sheetData>
  <mergeCells count="2">
    <mergeCell ref="H16:AP16"/>
    <mergeCell ref="H40:AP4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22"/>
  </sheetPr>
  <dimension ref="A1:I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55" customWidth="1"/>
    <col min="3" max="4" width="20" style="55" customWidth="1"/>
    <col min="5" max="5" width="15.26953125" style="55" customWidth="1"/>
    <col min="6" max="6" width="17.7265625" style="55" customWidth="1"/>
    <col min="7" max="256" width="9.26953125" style="55"/>
    <col min="257" max="257" width="0" style="55" hidden="1" customWidth="1"/>
    <col min="258" max="258" width="28.7265625" style="55" customWidth="1"/>
    <col min="259" max="260" width="20" style="55" customWidth="1"/>
    <col min="261" max="261" width="15.26953125" style="55" customWidth="1"/>
    <col min="262" max="262" width="17.7265625" style="55" customWidth="1"/>
    <col min="263" max="512" width="9.26953125" style="55"/>
    <col min="513" max="513" width="0" style="55" hidden="1" customWidth="1"/>
    <col min="514" max="514" width="28.7265625" style="55" customWidth="1"/>
    <col min="515" max="516" width="20" style="55" customWidth="1"/>
    <col min="517" max="517" width="15.26953125" style="55" customWidth="1"/>
    <col min="518" max="518" width="17.7265625" style="55" customWidth="1"/>
    <col min="519" max="768" width="9.26953125" style="55"/>
    <col min="769" max="769" width="0" style="55" hidden="1" customWidth="1"/>
    <col min="770" max="770" width="28.7265625" style="55" customWidth="1"/>
    <col min="771" max="772" width="20" style="55" customWidth="1"/>
    <col min="773" max="773" width="15.26953125" style="55" customWidth="1"/>
    <col min="774" max="774" width="17.7265625" style="55" customWidth="1"/>
    <col min="775" max="1024" width="9.26953125" style="55"/>
    <col min="1025" max="1025" width="0" style="55" hidden="1" customWidth="1"/>
    <col min="1026" max="1026" width="28.7265625" style="55" customWidth="1"/>
    <col min="1027" max="1028" width="20" style="55" customWidth="1"/>
    <col min="1029" max="1029" width="15.26953125" style="55" customWidth="1"/>
    <col min="1030" max="1030" width="17.7265625" style="55" customWidth="1"/>
    <col min="1031" max="1280" width="9.26953125" style="55"/>
    <col min="1281" max="1281" width="0" style="55" hidden="1" customWidth="1"/>
    <col min="1282" max="1282" width="28.7265625" style="55" customWidth="1"/>
    <col min="1283" max="1284" width="20" style="55" customWidth="1"/>
    <col min="1285" max="1285" width="15.26953125" style="55" customWidth="1"/>
    <col min="1286" max="1286" width="17.7265625" style="55" customWidth="1"/>
    <col min="1287" max="1536" width="9.26953125" style="55"/>
    <col min="1537" max="1537" width="0" style="55" hidden="1" customWidth="1"/>
    <col min="1538" max="1538" width="28.7265625" style="55" customWidth="1"/>
    <col min="1539" max="1540" width="20" style="55" customWidth="1"/>
    <col min="1541" max="1541" width="15.26953125" style="55" customWidth="1"/>
    <col min="1542" max="1542" width="17.7265625" style="55" customWidth="1"/>
    <col min="1543" max="1792" width="9.26953125" style="55"/>
    <col min="1793" max="1793" width="0" style="55" hidden="1" customWidth="1"/>
    <col min="1794" max="1794" width="28.7265625" style="55" customWidth="1"/>
    <col min="1795" max="1796" width="20" style="55" customWidth="1"/>
    <col min="1797" max="1797" width="15.26953125" style="55" customWidth="1"/>
    <col min="1798" max="1798" width="17.7265625" style="55" customWidth="1"/>
    <col min="1799" max="2048" width="9.26953125" style="55"/>
    <col min="2049" max="2049" width="0" style="55" hidden="1" customWidth="1"/>
    <col min="2050" max="2050" width="28.7265625" style="55" customWidth="1"/>
    <col min="2051" max="2052" width="20" style="55" customWidth="1"/>
    <col min="2053" max="2053" width="15.26953125" style="55" customWidth="1"/>
    <col min="2054" max="2054" width="17.7265625" style="55" customWidth="1"/>
    <col min="2055" max="2304" width="9.26953125" style="55"/>
    <col min="2305" max="2305" width="0" style="55" hidden="1" customWidth="1"/>
    <col min="2306" max="2306" width="28.7265625" style="55" customWidth="1"/>
    <col min="2307" max="2308" width="20" style="55" customWidth="1"/>
    <col min="2309" max="2309" width="15.26953125" style="55" customWidth="1"/>
    <col min="2310" max="2310" width="17.7265625" style="55" customWidth="1"/>
    <col min="2311" max="2560" width="9.26953125" style="55"/>
    <col min="2561" max="2561" width="0" style="55" hidden="1" customWidth="1"/>
    <col min="2562" max="2562" width="28.7265625" style="55" customWidth="1"/>
    <col min="2563" max="2564" width="20" style="55" customWidth="1"/>
    <col min="2565" max="2565" width="15.26953125" style="55" customWidth="1"/>
    <col min="2566" max="2566" width="17.7265625" style="55" customWidth="1"/>
    <col min="2567" max="2816" width="9.26953125" style="55"/>
    <col min="2817" max="2817" width="0" style="55" hidden="1" customWidth="1"/>
    <col min="2818" max="2818" width="28.7265625" style="55" customWidth="1"/>
    <col min="2819" max="2820" width="20" style="55" customWidth="1"/>
    <col min="2821" max="2821" width="15.26953125" style="55" customWidth="1"/>
    <col min="2822" max="2822" width="17.7265625" style="55" customWidth="1"/>
    <col min="2823" max="3072" width="9.26953125" style="55"/>
    <col min="3073" max="3073" width="0" style="55" hidden="1" customWidth="1"/>
    <col min="3074" max="3074" width="28.7265625" style="55" customWidth="1"/>
    <col min="3075" max="3076" width="20" style="55" customWidth="1"/>
    <col min="3077" max="3077" width="15.26953125" style="55" customWidth="1"/>
    <col min="3078" max="3078" width="17.7265625" style="55" customWidth="1"/>
    <col min="3079" max="3328" width="9.26953125" style="55"/>
    <col min="3329" max="3329" width="0" style="55" hidden="1" customWidth="1"/>
    <col min="3330" max="3330" width="28.7265625" style="55" customWidth="1"/>
    <col min="3331" max="3332" width="20" style="55" customWidth="1"/>
    <col min="3333" max="3333" width="15.26953125" style="55" customWidth="1"/>
    <col min="3334" max="3334" width="17.7265625" style="55" customWidth="1"/>
    <col min="3335" max="3584" width="9.26953125" style="55"/>
    <col min="3585" max="3585" width="0" style="55" hidden="1" customWidth="1"/>
    <col min="3586" max="3586" width="28.7265625" style="55" customWidth="1"/>
    <col min="3587" max="3588" width="20" style="55" customWidth="1"/>
    <col min="3589" max="3589" width="15.26953125" style="55" customWidth="1"/>
    <col min="3590" max="3590" width="17.7265625" style="55" customWidth="1"/>
    <col min="3591" max="3840" width="9.26953125" style="55"/>
    <col min="3841" max="3841" width="0" style="55" hidden="1" customWidth="1"/>
    <col min="3842" max="3842" width="28.7265625" style="55" customWidth="1"/>
    <col min="3843" max="3844" width="20" style="55" customWidth="1"/>
    <col min="3845" max="3845" width="15.26953125" style="55" customWidth="1"/>
    <col min="3846" max="3846" width="17.7265625" style="55" customWidth="1"/>
    <col min="3847" max="4096" width="9.26953125" style="55"/>
    <col min="4097" max="4097" width="0" style="55" hidden="1" customWidth="1"/>
    <col min="4098" max="4098" width="28.7265625" style="55" customWidth="1"/>
    <col min="4099" max="4100" width="20" style="55" customWidth="1"/>
    <col min="4101" max="4101" width="15.26953125" style="55" customWidth="1"/>
    <col min="4102" max="4102" width="17.7265625" style="55" customWidth="1"/>
    <col min="4103" max="4352" width="9.26953125" style="55"/>
    <col min="4353" max="4353" width="0" style="55" hidden="1" customWidth="1"/>
    <col min="4354" max="4354" width="28.7265625" style="55" customWidth="1"/>
    <col min="4355" max="4356" width="20" style="55" customWidth="1"/>
    <col min="4357" max="4357" width="15.26953125" style="55" customWidth="1"/>
    <col min="4358" max="4358" width="17.7265625" style="55" customWidth="1"/>
    <col min="4359" max="4608" width="9.26953125" style="55"/>
    <col min="4609" max="4609" width="0" style="55" hidden="1" customWidth="1"/>
    <col min="4610" max="4610" width="28.7265625" style="55" customWidth="1"/>
    <col min="4611" max="4612" width="20" style="55" customWidth="1"/>
    <col min="4613" max="4613" width="15.26953125" style="55" customWidth="1"/>
    <col min="4614" max="4614" width="17.7265625" style="55" customWidth="1"/>
    <col min="4615" max="4864" width="9.26953125" style="55"/>
    <col min="4865" max="4865" width="0" style="55" hidden="1" customWidth="1"/>
    <col min="4866" max="4866" width="28.7265625" style="55" customWidth="1"/>
    <col min="4867" max="4868" width="20" style="55" customWidth="1"/>
    <col min="4869" max="4869" width="15.26953125" style="55" customWidth="1"/>
    <col min="4870" max="4870" width="17.7265625" style="55" customWidth="1"/>
    <col min="4871" max="5120" width="9.26953125" style="55"/>
    <col min="5121" max="5121" width="0" style="55" hidden="1" customWidth="1"/>
    <col min="5122" max="5122" width="28.7265625" style="55" customWidth="1"/>
    <col min="5123" max="5124" width="20" style="55" customWidth="1"/>
    <col min="5125" max="5125" width="15.26953125" style="55" customWidth="1"/>
    <col min="5126" max="5126" width="17.7265625" style="55" customWidth="1"/>
    <col min="5127" max="5376" width="9.26953125" style="55"/>
    <col min="5377" max="5377" width="0" style="55" hidden="1" customWidth="1"/>
    <col min="5378" max="5378" width="28.7265625" style="55" customWidth="1"/>
    <col min="5379" max="5380" width="20" style="55" customWidth="1"/>
    <col min="5381" max="5381" width="15.26953125" style="55" customWidth="1"/>
    <col min="5382" max="5382" width="17.7265625" style="55" customWidth="1"/>
    <col min="5383" max="5632" width="9.26953125" style="55"/>
    <col min="5633" max="5633" width="0" style="55" hidden="1" customWidth="1"/>
    <col min="5634" max="5634" width="28.7265625" style="55" customWidth="1"/>
    <col min="5635" max="5636" width="20" style="55" customWidth="1"/>
    <col min="5637" max="5637" width="15.26953125" style="55" customWidth="1"/>
    <col min="5638" max="5638" width="17.7265625" style="55" customWidth="1"/>
    <col min="5639" max="5888" width="9.26953125" style="55"/>
    <col min="5889" max="5889" width="0" style="55" hidden="1" customWidth="1"/>
    <col min="5890" max="5890" width="28.7265625" style="55" customWidth="1"/>
    <col min="5891" max="5892" width="20" style="55" customWidth="1"/>
    <col min="5893" max="5893" width="15.26953125" style="55" customWidth="1"/>
    <col min="5894" max="5894" width="17.7265625" style="55" customWidth="1"/>
    <col min="5895" max="6144" width="9.26953125" style="55"/>
    <col min="6145" max="6145" width="0" style="55" hidden="1" customWidth="1"/>
    <col min="6146" max="6146" width="28.7265625" style="55" customWidth="1"/>
    <col min="6147" max="6148" width="20" style="55" customWidth="1"/>
    <col min="6149" max="6149" width="15.26953125" style="55" customWidth="1"/>
    <col min="6150" max="6150" width="17.7265625" style="55" customWidth="1"/>
    <col min="6151" max="6400" width="9.26953125" style="55"/>
    <col min="6401" max="6401" width="0" style="55" hidden="1" customWidth="1"/>
    <col min="6402" max="6402" width="28.7265625" style="55" customWidth="1"/>
    <col min="6403" max="6404" width="20" style="55" customWidth="1"/>
    <col min="6405" max="6405" width="15.26953125" style="55" customWidth="1"/>
    <col min="6406" max="6406" width="17.7265625" style="55" customWidth="1"/>
    <col min="6407" max="6656" width="9.26953125" style="55"/>
    <col min="6657" max="6657" width="0" style="55" hidden="1" customWidth="1"/>
    <col min="6658" max="6658" width="28.7265625" style="55" customWidth="1"/>
    <col min="6659" max="6660" width="20" style="55" customWidth="1"/>
    <col min="6661" max="6661" width="15.26953125" style="55" customWidth="1"/>
    <col min="6662" max="6662" width="17.7265625" style="55" customWidth="1"/>
    <col min="6663" max="6912" width="9.26953125" style="55"/>
    <col min="6913" max="6913" width="0" style="55" hidden="1" customWidth="1"/>
    <col min="6914" max="6914" width="28.7265625" style="55" customWidth="1"/>
    <col min="6915" max="6916" width="20" style="55" customWidth="1"/>
    <col min="6917" max="6917" width="15.26953125" style="55" customWidth="1"/>
    <col min="6918" max="6918" width="17.7265625" style="55" customWidth="1"/>
    <col min="6919" max="7168" width="9.26953125" style="55"/>
    <col min="7169" max="7169" width="0" style="55" hidden="1" customWidth="1"/>
    <col min="7170" max="7170" width="28.7265625" style="55" customWidth="1"/>
    <col min="7171" max="7172" width="20" style="55" customWidth="1"/>
    <col min="7173" max="7173" width="15.26953125" style="55" customWidth="1"/>
    <col min="7174" max="7174" width="17.7265625" style="55" customWidth="1"/>
    <col min="7175" max="7424" width="9.26953125" style="55"/>
    <col min="7425" max="7425" width="0" style="55" hidden="1" customWidth="1"/>
    <col min="7426" max="7426" width="28.7265625" style="55" customWidth="1"/>
    <col min="7427" max="7428" width="20" style="55" customWidth="1"/>
    <col min="7429" max="7429" width="15.26953125" style="55" customWidth="1"/>
    <col min="7430" max="7430" width="17.7265625" style="55" customWidth="1"/>
    <col min="7431" max="7680" width="9.26953125" style="55"/>
    <col min="7681" max="7681" width="0" style="55" hidden="1" customWidth="1"/>
    <col min="7682" max="7682" width="28.7265625" style="55" customWidth="1"/>
    <col min="7683" max="7684" width="20" style="55" customWidth="1"/>
    <col min="7685" max="7685" width="15.26953125" style="55" customWidth="1"/>
    <col min="7686" max="7686" width="17.7265625" style="55" customWidth="1"/>
    <col min="7687" max="7936" width="9.26953125" style="55"/>
    <col min="7937" max="7937" width="0" style="55" hidden="1" customWidth="1"/>
    <col min="7938" max="7938" width="28.7265625" style="55" customWidth="1"/>
    <col min="7939" max="7940" width="20" style="55" customWidth="1"/>
    <col min="7941" max="7941" width="15.26953125" style="55" customWidth="1"/>
    <col min="7942" max="7942" width="17.7265625" style="55" customWidth="1"/>
    <col min="7943" max="8192" width="9.26953125" style="55"/>
    <col min="8193" max="8193" width="0" style="55" hidden="1" customWidth="1"/>
    <col min="8194" max="8194" width="28.7265625" style="55" customWidth="1"/>
    <col min="8195" max="8196" width="20" style="55" customWidth="1"/>
    <col min="8197" max="8197" width="15.26953125" style="55" customWidth="1"/>
    <col min="8198" max="8198" width="17.7265625" style="55" customWidth="1"/>
    <col min="8199" max="8448" width="9.26953125" style="55"/>
    <col min="8449" max="8449" width="0" style="55" hidden="1" customWidth="1"/>
    <col min="8450" max="8450" width="28.7265625" style="55" customWidth="1"/>
    <col min="8451" max="8452" width="20" style="55" customWidth="1"/>
    <col min="8453" max="8453" width="15.26953125" style="55" customWidth="1"/>
    <col min="8454" max="8454" width="17.7265625" style="55" customWidth="1"/>
    <col min="8455" max="8704" width="9.26953125" style="55"/>
    <col min="8705" max="8705" width="0" style="55" hidden="1" customWidth="1"/>
    <col min="8706" max="8706" width="28.7265625" style="55" customWidth="1"/>
    <col min="8707" max="8708" width="20" style="55" customWidth="1"/>
    <col min="8709" max="8709" width="15.26953125" style="55" customWidth="1"/>
    <col min="8710" max="8710" width="17.7265625" style="55" customWidth="1"/>
    <col min="8711" max="8960" width="9.26953125" style="55"/>
    <col min="8961" max="8961" width="0" style="55" hidden="1" customWidth="1"/>
    <col min="8962" max="8962" width="28.7265625" style="55" customWidth="1"/>
    <col min="8963" max="8964" width="20" style="55" customWidth="1"/>
    <col min="8965" max="8965" width="15.26953125" style="55" customWidth="1"/>
    <col min="8966" max="8966" width="17.7265625" style="55" customWidth="1"/>
    <col min="8967" max="9216" width="9.26953125" style="55"/>
    <col min="9217" max="9217" width="0" style="55" hidden="1" customWidth="1"/>
    <col min="9218" max="9218" width="28.7265625" style="55" customWidth="1"/>
    <col min="9219" max="9220" width="20" style="55" customWidth="1"/>
    <col min="9221" max="9221" width="15.26953125" style="55" customWidth="1"/>
    <col min="9222" max="9222" width="17.7265625" style="55" customWidth="1"/>
    <col min="9223" max="9472" width="9.26953125" style="55"/>
    <col min="9473" max="9473" width="0" style="55" hidden="1" customWidth="1"/>
    <col min="9474" max="9474" width="28.7265625" style="55" customWidth="1"/>
    <col min="9475" max="9476" width="20" style="55" customWidth="1"/>
    <col min="9477" max="9477" width="15.26953125" style="55" customWidth="1"/>
    <col min="9478" max="9478" width="17.7265625" style="55" customWidth="1"/>
    <col min="9479" max="9728" width="9.26953125" style="55"/>
    <col min="9729" max="9729" width="0" style="55" hidden="1" customWidth="1"/>
    <col min="9730" max="9730" width="28.7265625" style="55" customWidth="1"/>
    <col min="9731" max="9732" width="20" style="55" customWidth="1"/>
    <col min="9733" max="9733" width="15.26953125" style="55" customWidth="1"/>
    <col min="9734" max="9734" width="17.7265625" style="55" customWidth="1"/>
    <col min="9735" max="9984" width="9.26953125" style="55"/>
    <col min="9985" max="9985" width="0" style="55" hidden="1" customWidth="1"/>
    <col min="9986" max="9986" width="28.7265625" style="55" customWidth="1"/>
    <col min="9987" max="9988" width="20" style="55" customWidth="1"/>
    <col min="9989" max="9989" width="15.26953125" style="55" customWidth="1"/>
    <col min="9990" max="9990" width="17.7265625" style="55" customWidth="1"/>
    <col min="9991" max="10240" width="9.26953125" style="55"/>
    <col min="10241" max="10241" width="0" style="55" hidden="1" customWidth="1"/>
    <col min="10242" max="10242" width="28.7265625" style="55" customWidth="1"/>
    <col min="10243" max="10244" width="20" style="55" customWidth="1"/>
    <col min="10245" max="10245" width="15.26953125" style="55" customWidth="1"/>
    <col min="10246" max="10246" width="17.7265625" style="55" customWidth="1"/>
    <col min="10247" max="10496" width="9.26953125" style="55"/>
    <col min="10497" max="10497" width="0" style="55" hidden="1" customWidth="1"/>
    <col min="10498" max="10498" width="28.7265625" style="55" customWidth="1"/>
    <col min="10499" max="10500" width="20" style="55" customWidth="1"/>
    <col min="10501" max="10501" width="15.26953125" style="55" customWidth="1"/>
    <col min="10502" max="10502" width="17.7265625" style="55" customWidth="1"/>
    <col min="10503" max="10752" width="9.26953125" style="55"/>
    <col min="10753" max="10753" width="0" style="55" hidden="1" customWidth="1"/>
    <col min="10754" max="10754" width="28.7265625" style="55" customWidth="1"/>
    <col min="10755" max="10756" width="20" style="55" customWidth="1"/>
    <col min="10757" max="10757" width="15.26953125" style="55" customWidth="1"/>
    <col min="10758" max="10758" width="17.7265625" style="55" customWidth="1"/>
    <col min="10759" max="11008" width="9.26953125" style="55"/>
    <col min="11009" max="11009" width="0" style="55" hidden="1" customWidth="1"/>
    <col min="11010" max="11010" width="28.7265625" style="55" customWidth="1"/>
    <col min="11011" max="11012" width="20" style="55" customWidth="1"/>
    <col min="11013" max="11013" width="15.26953125" style="55" customWidth="1"/>
    <col min="11014" max="11014" width="17.7265625" style="55" customWidth="1"/>
    <col min="11015" max="11264" width="9.26953125" style="55"/>
    <col min="11265" max="11265" width="0" style="55" hidden="1" customWidth="1"/>
    <col min="11266" max="11266" width="28.7265625" style="55" customWidth="1"/>
    <col min="11267" max="11268" width="20" style="55" customWidth="1"/>
    <col min="11269" max="11269" width="15.26953125" style="55" customWidth="1"/>
    <col min="11270" max="11270" width="17.7265625" style="55" customWidth="1"/>
    <col min="11271" max="11520" width="9.26953125" style="55"/>
    <col min="11521" max="11521" width="0" style="55" hidden="1" customWidth="1"/>
    <col min="11522" max="11522" width="28.7265625" style="55" customWidth="1"/>
    <col min="11523" max="11524" width="20" style="55" customWidth="1"/>
    <col min="11525" max="11525" width="15.26953125" style="55" customWidth="1"/>
    <col min="11526" max="11526" width="17.7265625" style="55" customWidth="1"/>
    <col min="11527" max="11776" width="9.26953125" style="55"/>
    <col min="11777" max="11777" width="0" style="55" hidden="1" customWidth="1"/>
    <col min="11778" max="11778" width="28.7265625" style="55" customWidth="1"/>
    <col min="11779" max="11780" width="20" style="55" customWidth="1"/>
    <col min="11781" max="11781" width="15.26953125" style="55" customWidth="1"/>
    <col min="11782" max="11782" width="17.7265625" style="55" customWidth="1"/>
    <col min="11783" max="12032" width="9.26953125" style="55"/>
    <col min="12033" max="12033" width="0" style="55" hidden="1" customWidth="1"/>
    <col min="12034" max="12034" width="28.7265625" style="55" customWidth="1"/>
    <col min="12035" max="12036" width="20" style="55" customWidth="1"/>
    <col min="12037" max="12037" width="15.26953125" style="55" customWidth="1"/>
    <col min="12038" max="12038" width="17.7265625" style="55" customWidth="1"/>
    <col min="12039" max="12288" width="9.26953125" style="55"/>
    <col min="12289" max="12289" width="0" style="55" hidden="1" customWidth="1"/>
    <col min="12290" max="12290" width="28.7265625" style="55" customWidth="1"/>
    <col min="12291" max="12292" width="20" style="55" customWidth="1"/>
    <col min="12293" max="12293" width="15.26953125" style="55" customWidth="1"/>
    <col min="12294" max="12294" width="17.7265625" style="55" customWidth="1"/>
    <col min="12295" max="12544" width="9.26953125" style="55"/>
    <col min="12545" max="12545" width="0" style="55" hidden="1" customWidth="1"/>
    <col min="12546" max="12546" width="28.7265625" style="55" customWidth="1"/>
    <col min="12547" max="12548" width="20" style="55" customWidth="1"/>
    <col min="12549" max="12549" width="15.26953125" style="55" customWidth="1"/>
    <col min="12550" max="12550" width="17.7265625" style="55" customWidth="1"/>
    <col min="12551" max="12800" width="9.26953125" style="55"/>
    <col min="12801" max="12801" width="0" style="55" hidden="1" customWidth="1"/>
    <col min="12802" max="12802" width="28.7265625" style="55" customWidth="1"/>
    <col min="12803" max="12804" width="20" style="55" customWidth="1"/>
    <col min="12805" max="12805" width="15.26953125" style="55" customWidth="1"/>
    <col min="12806" max="12806" width="17.7265625" style="55" customWidth="1"/>
    <col min="12807" max="13056" width="9.26953125" style="55"/>
    <col min="13057" max="13057" width="0" style="55" hidden="1" customWidth="1"/>
    <col min="13058" max="13058" width="28.7265625" style="55" customWidth="1"/>
    <col min="13059" max="13060" width="20" style="55" customWidth="1"/>
    <col min="13061" max="13061" width="15.26953125" style="55" customWidth="1"/>
    <col min="13062" max="13062" width="17.7265625" style="55" customWidth="1"/>
    <col min="13063" max="13312" width="9.26953125" style="55"/>
    <col min="13313" max="13313" width="0" style="55" hidden="1" customWidth="1"/>
    <col min="13314" max="13314" width="28.7265625" style="55" customWidth="1"/>
    <col min="13315" max="13316" width="20" style="55" customWidth="1"/>
    <col min="13317" max="13317" width="15.26953125" style="55" customWidth="1"/>
    <col min="13318" max="13318" width="17.7265625" style="55" customWidth="1"/>
    <col min="13319" max="13568" width="9.26953125" style="55"/>
    <col min="13569" max="13569" width="0" style="55" hidden="1" customWidth="1"/>
    <col min="13570" max="13570" width="28.7265625" style="55" customWidth="1"/>
    <col min="13571" max="13572" width="20" style="55" customWidth="1"/>
    <col min="13573" max="13573" width="15.26953125" style="55" customWidth="1"/>
    <col min="13574" max="13574" width="17.7265625" style="55" customWidth="1"/>
    <col min="13575" max="13824" width="9.26953125" style="55"/>
    <col min="13825" max="13825" width="0" style="55" hidden="1" customWidth="1"/>
    <col min="13826" max="13826" width="28.7265625" style="55" customWidth="1"/>
    <col min="13827" max="13828" width="20" style="55" customWidth="1"/>
    <col min="13829" max="13829" width="15.26953125" style="55" customWidth="1"/>
    <col min="13830" max="13830" width="17.7265625" style="55" customWidth="1"/>
    <col min="13831" max="14080" width="9.26953125" style="55"/>
    <col min="14081" max="14081" width="0" style="55" hidden="1" customWidth="1"/>
    <col min="14082" max="14082" width="28.7265625" style="55" customWidth="1"/>
    <col min="14083" max="14084" width="20" style="55" customWidth="1"/>
    <col min="14085" max="14085" width="15.26953125" style="55" customWidth="1"/>
    <col min="14086" max="14086" width="17.7265625" style="55" customWidth="1"/>
    <col min="14087" max="14336" width="9.26953125" style="55"/>
    <col min="14337" max="14337" width="0" style="55" hidden="1" customWidth="1"/>
    <col min="14338" max="14338" width="28.7265625" style="55" customWidth="1"/>
    <col min="14339" max="14340" width="20" style="55" customWidth="1"/>
    <col min="14341" max="14341" width="15.26953125" style="55" customWidth="1"/>
    <col min="14342" max="14342" width="17.7265625" style="55" customWidth="1"/>
    <col min="14343" max="14592" width="9.26953125" style="55"/>
    <col min="14593" max="14593" width="0" style="55" hidden="1" customWidth="1"/>
    <col min="14594" max="14594" width="28.7265625" style="55" customWidth="1"/>
    <col min="14595" max="14596" width="20" style="55" customWidth="1"/>
    <col min="14597" max="14597" width="15.26953125" style="55" customWidth="1"/>
    <col min="14598" max="14598" width="17.7265625" style="55" customWidth="1"/>
    <col min="14599" max="14848" width="9.26953125" style="55"/>
    <col min="14849" max="14849" width="0" style="55" hidden="1" customWidth="1"/>
    <col min="14850" max="14850" width="28.7265625" style="55" customWidth="1"/>
    <col min="14851" max="14852" width="20" style="55" customWidth="1"/>
    <col min="14853" max="14853" width="15.26953125" style="55" customWidth="1"/>
    <col min="14854" max="14854" width="17.7265625" style="55" customWidth="1"/>
    <col min="14855" max="15104" width="9.26953125" style="55"/>
    <col min="15105" max="15105" width="0" style="55" hidden="1" customWidth="1"/>
    <col min="15106" max="15106" width="28.7265625" style="55" customWidth="1"/>
    <col min="15107" max="15108" width="20" style="55" customWidth="1"/>
    <col min="15109" max="15109" width="15.26953125" style="55" customWidth="1"/>
    <col min="15110" max="15110" width="17.7265625" style="55" customWidth="1"/>
    <col min="15111" max="15360" width="9.26953125" style="55"/>
    <col min="15361" max="15361" width="0" style="55" hidden="1" customWidth="1"/>
    <col min="15362" max="15362" width="28.7265625" style="55" customWidth="1"/>
    <col min="15363" max="15364" width="20" style="55" customWidth="1"/>
    <col min="15365" max="15365" width="15.26953125" style="55" customWidth="1"/>
    <col min="15366" max="15366" width="17.7265625" style="55" customWidth="1"/>
    <col min="15367" max="15616" width="9.26953125" style="55"/>
    <col min="15617" max="15617" width="0" style="55" hidden="1" customWidth="1"/>
    <col min="15618" max="15618" width="28.7265625" style="55" customWidth="1"/>
    <col min="15619" max="15620" width="20" style="55" customWidth="1"/>
    <col min="15621" max="15621" width="15.26953125" style="55" customWidth="1"/>
    <col min="15622" max="15622" width="17.7265625" style="55" customWidth="1"/>
    <col min="15623" max="15872" width="9.26953125" style="55"/>
    <col min="15873" max="15873" width="0" style="55" hidden="1" customWidth="1"/>
    <col min="15874" max="15874" width="28.7265625" style="55" customWidth="1"/>
    <col min="15875" max="15876" width="20" style="55" customWidth="1"/>
    <col min="15877" max="15877" width="15.26953125" style="55" customWidth="1"/>
    <col min="15878" max="15878" width="17.7265625" style="55" customWidth="1"/>
    <col min="15879" max="16128" width="9.26953125" style="55"/>
    <col min="16129" max="16129" width="0" style="55" hidden="1" customWidth="1"/>
    <col min="16130" max="16130" width="28.7265625" style="55" customWidth="1"/>
    <col min="16131" max="16132" width="20" style="55" customWidth="1"/>
    <col min="16133" max="16133" width="15.26953125" style="55" customWidth="1"/>
    <col min="16134" max="16134" width="17.7265625" style="55" customWidth="1"/>
    <col min="16135" max="16384" width="9.26953125" style="55"/>
  </cols>
  <sheetData>
    <row r="1" spans="1:9" ht="60" customHeight="1" x14ac:dyDescent="0.3">
      <c r="B1" s="298" t="s">
        <v>100</v>
      </c>
      <c r="C1" s="298"/>
      <c r="D1" s="298"/>
      <c r="E1" s="298"/>
      <c r="F1" s="298"/>
    </row>
    <row r="2" spans="1:9" ht="14.5" x14ac:dyDescent="0.3">
      <c r="B2" s="299"/>
      <c r="C2" s="300" t="s">
        <v>1</v>
      </c>
      <c r="D2" s="302" t="s">
        <v>2</v>
      </c>
      <c r="E2" s="302"/>
    </row>
    <row r="3" spans="1:9" ht="27" x14ac:dyDescent="0.3">
      <c r="A3" s="4"/>
      <c r="B3" s="299"/>
      <c r="C3" s="301"/>
      <c r="D3" s="56" t="s">
        <v>3</v>
      </c>
      <c r="E3" s="56" t="s">
        <v>4</v>
      </c>
      <c r="F3" s="56" t="s">
        <v>5</v>
      </c>
    </row>
    <row r="4" spans="1:9" ht="24" customHeight="1" x14ac:dyDescent="0.3">
      <c r="A4" s="4"/>
      <c r="B4" s="6" t="s">
        <v>6</v>
      </c>
      <c r="C4" s="7">
        <v>3495</v>
      </c>
      <c r="D4" s="7">
        <v>747</v>
      </c>
      <c r="E4" s="7">
        <v>74</v>
      </c>
      <c r="F4" s="7">
        <v>2</v>
      </c>
    </row>
    <row r="5" spans="1:9" s="11" customFormat="1" ht="25.5" customHeight="1" x14ac:dyDescent="0.3">
      <c r="A5" s="9"/>
      <c r="B5" s="10" t="s">
        <v>7</v>
      </c>
      <c r="C5" s="7">
        <v>2342</v>
      </c>
      <c r="D5" s="7">
        <v>482</v>
      </c>
      <c r="E5" s="7">
        <v>41</v>
      </c>
      <c r="F5" s="7">
        <v>2</v>
      </c>
    </row>
    <row r="6" spans="1:9" ht="12.75" customHeight="1" x14ac:dyDescent="0.3">
      <c r="A6" s="12">
        <v>51</v>
      </c>
      <c r="B6" s="13" t="s">
        <v>8</v>
      </c>
      <c r="C6" s="174">
        <v>74</v>
      </c>
      <c r="D6" s="174">
        <v>13</v>
      </c>
      <c r="E6" s="174">
        <v>0</v>
      </c>
      <c r="F6" s="174">
        <v>0</v>
      </c>
    </row>
    <row r="7" spans="1:9" ht="12.75" customHeight="1" x14ac:dyDescent="0.3">
      <c r="A7" s="12">
        <v>52</v>
      </c>
      <c r="B7" s="13" t="s">
        <v>9</v>
      </c>
      <c r="C7" s="174">
        <v>119</v>
      </c>
      <c r="D7" s="174">
        <v>30</v>
      </c>
      <c r="E7" s="174">
        <v>1</v>
      </c>
      <c r="F7" s="174">
        <v>0</v>
      </c>
    </row>
    <row r="8" spans="1:9" x14ac:dyDescent="0.3">
      <c r="A8" s="12">
        <v>86</v>
      </c>
      <c r="B8" s="13" t="s">
        <v>10</v>
      </c>
      <c r="C8" s="174">
        <v>75</v>
      </c>
      <c r="D8" s="174">
        <v>19</v>
      </c>
      <c r="E8" s="174">
        <v>6</v>
      </c>
      <c r="F8" s="174">
        <v>0</v>
      </c>
    </row>
    <row r="9" spans="1:9" ht="12.75" customHeight="1" x14ac:dyDescent="0.3">
      <c r="A9" s="12">
        <v>53</v>
      </c>
      <c r="B9" s="13" t="s">
        <v>11</v>
      </c>
      <c r="C9" s="174">
        <v>42</v>
      </c>
      <c r="D9" s="174">
        <v>7</v>
      </c>
      <c r="E9" s="174">
        <v>1</v>
      </c>
      <c r="F9" s="174">
        <v>0</v>
      </c>
    </row>
    <row r="10" spans="1:9" ht="12.75" customHeight="1" x14ac:dyDescent="0.3">
      <c r="A10" s="12">
        <v>54</v>
      </c>
      <c r="B10" s="13" t="s">
        <v>12</v>
      </c>
      <c r="C10" s="174">
        <v>126</v>
      </c>
      <c r="D10" s="174">
        <v>16</v>
      </c>
      <c r="E10" s="174">
        <v>0</v>
      </c>
      <c r="F10" s="174">
        <v>0</v>
      </c>
    </row>
    <row r="11" spans="1:9" ht="12.75" customHeight="1" x14ac:dyDescent="0.3">
      <c r="A11" s="12">
        <v>55</v>
      </c>
      <c r="B11" s="13" t="s">
        <v>13</v>
      </c>
      <c r="C11" s="174">
        <v>19</v>
      </c>
      <c r="D11" s="174">
        <v>5</v>
      </c>
      <c r="E11" s="174">
        <v>1</v>
      </c>
      <c r="F11" s="174">
        <v>0</v>
      </c>
    </row>
    <row r="12" spans="1:9" ht="12.75" customHeight="1" x14ac:dyDescent="0.3">
      <c r="A12" s="12">
        <v>56</v>
      </c>
      <c r="B12" s="13" t="s">
        <v>14</v>
      </c>
      <c r="C12" s="174">
        <v>21</v>
      </c>
      <c r="D12" s="174">
        <v>5</v>
      </c>
      <c r="E12" s="174">
        <v>1</v>
      </c>
      <c r="F12" s="174">
        <v>0</v>
      </c>
      <c r="I12" s="172"/>
    </row>
    <row r="13" spans="1:9" ht="12.75" customHeight="1" x14ac:dyDescent="0.3">
      <c r="A13" s="12">
        <v>57</v>
      </c>
      <c r="B13" s="13" t="s">
        <v>15</v>
      </c>
      <c r="C13" s="174">
        <v>50</v>
      </c>
      <c r="D13" s="174">
        <v>14</v>
      </c>
      <c r="E13" s="174">
        <v>0</v>
      </c>
      <c r="F13" s="174">
        <v>0</v>
      </c>
      <c r="I13" s="172"/>
    </row>
    <row r="14" spans="1:9" ht="12.75" customHeight="1" x14ac:dyDescent="0.3">
      <c r="A14" s="12">
        <v>59</v>
      </c>
      <c r="B14" s="13" t="s">
        <v>16</v>
      </c>
      <c r="C14" s="174">
        <v>15</v>
      </c>
      <c r="D14" s="174">
        <v>10</v>
      </c>
      <c r="E14" s="174">
        <v>0</v>
      </c>
      <c r="F14" s="174">
        <v>0</v>
      </c>
    </row>
    <row r="15" spans="1:9" ht="12.75" customHeight="1" x14ac:dyDescent="0.3">
      <c r="A15" s="12">
        <v>60</v>
      </c>
      <c r="B15" s="13" t="s">
        <v>17</v>
      </c>
      <c r="C15" s="174">
        <v>40</v>
      </c>
      <c r="D15" s="174">
        <v>11</v>
      </c>
      <c r="E15" s="174">
        <v>0</v>
      </c>
      <c r="F15" s="174">
        <v>0</v>
      </c>
    </row>
    <row r="16" spans="1:9" ht="12.75" customHeight="1" x14ac:dyDescent="0.3">
      <c r="A16" s="12">
        <v>61</v>
      </c>
      <c r="B16" s="15" t="s">
        <v>18</v>
      </c>
      <c r="C16" s="174">
        <v>131</v>
      </c>
      <c r="D16" s="174">
        <v>21</v>
      </c>
      <c r="E16" s="174">
        <v>5</v>
      </c>
      <c r="F16" s="174">
        <v>0</v>
      </c>
    </row>
    <row r="17" spans="1:6" s="183" customFormat="1" ht="12.75" customHeight="1" x14ac:dyDescent="0.3">
      <c r="A17" s="12"/>
      <c r="B17" s="130" t="s">
        <v>122</v>
      </c>
      <c r="C17" s="163">
        <v>112</v>
      </c>
      <c r="D17" s="163">
        <v>21</v>
      </c>
      <c r="E17" s="163">
        <v>0</v>
      </c>
      <c r="F17" s="163">
        <v>0</v>
      </c>
    </row>
    <row r="18" spans="1:6" ht="12.75" customHeight="1" x14ac:dyDescent="0.3">
      <c r="A18" s="12">
        <v>58</v>
      </c>
      <c r="B18" s="13" t="s">
        <v>20</v>
      </c>
      <c r="C18" s="174">
        <v>15</v>
      </c>
      <c r="D18" s="174">
        <v>0</v>
      </c>
      <c r="E18" s="174">
        <v>0</v>
      </c>
      <c r="F18" s="174">
        <v>0</v>
      </c>
    </row>
    <row r="19" spans="1:6" ht="12.75" customHeight="1" x14ac:dyDescent="0.3">
      <c r="A19" s="12">
        <v>63</v>
      </c>
      <c r="B19" s="13" t="s">
        <v>21</v>
      </c>
      <c r="C19" s="174">
        <v>95</v>
      </c>
      <c r="D19" s="174">
        <v>16</v>
      </c>
      <c r="E19" s="174">
        <v>1</v>
      </c>
      <c r="F19" s="174">
        <v>0</v>
      </c>
    </row>
    <row r="20" spans="1:6" ht="12.75" customHeight="1" x14ac:dyDescent="0.3">
      <c r="A20" s="12">
        <v>64</v>
      </c>
      <c r="B20" s="13" t="s">
        <v>22</v>
      </c>
      <c r="C20" s="174">
        <v>96</v>
      </c>
      <c r="D20" s="174">
        <v>12</v>
      </c>
      <c r="E20" s="174">
        <v>4</v>
      </c>
      <c r="F20" s="174">
        <v>0</v>
      </c>
    </row>
    <row r="21" spans="1:6" x14ac:dyDescent="0.3">
      <c r="A21" s="12">
        <v>65</v>
      </c>
      <c r="B21" s="13" t="s">
        <v>23</v>
      </c>
      <c r="C21" s="174">
        <v>72</v>
      </c>
      <c r="D21" s="174">
        <v>18</v>
      </c>
      <c r="E21" s="174">
        <v>0</v>
      </c>
      <c r="F21" s="174">
        <v>0</v>
      </c>
    </row>
    <row r="22" spans="1:6" ht="12.75" customHeight="1" x14ac:dyDescent="0.3">
      <c r="A22" s="12">
        <v>67</v>
      </c>
      <c r="B22" s="13" t="s">
        <v>24</v>
      </c>
      <c r="C22" s="174">
        <v>127</v>
      </c>
      <c r="D22" s="174">
        <v>17</v>
      </c>
      <c r="E22" s="174">
        <v>2</v>
      </c>
      <c r="F22" s="174">
        <v>2</v>
      </c>
    </row>
    <row r="23" spans="1:6" x14ac:dyDescent="0.3">
      <c r="A23" s="12">
        <v>68</v>
      </c>
      <c r="B23" s="13" t="s">
        <v>25</v>
      </c>
      <c r="C23" s="174">
        <v>91</v>
      </c>
      <c r="D23" s="174">
        <v>21</v>
      </c>
      <c r="E23" s="174">
        <v>2</v>
      </c>
      <c r="F23" s="174">
        <v>0</v>
      </c>
    </row>
    <row r="24" spans="1:6" x14ac:dyDescent="0.3">
      <c r="A24" s="12">
        <v>69</v>
      </c>
      <c r="B24" s="13" t="s">
        <v>26</v>
      </c>
      <c r="C24" s="174">
        <v>68</v>
      </c>
      <c r="D24" s="174">
        <v>17</v>
      </c>
      <c r="E24" s="174">
        <v>2</v>
      </c>
      <c r="F24" s="174">
        <v>0</v>
      </c>
    </row>
    <row r="25" spans="1:6" x14ac:dyDescent="0.3">
      <c r="A25" s="12">
        <v>70</v>
      </c>
      <c r="B25" s="13" t="s">
        <v>27</v>
      </c>
      <c r="C25" s="174">
        <v>59</v>
      </c>
      <c r="D25" s="174">
        <v>9</v>
      </c>
      <c r="E25" s="174">
        <v>0</v>
      </c>
      <c r="F25" s="174">
        <v>0</v>
      </c>
    </row>
    <row r="26" spans="1:6" x14ac:dyDescent="0.3">
      <c r="A26" s="12">
        <v>71</v>
      </c>
      <c r="B26" s="16" t="s">
        <v>28</v>
      </c>
      <c r="C26" s="174">
        <v>12</v>
      </c>
      <c r="D26" s="174">
        <v>3</v>
      </c>
      <c r="E26" s="174">
        <v>0</v>
      </c>
      <c r="F26" s="174">
        <v>0</v>
      </c>
    </row>
    <row r="27" spans="1:6" x14ac:dyDescent="0.3">
      <c r="A27" s="12">
        <v>73</v>
      </c>
      <c r="B27" s="13" t="s">
        <v>29</v>
      </c>
      <c r="C27" s="17">
        <v>78</v>
      </c>
      <c r="D27" s="17">
        <v>13</v>
      </c>
      <c r="E27" s="17">
        <v>1</v>
      </c>
      <c r="F27" s="17">
        <v>0</v>
      </c>
    </row>
    <row r="28" spans="1:6" x14ac:dyDescent="0.3">
      <c r="A28" s="12">
        <v>74</v>
      </c>
      <c r="B28" s="13" t="s">
        <v>30</v>
      </c>
      <c r="C28" s="174">
        <v>55</v>
      </c>
      <c r="D28" s="174">
        <v>13</v>
      </c>
      <c r="E28" s="174">
        <v>0</v>
      </c>
      <c r="F28" s="174">
        <v>0</v>
      </c>
    </row>
    <row r="29" spans="1:6" x14ac:dyDescent="0.3">
      <c r="A29" s="12">
        <v>75</v>
      </c>
      <c r="B29" s="13" t="s">
        <v>31</v>
      </c>
      <c r="C29" s="174">
        <v>51</v>
      </c>
      <c r="D29" s="174">
        <v>13</v>
      </c>
      <c r="E29" s="174">
        <v>0</v>
      </c>
      <c r="F29" s="174">
        <v>0</v>
      </c>
    </row>
    <row r="30" spans="1:6" x14ac:dyDescent="0.3">
      <c r="A30" s="12">
        <v>76</v>
      </c>
      <c r="B30" s="13" t="s">
        <v>32</v>
      </c>
      <c r="C30" s="174">
        <v>17</v>
      </c>
      <c r="D30" s="174">
        <v>7</v>
      </c>
      <c r="E30" s="174">
        <v>0</v>
      </c>
      <c r="F30" s="174">
        <v>0</v>
      </c>
    </row>
    <row r="31" spans="1:6" x14ac:dyDescent="0.3">
      <c r="A31" s="12">
        <v>79</v>
      </c>
      <c r="B31" s="13" t="s">
        <v>33</v>
      </c>
      <c r="C31" s="174">
        <v>82</v>
      </c>
      <c r="D31" s="174">
        <v>38</v>
      </c>
      <c r="E31" s="174">
        <v>0</v>
      </c>
      <c r="F31" s="174">
        <v>0</v>
      </c>
    </row>
    <row r="32" spans="1:6" x14ac:dyDescent="0.3">
      <c r="A32" s="12">
        <v>80</v>
      </c>
      <c r="B32" s="13" t="s">
        <v>34</v>
      </c>
      <c r="C32" s="174">
        <v>46</v>
      </c>
      <c r="D32" s="174">
        <v>6</v>
      </c>
      <c r="E32" s="174">
        <v>1</v>
      </c>
      <c r="F32" s="174">
        <v>0</v>
      </c>
    </row>
    <row r="33" spans="1:6" x14ac:dyDescent="0.3">
      <c r="A33" s="12">
        <v>81</v>
      </c>
      <c r="B33" s="13" t="s">
        <v>35</v>
      </c>
      <c r="C33" s="174">
        <v>66</v>
      </c>
      <c r="D33" s="174">
        <v>14</v>
      </c>
      <c r="E33" s="174">
        <v>0</v>
      </c>
      <c r="F33" s="174">
        <v>0</v>
      </c>
    </row>
    <row r="34" spans="1:6" x14ac:dyDescent="0.3">
      <c r="A34" s="12">
        <v>83</v>
      </c>
      <c r="B34" s="13" t="s">
        <v>36</v>
      </c>
      <c r="C34" s="174">
        <v>26</v>
      </c>
      <c r="D34" s="174">
        <v>0</v>
      </c>
      <c r="E34" s="174">
        <v>4</v>
      </c>
      <c r="F34" s="174">
        <v>0</v>
      </c>
    </row>
    <row r="35" spans="1:6" x14ac:dyDescent="0.3">
      <c r="A35" s="12">
        <v>84</v>
      </c>
      <c r="B35" s="13" t="s">
        <v>37</v>
      </c>
      <c r="C35" s="174">
        <v>74</v>
      </c>
      <c r="D35" s="174">
        <v>19</v>
      </c>
      <c r="E35" s="174">
        <v>2</v>
      </c>
      <c r="F35" s="174">
        <v>0</v>
      </c>
    </row>
    <row r="36" spans="1:6" x14ac:dyDescent="0.3">
      <c r="A36" s="12">
        <v>85</v>
      </c>
      <c r="B36" s="13" t="s">
        <v>38</v>
      </c>
      <c r="C36" s="174">
        <v>56</v>
      </c>
      <c r="D36" s="174">
        <v>6</v>
      </c>
      <c r="E36" s="174">
        <v>0</v>
      </c>
      <c r="F36" s="174">
        <v>0</v>
      </c>
    </row>
    <row r="37" spans="1:6" x14ac:dyDescent="0.3">
      <c r="A37" s="12">
        <v>87</v>
      </c>
      <c r="B37" s="13" t="s">
        <v>39</v>
      </c>
      <c r="C37" s="174">
        <v>46</v>
      </c>
      <c r="D37" s="174">
        <v>8</v>
      </c>
      <c r="E37" s="174">
        <v>0</v>
      </c>
      <c r="F37" s="174">
        <v>0</v>
      </c>
    </row>
    <row r="38" spans="1:6" x14ac:dyDescent="0.3">
      <c r="A38" s="12">
        <v>90</v>
      </c>
      <c r="B38" s="13" t="s">
        <v>40</v>
      </c>
      <c r="C38" s="174">
        <v>72</v>
      </c>
      <c r="D38" s="174">
        <v>8</v>
      </c>
      <c r="E38" s="174">
        <v>0</v>
      </c>
      <c r="F38" s="174">
        <v>0</v>
      </c>
    </row>
    <row r="39" spans="1:6" x14ac:dyDescent="0.3">
      <c r="A39" s="12">
        <v>91</v>
      </c>
      <c r="B39" s="13" t="s">
        <v>41</v>
      </c>
      <c r="C39" s="174">
        <v>52</v>
      </c>
      <c r="D39" s="174">
        <v>9</v>
      </c>
      <c r="E39" s="174">
        <v>2</v>
      </c>
      <c r="F39" s="174">
        <v>0</v>
      </c>
    </row>
    <row r="40" spans="1:6" x14ac:dyDescent="0.3">
      <c r="A40" s="12">
        <v>92</v>
      </c>
      <c r="B40" s="13" t="s">
        <v>42</v>
      </c>
      <c r="C40" s="174">
        <v>66</v>
      </c>
      <c r="D40" s="174">
        <v>15</v>
      </c>
      <c r="E40" s="174">
        <v>0</v>
      </c>
      <c r="F40" s="174">
        <v>0</v>
      </c>
    </row>
    <row r="41" spans="1:6" x14ac:dyDescent="0.3">
      <c r="A41" s="12">
        <v>94</v>
      </c>
      <c r="B41" s="13" t="s">
        <v>43</v>
      </c>
      <c r="C41" s="174">
        <v>42</v>
      </c>
      <c r="D41" s="174">
        <v>15</v>
      </c>
      <c r="E41" s="174">
        <v>1</v>
      </c>
      <c r="F41" s="174">
        <v>0</v>
      </c>
    </row>
    <row r="42" spans="1:6" x14ac:dyDescent="0.3">
      <c r="A42" s="12">
        <v>96</v>
      </c>
      <c r="B42" s="13" t="s">
        <v>44</v>
      </c>
      <c r="C42" s="174">
        <v>54</v>
      </c>
      <c r="D42" s="174">
        <v>13</v>
      </c>
      <c r="E42" s="174">
        <v>4</v>
      </c>
      <c r="F42" s="174">
        <v>0</v>
      </c>
    </row>
    <row r="43" spans="1:6" x14ac:dyDescent="0.3">
      <c r="A43" s="12">
        <v>72</v>
      </c>
      <c r="B43" s="16" t="s">
        <v>46</v>
      </c>
      <c r="C43" s="174">
        <v>0</v>
      </c>
      <c r="D43" s="174">
        <v>0</v>
      </c>
      <c r="E43" s="174">
        <v>0</v>
      </c>
      <c r="F43" s="174">
        <v>0</v>
      </c>
    </row>
    <row r="44" spans="1:6" s="11" customFormat="1" ht="25.5" customHeight="1" x14ac:dyDescent="0.3">
      <c r="B44" s="6" t="s">
        <v>47</v>
      </c>
      <c r="C44" s="7">
        <v>1153</v>
      </c>
      <c r="D44" s="7">
        <v>265</v>
      </c>
      <c r="E44" s="7">
        <v>33</v>
      </c>
      <c r="F44" s="7">
        <v>0</v>
      </c>
    </row>
    <row r="45" spans="1:6" ht="12.75" customHeight="1" x14ac:dyDescent="0.3">
      <c r="A45" s="12">
        <v>66</v>
      </c>
      <c r="B45" s="19" t="s">
        <v>48</v>
      </c>
      <c r="C45" s="174">
        <v>132</v>
      </c>
      <c r="D45" s="174">
        <v>27</v>
      </c>
      <c r="E45" s="174">
        <v>2</v>
      </c>
      <c r="F45" s="174">
        <v>0</v>
      </c>
    </row>
    <row r="46" spans="1:6" ht="12.75" customHeight="1" x14ac:dyDescent="0.3">
      <c r="A46" s="12">
        <v>78</v>
      </c>
      <c r="B46" s="13" t="s">
        <v>49</v>
      </c>
      <c r="C46" s="174">
        <v>56</v>
      </c>
      <c r="D46" s="174">
        <v>15</v>
      </c>
      <c r="E46" s="174">
        <v>2</v>
      </c>
      <c r="F46" s="174">
        <v>0</v>
      </c>
    </row>
    <row r="47" spans="1:6" ht="12.75" customHeight="1" x14ac:dyDescent="0.3">
      <c r="A47" s="12">
        <v>89</v>
      </c>
      <c r="B47" s="13" t="s">
        <v>50</v>
      </c>
      <c r="C47" s="174">
        <v>94</v>
      </c>
      <c r="D47" s="174">
        <v>11</v>
      </c>
      <c r="E47" s="174">
        <v>0</v>
      </c>
      <c r="F47" s="174">
        <v>0</v>
      </c>
    </row>
    <row r="48" spans="1:6" ht="12.75" customHeight="1" x14ac:dyDescent="0.3">
      <c r="A48" s="12">
        <v>93</v>
      </c>
      <c r="B48" s="13" t="s">
        <v>51</v>
      </c>
      <c r="C48" s="174">
        <v>32</v>
      </c>
      <c r="D48" s="174">
        <v>3</v>
      </c>
      <c r="E48" s="174">
        <v>9</v>
      </c>
      <c r="F48" s="174">
        <v>0</v>
      </c>
    </row>
    <row r="49" spans="1:6" ht="12.75" customHeight="1" x14ac:dyDescent="0.3">
      <c r="A49" s="12">
        <v>95</v>
      </c>
      <c r="B49" s="13" t="s">
        <v>52</v>
      </c>
      <c r="C49" s="174">
        <v>123</v>
      </c>
      <c r="D49" s="174">
        <v>21</v>
      </c>
      <c r="E49" s="174">
        <v>3</v>
      </c>
      <c r="F49" s="174">
        <v>0</v>
      </c>
    </row>
    <row r="50" spans="1:6" ht="12.75" customHeight="1" x14ac:dyDescent="0.3">
      <c r="A50" s="12">
        <v>97</v>
      </c>
      <c r="B50" s="13" t="s">
        <v>53</v>
      </c>
      <c r="C50" s="174">
        <v>198</v>
      </c>
      <c r="D50" s="174">
        <v>32</v>
      </c>
      <c r="E50" s="174">
        <v>3</v>
      </c>
      <c r="F50" s="174">
        <v>0</v>
      </c>
    </row>
    <row r="51" spans="1:6" ht="12.75" customHeight="1" x14ac:dyDescent="0.3">
      <c r="A51" s="12">
        <v>77</v>
      </c>
      <c r="B51" s="20" t="s">
        <v>54</v>
      </c>
      <c r="C51" s="175">
        <v>518</v>
      </c>
      <c r="D51" s="175">
        <v>156</v>
      </c>
      <c r="E51" s="175">
        <v>14</v>
      </c>
      <c r="F51" s="175">
        <v>0</v>
      </c>
    </row>
    <row r="53" spans="1:6" ht="12.75" customHeight="1" x14ac:dyDescent="0.3">
      <c r="B53" s="12" t="s">
        <v>55</v>
      </c>
      <c r="C53" s="22"/>
    </row>
    <row r="54" spans="1:6" ht="12.75" customHeight="1" x14ac:dyDescent="0.3">
      <c r="B54" s="291" t="s">
        <v>56</v>
      </c>
      <c r="C54" s="292"/>
      <c r="D54" s="292"/>
      <c r="E54" s="292"/>
      <c r="F54" s="292"/>
    </row>
    <row r="55" spans="1:6" ht="12.75" customHeight="1" x14ac:dyDescent="0.3">
      <c r="B55" s="292"/>
      <c r="C55" s="292"/>
      <c r="D55" s="292"/>
      <c r="E55" s="292"/>
      <c r="F55" s="292"/>
    </row>
    <row r="56" spans="1:6" ht="12.7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2.75" customHeight="1" x14ac:dyDescent="0.3">
      <c r="B58" s="292"/>
      <c r="C58" s="292"/>
      <c r="D58" s="292"/>
      <c r="E58" s="292"/>
      <c r="F58" s="292"/>
    </row>
    <row r="59" spans="1:6" ht="12.75" customHeight="1" x14ac:dyDescent="0.3">
      <c r="B59" s="292"/>
      <c r="C59" s="292"/>
      <c r="D59" s="292"/>
      <c r="E59" s="292"/>
      <c r="F59" s="292"/>
    </row>
    <row r="60" spans="1:6" ht="39" customHeight="1" x14ac:dyDescent="0.3">
      <c r="B60" s="292"/>
      <c r="C60" s="292"/>
      <c r="D60" s="292"/>
      <c r="E60" s="292"/>
      <c r="F60" s="292"/>
    </row>
    <row r="61" spans="1:6" ht="12.75" customHeight="1" x14ac:dyDescent="0.3">
      <c r="B61" s="23"/>
      <c r="C61" s="23"/>
      <c r="D61" s="23"/>
      <c r="E61" s="23"/>
      <c r="F61" s="23"/>
    </row>
    <row r="62" spans="1:6" ht="12.75" customHeight="1" x14ac:dyDescent="0.3">
      <c r="B62" s="24" t="s">
        <v>57</v>
      </c>
      <c r="C62" s="25"/>
      <c r="D62" s="25"/>
      <c r="E62" s="25"/>
    </row>
    <row r="63" spans="1:6" x14ac:dyDescent="0.3">
      <c r="B63" s="26"/>
      <c r="C63" s="25"/>
      <c r="D63" s="25"/>
      <c r="E63" s="25"/>
    </row>
    <row r="64" spans="1:6" x14ac:dyDescent="0.3">
      <c r="C64" s="25"/>
      <c r="D64" s="25"/>
      <c r="E64" s="25"/>
    </row>
    <row r="65" spans="2:5" x14ac:dyDescent="0.3">
      <c r="B65" s="27"/>
      <c r="C65" s="25"/>
      <c r="D65" s="25"/>
      <c r="E65" s="25"/>
    </row>
    <row r="66" spans="2:5" x14ac:dyDescent="0.3">
      <c r="C66" s="25"/>
      <c r="D66" s="25"/>
      <c r="E66" s="25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6C813-2CBD-4580-ABDB-1DC750DD8067}">
  <dimension ref="A1"/>
  <sheetViews>
    <sheetView workbookViewId="0">
      <selection activeCell="A2" sqref="A2"/>
    </sheetView>
  </sheetViews>
  <sheetFormatPr defaultRowHeight="13" x14ac:dyDescent="0.3"/>
  <sheetData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4182-B134-4CF8-A340-82C926DDBB83}">
  <sheetPr codeName="Sheet56"/>
  <dimension ref="A1:A29"/>
  <sheetViews>
    <sheetView workbookViewId="0">
      <selection activeCell="A2" sqref="A2"/>
    </sheetView>
  </sheetViews>
  <sheetFormatPr defaultColWidth="8.7265625" defaultRowHeight="14.5" x14ac:dyDescent="0.35"/>
  <cols>
    <col min="1" max="16384" width="8.7265625" style="256"/>
  </cols>
  <sheetData>
    <row r="1" spans="1:1" x14ac:dyDescent="0.35">
      <c r="A1" s="256" t="s">
        <v>252</v>
      </c>
    </row>
    <row r="2" spans="1:1" x14ac:dyDescent="0.35">
      <c r="A2" s="256" t="s">
        <v>251</v>
      </c>
    </row>
    <row r="4" spans="1:1" x14ac:dyDescent="0.35">
      <c r="A4" s="256" t="s">
        <v>250</v>
      </c>
    </row>
    <row r="5" spans="1:1" x14ac:dyDescent="0.35">
      <c r="A5" s="256" t="s">
        <v>249</v>
      </c>
    </row>
    <row r="6" spans="1:1" x14ac:dyDescent="0.35">
      <c r="A6" s="256" t="s">
        <v>248</v>
      </c>
    </row>
    <row r="8" spans="1:1" x14ac:dyDescent="0.35">
      <c r="A8" s="256" t="s">
        <v>247</v>
      </c>
    </row>
    <row r="9" spans="1:1" x14ac:dyDescent="0.35">
      <c r="A9" s="256" t="s">
        <v>246</v>
      </c>
    </row>
    <row r="11" spans="1:1" x14ac:dyDescent="0.35">
      <c r="A11" s="256" t="s">
        <v>245</v>
      </c>
    </row>
    <row r="12" spans="1:1" x14ac:dyDescent="0.35">
      <c r="A12" s="256" t="e">
        <f>--LEFT OUTER JOIN TblPropertyTypes ON dbo.vINCIDENT.PROPERTY_TYPE_CODE = TblPropertyTypes.PROPERTY_TYPE_CODE</f>
        <v>#NAME?</v>
      </c>
    </row>
    <row r="13" spans="1:1" x14ac:dyDescent="0.35">
      <c r="A13" s="256" t="s">
        <v>244</v>
      </c>
    </row>
    <row r="16" spans="1:1" x14ac:dyDescent="0.35">
      <c r="A16" s="256" t="s">
        <v>243</v>
      </c>
    </row>
    <row r="17" spans="1:1" x14ac:dyDescent="0.35">
      <c r="A17" s="256" t="s">
        <v>242</v>
      </c>
    </row>
    <row r="18" spans="1:1" x14ac:dyDescent="0.35">
      <c r="A18" s="256" t="s">
        <v>241</v>
      </c>
    </row>
    <row r="19" spans="1:1" x14ac:dyDescent="0.35">
      <c r="A19" s="256" t="s">
        <v>240</v>
      </c>
    </row>
    <row r="20" spans="1:1" x14ac:dyDescent="0.35">
      <c r="A20" s="256" t="s">
        <v>239</v>
      </c>
    </row>
    <row r="21" spans="1:1" x14ac:dyDescent="0.35">
      <c r="A21" s="256" t="s">
        <v>238</v>
      </c>
    </row>
    <row r="22" spans="1:1" x14ac:dyDescent="0.35">
      <c r="A22" s="256" t="s">
        <v>237</v>
      </c>
    </row>
    <row r="23" spans="1:1" x14ac:dyDescent="0.35">
      <c r="A23" s="256" t="s">
        <v>236</v>
      </c>
    </row>
    <row r="25" spans="1:1" x14ac:dyDescent="0.35">
      <c r="A25" s="256" t="s">
        <v>235</v>
      </c>
    </row>
    <row r="26" spans="1:1" x14ac:dyDescent="0.35">
      <c r="A26" s="256" t="s">
        <v>233</v>
      </c>
    </row>
    <row r="28" spans="1:1" x14ac:dyDescent="0.35">
      <c r="A28" s="256" t="s">
        <v>234</v>
      </c>
    </row>
    <row r="29" spans="1:1" x14ac:dyDescent="0.35">
      <c r="A29" s="256" t="s">
        <v>233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AF84"/>
  <sheetViews>
    <sheetView tabSelected="1" zoomScaleNormal="100" workbookViewId="0">
      <pane ySplit="8" topLeftCell="A9" activePane="bottomLeft" state="frozen"/>
      <selection activeCell="B22" sqref="B22"/>
      <selection pane="bottomLeft" activeCell="A4" sqref="A4"/>
    </sheetView>
  </sheetViews>
  <sheetFormatPr defaultColWidth="9.26953125" defaultRowHeight="13" x14ac:dyDescent="0.3"/>
  <cols>
    <col min="1" max="1" width="50.7265625" style="62" customWidth="1"/>
    <col min="2" max="2" width="19.7265625" style="62" customWidth="1"/>
    <col min="3" max="3" width="8.7265625" style="62" customWidth="1"/>
    <col min="4" max="5" width="19.7265625" style="62" customWidth="1"/>
    <col min="6" max="6" width="8.7265625" style="62" customWidth="1"/>
    <col min="7" max="7" width="19.7265625" style="62" customWidth="1"/>
    <col min="8" max="9" width="9.26953125" style="62" customWidth="1"/>
    <col min="10" max="10" width="9.26953125" style="62" hidden="1" customWidth="1"/>
    <col min="11" max="11" width="9.26953125" style="62" customWidth="1"/>
    <col min="12" max="12" width="10" style="62" bestFit="1" customWidth="1"/>
    <col min="13" max="13" width="11.7265625" style="62" customWidth="1"/>
    <col min="14" max="18" width="9.26953125" style="62"/>
    <col min="19" max="19" width="11" style="62" customWidth="1"/>
    <col min="20" max="16384" width="9.26953125" style="62"/>
  </cols>
  <sheetData>
    <row r="1" spans="1:32" s="61" customFormat="1" ht="17" x14ac:dyDescent="0.5">
      <c r="A1" s="325" t="s">
        <v>121</v>
      </c>
      <c r="B1" s="325"/>
      <c r="C1" s="325"/>
      <c r="D1" s="325"/>
      <c r="E1" s="325"/>
      <c r="F1" s="325"/>
      <c r="G1" s="325"/>
      <c r="H1" s="59"/>
      <c r="I1" s="59"/>
      <c r="J1" s="60"/>
      <c r="K1" s="60"/>
    </row>
    <row r="2" spans="1:32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32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2"/>
      <c r="I3" s="62"/>
      <c r="J3" s="62"/>
      <c r="K3" s="62"/>
    </row>
    <row r="4" spans="1:32" s="63" customFormat="1" ht="15" customHeight="1" x14ac:dyDescent="0.3">
      <c r="A4" s="280" t="s">
        <v>277</v>
      </c>
      <c r="B4" s="65"/>
      <c r="C4" s="65"/>
      <c r="D4" s="65"/>
      <c r="E4" s="65"/>
      <c r="F4" s="65"/>
      <c r="G4" s="65"/>
      <c r="H4" s="62"/>
      <c r="I4" s="62"/>
      <c r="J4" s="62"/>
      <c r="K4" s="62"/>
      <c r="L4" s="62"/>
    </row>
    <row r="5" spans="1:32" s="63" customFormat="1" ht="15" thickBot="1" x14ac:dyDescent="0.4">
      <c r="A5" s="62"/>
      <c r="B5" s="91"/>
      <c r="C5" s="91"/>
      <c r="D5" s="285">
        <f>IF(OR($A$4="2017-18",$A$4="2018-19"),7,3)</f>
        <v>7</v>
      </c>
      <c r="E5" s="91"/>
      <c r="F5" s="91"/>
      <c r="G5" s="91"/>
      <c r="H5" s="62"/>
      <c r="I5" s="62"/>
      <c r="J5" s="68"/>
      <c r="K5" s="68"/>
      <c r="M5" s="68"/>
      <c r="N5" s="68"/>
      <c r="P5" s="68"/>
      <c r="Q5" s="68"/>
      <c r="R5" s="68"/>
      <c r="S5" s="68"/>
      <c r="T5" s="68"/>
      <c r="W5" s="69"/>
    </row>
    <row r="6" spans="1:32" s="63" customFormat="1" ht="30" customHeight="1" thickBot="1" x14ac:dyDescent="0.4">
      <c r="A6" s="95"/>
      <c r="B6" s="331" t="s">
        <v>1</v>
      </c>
      <c r="C6" s="96"/>
      <c r="D6" s="342" t="s">
        <v>79</v>
      </c>
      <c r="E6" s="342"/>
      <c r="F6" s="97"/>
      <c r="G6" s="331" t="s">
        <v>117</v>
      </c>
      <c r="H6" s="62"/>
      <c r="I6" s="62"/>
      <c r="J6" s="68"/>
      <c r="K6" s="68"/>
      <c r="M6" s="68"/>
      <c r="N6" s="68"/>
      <c r="P6" s="68"/>
      <c r="Q6" s="68"/>
      <c r="R6" s="68"/>
      <c r="S6" s="68"/>
      <c r="T6" s="68"/>
      <c r="W6" s="69"/>
    </row>
    <row r="7" spans="1:32" s="72" customFormat="1" ht="45" customHeight="1" thickBot="1" x14ac:dyDescent="0.35">
      <c r="A7" s="98" t="s">
        <v>67</v>
      </c>
      <c r="B7" s="332"/>
      <c r="C7" s="99"/>
      <c r="D7" s="100" t="str">
        <f>_xlfn.CONCAT("Number of 'over ",IF($D$5=7,"7","3")," day' injuries'")</f>
        <v>Number of 'over 7 day' injuries'</v>
      </c>
      <c r="E7" s="100" t="s">
        <v>80</v>
      </c>
      <c r="F7" s="99"/>
      <c r="G7" s="332"/>
      <c r="L7" s="62"/>
    </row>
    <row r="8" spans="1:32" s="63" customFormat="1" ht="15" customHeight="1" x14ac:dyDescent="0.35">
      <c r="A8" s="77" t="s">
        <v>6</v>
      </c>
      <c r="B8" s="73">
        <f ca="1">'FIRE0508a raw'!B8</f>
        <v>2646</v>
      </c>
      <c r="C8" s="73"/>
      <c r="D8" s="73">
        <f ca="1">'FIRE0508a raw'!D8</f>
        <v>340</v>
      </c>
      <c r="E8" s="73">
        <f ca="1">'FIRE0508a raw'!E8</f>
        <v>54</v>
      </c>
      <c r="F8" s="73"/>
      <c r="G8" s="73">
        <f ca="1">'FIRE0508a raw'!G8</f>
        <v>0</v>
      </c>
      <c r="H8" s="62"/>
      <c r="J8" s="74"/>
      <c r="K8" s="74"/>
      <c r="M8" s="74"/>
      <c r="N8" s="74"/>
      <c r="P8" s="76"/>
      <c r="Q8" s="76"/>
      <c r="R8" s="76"/>
      <c r="S8" s="76"/>
      <c r="T8" s="76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s="63" customFormat="1" ht="15" customHeight="1" x14ac:dyDescent="0.35">
      <c r="A9" s="101" t="s">
        <v>68</v>
      </c>
      <c r="B9" s="73">
        <f ca="1">'FIRE0508a raw'!B9</f>
        <v>1789</v>
      </c>
      <c r="C9" s="73"/>
      <c r="D9" s="73">
        <f ca="1">'FIRE0508a raw'!D9</f>
        <v>227</v>
      </c>
      <c r="E9" s="73">
        <f ca="1">'FIRE0508a raw'!E9</f>
        <v>42</v>
      </c>
      <c r="F9" s="73"/>
      <c r="G9" s="73">
        <f ca="1">'FIRE0508a raw'!G9</f>
        <v>0</v>
      </c>
      <c r="H9" s="62"/>
      <c r="J9" s="74"/>
      <c r="K9" s="74"/>
      <c r="M9" s="74"/>
      <c r="N9" s="74"/>
      <c r="P9" s="76"/>
      <c r="Q9" s="76"/>
      <c r="R9" s="76"/>
      <c r="S9" s="76"/>
      <c r="T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s="63" customFormat="1" ht="15" customHeight="1" x14ac:dyDescent="0.35">
      <c r="A10" s="95" t="s">
        <v>8</v>
      </c>
      <c r="B10" s="281">
        <f ca="1">'FIRE0508a raw'!B10</f>
        <v>51</v>
      </c>
      <c r="C10" s="281"/>
      <c r="D10" s="281">
        <f ca="1">'FIRE0508a raw'!D10</f>
        <v>5</v>
      </c>
      <c r="E10" s="281">
        <f ca="1">'FIRE0508a raw'!E10</f>
        <v>0</v>
      </c>
      <c r="F10" s="281"/>
      <c r="G10" s="281">
        <f ca="1">'FIRE0508a raw'!G10</f>
        <v>0</v>
      </c>
      <c r="H10" s="62"/>
      <c r="J10" s="74"/>
      <c r="K10" s="74"/>
      <c r="M10" s="74"/>
      <c r="N10" s="74"/>
      <c r="P10" s="76"/>
      <c r="Q10" s="76"/>
      <c r="R10" s="76"/>
      <c r="S10" s="76"/>
      <c r="T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s="63" customFormat="1" ht="15" customHeight="1" x14ac:dyDescent="0.35">
      <c r="A11" s="95" t="s">
        <v>9</v>
      </c>
      <c r="B11" s="281">
        <f ca="1">'FIRE0508a raw'!B11</f>
        <v>53</v>
      </c>
      <c r="C11" s="281"/>
      <c r="D11" s="281">
        <f ca="1">'FIRE0508a raw'!D11</f>
        <v>5</v>
      </c>
      <c r="E11" s="281">
        <f ca="1">'FIRE0508a raw'!E11</f>
        <v>1</v>
      </c>
      <c r="F11" s="281"/>
      <c r="G11" s="281">
        <f ca="1">'FIRE0508a raw'!G11</f>
        <v>0</v>
      </c>
      <c r="H11" s="62"/>
      <c r="J11" s="74"/>
      <c r="K11" s="74"/>
      <c r="M11" s="74"/>
      <c r="N11" s="74"/>
      <c r="P11" s="76"/>
      <c r="Q11" s="76"/>
      <c r="R11" s="76"/>
      <c r="S11" s="76"/>
      <c r="T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63" customFormat="1" ht="15" customHeight="1" x14ac:dyDescent="0.35">
      <c r="A12" s="95" t="s">
        <v>10</v>
      </c>
      <c r="B12" s="281">
        <f ca="1">'FIRE0508a raw'!B12</f>
        <v>56</v>
      </c>
      <c r="C12" s="281"/>
      <c r="D12" s="281">
        <f ca="1">'FIRE0508a raw'!D12</f>
        <v>6</v>
      </c>
      <c r="E12" s="281">
        <f ca="1">'FIRE0508a raw'!E12</f>
        <v>1</v>
      </c>
      <c r="F12" s="281"/>
      <c r="G12" s="281">
        <f ca="1">'FIRE0508a raw'!G12</f>
        <v>0</v>
      </c>
      <c r="H12" s="62"/>
      <c r="J12" s="74"/>
      <c r="K12" s="74"/>
      <c r="M12" s="74"/>
      <c r="N12" s="74"/>
      <c r="P12" s="76"/>
      <c r="Q12" s="76"/>
      <c r="R12" s="76"/>
      <c r="S12" s="76"/>
      <c r="T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63" customFormat="1" ht="15" customHeight="1" x14ac:dyDescent="0.35">
      <c r="A13" s="95" t="s">
        <v>11</v>
      </c>
      <c r="B13" s="281">
        <f ca="1">'FIRE0508a raw'!B13</f>
        <v>36</v>
      </c>
      <c r="C13" s="281"/>
      <c r="D13" s="281">
        <f ca="1">'FIRE0508a raw'!D13</f>
        <v>6</v>
      </c>
      <c r="E13" s="281">
        <f ca="1">'FIRE0508a raw'!E13</f>
        <v>0</v>
      </c>
      <c r="F13" s="281"/>
      <c r="G13" s="281">
        <f ca="1">'FIRE0508a raw'!G13</f>
        <v>0</v>
      </c>
      <c r="H13" s="62"/>
      <c r="J13" s="74"/>
      <c r="K13" s="74"/>
      <c r="M13" s="74"/>
      <c r="N13" s="74"/>
      <c r="P13" s="76"/>
      <c r="Q13" s="76"/>
      <c r="R13" s="76"/>
      <c r="S13" s="76"/>
      <c r="T13" s="76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63" customFormat="1" ht="15" customHeight="1" x14ac:dyDescent="0.35">
      <c r="A14" s="95" t="s">
        <v>12</v>
      </c>
      <c r="B14" s="281">
        <f ca="1">'FIRE0508a raw'!B14</f>
        <v>122</v>
      </c>
      <c r="C14" s="281"/>
      <c r="D14" s="281">
        <f ca="1">'FIRE0508a raw'!D14</f>
        <v>5</v>
      </c>
      <c r="E14" s="281">
        <f ca="1">'FIRE0508a raw'!E14</f>
        <v>2</v>
      </c>
      <c r="F14" s="281"/>
      <c r="G14" s="281">
        <f ca="1">'FIRE0508a raw'!G14</f>
        <v>0</v>
      </c>
      <c r="H14" s="62"/>
      <c r="J14" s="74"/>
      <c r="K14" s="74"/>
      <c r="M14" s="74"/>
      <c r="N14" s="74"/>
      <c r="P14" s="76"/>
      <c r="Q14" s="76"/>
      <c r="R14" s="76"/>
      <c r="S14" s="76"/>
      <c r="T14" s="76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63" customFormat="1" ht="15" customHeight="1" x14ac:dyDescent="0.35">
      <c r="A15" s="95" t="s">
        <v>13</v>
      </c>
      <c r="B15" s="281">
        <f ca="1">'FIRE0508a raw'!B15</f>
        <v>35</v>
      </c>
      <c r="C15" s="281"/>
      <c r="D15" s="281">
        <f ca="1">'FIRE0508a raw'!D15</f>
        <v>0</v>
      </c>
      <c r="E15" s="281">
        <f ca="1">'FIRE0508a raw'!E15</f>
        <v>4</v>
      </c>
      <c r="F15" s="281"/>
      <c r="G15" s="281">
        <f ca="1">'FIRE0508a raw'!G15</f>
        <v>0</v>
      </c>
      <c r="H15" s="62"/>
      <c r="J15" s="74"/>
      <c r="K15" s="74"/>
      <c r="M15" s="74"/>
      <c r="N15" s="74"/>
      <c r="P15" s="76"/>
      <c r="Q15" s="76"/>
      <c r="R15" s="76"/>
      <c r="S15" s="76"/>
      <c r="T15" s="76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 s="63" customFormat="1" ht="15" customHeight="1" x14ac:dyDescent="0.35">
      <c r="A16" s="95" t="s">
        <v>14</v>
      </c>
      <c r="B16" s="281">
        <f ca="1">'FIRE0508a raw'!B16</f>
        <v>13</v>
      </c>
      <c r="C16" s="281"/>
      <c r="D16" s="281">
        <f ca="1">'FIRE0508a raw'!D16</f>
        <v>3</v>
      </c>
      <c r="E16" s="281">
        <f ca="1">'FIRE0508a raw'!E16</f>
        <v>3</v>
      </c>
      <c r="F16" s="281"/>
      <c r="G16" s="281">
        <f ca="1">'FIRE0508a raw'!G16</f>
        <v>0</v>
      </c>
      <c r="H16" s="62"/>
      <c r="J16" s="74"/>
      <c r="K16" s="74"/>
      <c r="M16" s="74"/>
      <c r="N16" s="74"/>
      <c r="P16" s="76"/>
      <c r="Q16" s="76"/>
      <c r="R16" s="76"/>
      <c r="S16" s="76"/>
      <c r="T16" s="76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 s="63" customFormat="1" ht="15" customHeight="1" x14ac:dyDescent="0.35">
      <c r="A17" s="95" t="s">
        <v>15</v>
      </c>
      <c r="B17" s="281">
        <f ca="1">'FIRE0508a raw'!B17</f>
        <v>38</v>
      </c>
      <c r="C17" s="281"/>
      <c r="D17" s="281">
        <f ca="1">'FIRE0508a raw'!D17</f>
        <v>4</v>
      </c>
      <c r="E17" s="281">
        <f ca="1">'FIRE0508a raw'!E17</f>
        <v>4</v>
      </c>
      <c r="F17" s="281"/>
      <c r="G17" s="281">
        <f ca="1">'FIRE0508a raw'!G17</f>
        <v>0</v>
      </c>
      <c r="H17" s="62"/>
      <c r="J17" s="74"/>
      <c r="K17" s="74"/>
      <c r="M17" s="74"/>
      <c r="N17" s="74"/>
      <c r="P17" s="76"/>
      <c r="Q17" s="76"/>
      <c r="R17" s="76"/>
      <c r="S17" s="76"/>
      <c r="T17" s="76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 s="63" customFormat="1" ht="15" customHeight="1" x14ac:dyDescent="0.35">
      <c r="A18" s="104" t="s">
        <v>16</v>
      </c>
      <c r="B18" s="281">
        <f ca="1">'FIRE0508a raw'!B18</f>
        <v>29</v>
      </c>
      <c r="C18" s="281"/>
      <c r="D18" s="281">
        <f ca="1">'FIRE0508a raw'!D18</f>
        <v>3</v>
      </c>
      <c r="E18" s="281">
        <f ca="1">'FIRE0508a raw'!E18</f>
        <v>0</v>
      </c>
      <c r="F18" s="281"/>
      <c r="G18" s="281">
        <f ca="1">'FIRE0508a raw'!G18</f>
        <v>0</v>
      </c>
      <c r="H18" s="62"/>
      <c r="J18" s="74"/>
      <c r="K18" s="74"/>
      <c r="M18" s="74"/>
      <c r="N18" s="74"/>
      <c r="P18" s="76"/>
      <c r="Q18" s="76"/>
      <c r="R18" s="76"/>
      <c r="S18" s="76"/>
      <c r="T18" s="76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 s="63" customFormat="1" ht="15" customHeight="1" x14ac:dyDescent="0.35">
      <c r="A19" s="104" t="s">
        <v>17</v>
      </c>
      <c r="B19" s="281">
        <f ca="1">'FIRE0508a raw'!B19</f>
        <v>26</v>
      </c>
      <c r="C19" s="281"/>
      <c r="D19" s="281">
        <f ca="1">'FIRE0508a raw'!D19</f>
        <v>4</v>
      </c>
      <c r="E19" s="281">
        <f ca="1">'FIRE0508a raw'!E19</f>
        <v>3</v>
      </c>
      <c r="F19" s="281"/>
      <c r="G19" s="281">
        <f ca="1">'FIRE0508a raw'!G19</f>
        <v>0</v>
      </c>
      <c r="H19" s="62"/>
      <c r="J19" s="74"/>
      <c r="K19" s="74"/>
      <c r="M19" s="74"/>
      <c r="N19" s="74"/>
      <c r="P19" s="76"/>
      <c r="Q19" s="76"/>
      <c r="R19" s="76"/>
      <c r="S19" s="76"/>
      <c r="T19" s="76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 s="63" customFormat="1" ht="15" customHeight="1" x14ac:dyDescent="0.35">
      <c r="A20" s="95" t="s">
        <v>18</v>
      </c>
      <c r="B20" s="281">
        <f ca="1">'FIRE0508a raw'!B20</f>
        <v>52</v>
      </c>
      <c r="C20" s="281"/>
      <c r="D20" s="281">
        <f ca="1">'FIRE0508a raw'!D20</f>
        <v>11</v>
      </c>
      <c r="E20" s="281">
        <f ca="1">'FIRE0508a raw'!E20</f>
        <v>0</v>
      </c>
      <c r="F20" s="281"/>
      <c r="G20" s="281">
        <f ca="1">'FIRE0508a raw'!G20</f>
        <v>0</v>
      </c>
      <c r="H20" s="62"/>
      <c r="J20" s="74"/>
      <c r="K20" s="74"/>
      <c r="M20" s="74"/>
      <c r="N20" s="74"/>
      <c r="P20" s="76"/>
      <c r="Q20" s="76"/>
      <c r="R20" s="76"/>
      <c r="S20" s="76"/>
      <c r="T20" s="76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 s="63" customFormat="1" ht="15" customHeight="1" x14ac:dyDescent="0.35">
      <c r="A21" s="95" t="s">
        <v>122</v>
      </c>
      <c r="B21" s="281">
        <f ca="1">'FIRE0508a raw'!B21</f>
        <v>73</v>
      </c>
      <c r="C21" s="281"/>
      <c r="D21" s="281">
        <f ca="1">'FIRE0508a raw'!D21</f>
        <v>10</v>
      </c>
      <c r="E21" s="281">
        <f ca="1">'FIRE0508a raw'!E21</f>
        <v>0</v>
      </c>
      <c r="F21" s="281"/>
      <c r="G21" s="281">
        <f ca="1">'FIRE0508a raw'!G21</f>
        <v>0</v>
      </c>
      <c r="H21" s="62"/>
      <c r="J21" s="74"/>
      <c r="K21" s="74"/>
      <c r="M21" s="74"/>
      <c r="N21" s="74"/>
      <c r="P21" s="76"/>
      <c r="Q21" s="76"/>
      <c r="R21" s="76"/>
      <c r="S21" s="76"/>
      <c r="T21" s="76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 s="63" customFormat="1" ht="15" customHeight="1" x14ac:dyDescent="0.35">
      <c r="A22" s="95" t="s">
        <v>20</v>
      </c>
      <c r="B22" s="281">
        <f ca="1">'FIRE0508a raw'!B22</f>
        <v>18</v>
      </c>
      <c r="C22" s="281"/>
      <c r="D22" s="281">
        <f ca="1">'FIRE0508a raw'!D22</f>
        <v>2</v>
      </c>
      <c r="E22" s="281">
        <f ca="1">'FIRE0508a raw'!E22</f>
        <v>0</v>
      </c>
      <c r="F22" s="281"/>
      <c r="G22" s="281">
        <f ca="1">'FIRE0508a raw'!G22</f>
        <v>0</v>
      </c>
      <c r="H22" s="62"/>
      <c r="J22" s="74"/>
      <c r="K22" s="74"/>
      <c r="M22" s="74"/>
      <c r="N22" s="74"/>
      <c r="P22" s="76"/>
      <c r="Q22" s="76"/>
      <c r="R22" s="76"/>
      <c r="S22" s="76"/>
      <c r="T22" s="76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s="63" customFormat="1" ht="15" customHeight="1" x14ac:dyDescent="0.35">
      <c r="A23" s="95" t="s">
        <v>21</v>
      </c>
      <c r="B23" s="281">
        <f ca="1">'FIRE0508a raw'!B23</f>
        <v>66</v>
      </c>
      <c r="C23" s="281"/>
      <c r="D23" s="281">
        <f ca="1">'FIRE0508a raw'!D23</f>
        <v>5</v>
      </c>
      <c r="E23" s="281">
        <f ca="1">'FIRE0508a raw'!E23</f>
        <v>0</v>
      </c>
      <c r="F23" s="281"/>
      <c r="G23" s="281">
        <f ca="1">'FIRE0508a raw'!G23</f>
        <v>0</v>
      </c>
      <c r="H23" s="62"/>
      <c r="J23" s="74"/>
      <c r="K23" s="74"/>
      <c r="M23" s="74"/>
      <c r="N23" s="74"/>
      <c r="P23" s="76"/>
      <c r="Q23" s="76"/>
      <c r="R23" s="76"/>
      <c r="S23" s="76"/>
      <c r="T23" s="76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s="63" customFormat="1" ht="15" customHeight="1" x14ac:dyDescent="0.35">
      <c r="A24" s="95" t="s">
        <v>22</v>
      </c>
      <c r="B24" s="281">
        <f ca="1">'FIRE0508a raw'!B24</f>
        <v>97</v>
      </c>
      <c r="C24" s="281"/>
      <c r="D24" s="281">
        <f ca="1">'FIRE0508a raw'!D24</f>
        <v>19</v>
      </c>
      <c r="E24" s="281">
        <f ca="1">'FIRE0508a raw'!E24</f>
        <v>3</v>
      </c>
      <c r="F24" s="281"/>
      <c r="G24" s="281">
        <f ca="1">'FIRE0508a raw'!G24</f>
        <v>0</v>
      </c>
      <c r="H24" s="62"/>
      <c r="J24" s="74"/>
      <c r="K24" s="74"/>
      <c r="M24" s="74"/>
      <c r="N24" s="74"/>
      <c r="P24" s="76"/>
      <c r="Q24" s="76"/>
      <c r="R24" s="76"/>
      <c r="S24" s="76"/>
      <c r="T24" s="76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s="63" customFormat="1" ht="15" customHeight="1" x14ac:dyDescent="0.35">
      <c r="A25" s="95" t="s">
        <v>23</v>
      </c>
      <c r="B25" s="281">
        <f ca="1">'FIRE0508a raw'!B25</f>
        <v>38</v>
      </c>
      <c r="C25" s="281"/>
      <c r="D25" s="281">
        <f ca="1">'FIRE0508a raw'!D25</f>
        <v>0</v>
      </c>
      <c r="E25" s="281">
        <f ca="1">'FIRE0508a raw'!E25</f>
        <v>3</v>
      </c>
      <c r="F25" s="281"/>
      <c r="G25" s="281">
        <f ca="1">'FIRE0508a raw'!G25</f>
        <v>0</v>
      </c>
      <c r="H25" s="62"/>
      <c r="J25" s="74"/>
      <c r="K25" s="74"/>
      <c r="M25" s="74"/>
      <c r="N25" s="74"/>
      <c r="P25" s="76"/>
      <c r="Q25" s="76"/>
      <c r="R25" s="76"/>
      <c r="S25" s="76"/>
      <c r="T25" s="76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s="63" customFormat="1" ht="15" customHeight="1" x14ac:dyDescent="0.35">
      <c r="A26" s="95" t="s">
        <v>24</v>
      </c>
      <c r="B26" s="281">
        <f ca="1">'FIRE0508a raw'!B26</f>
        <v>61</v>
      </c>
      <c r="C26" s="281"/>
      <c r="D26" s="281">
        <f ca="1">'FIRE0508a raw'!D26</f>
        <v>13</v>
      </c>
      <c r="E26" s="281">
        <f ca="1">'FIRE0508a raw'!E26</f>
        <v>1</v>
      </c>
      <c r="F26" s="281"/>
      <c r="G26" s="281">
        <f ca="1">'FIRE0508a raw'!G26</f>
        <v>0</v>
      </c>
      <c r="H26" s="62"/>
      <c r="J26" s="74"/>
      <c r="K26" s="74"/>
      <c r="M26" s="74"/>
      <c r="N26" s="74"/>
      <c r="P26" s="76"/>
      <c r="Q26" s="76"/>
      <c r="R26" s="76"/>
      <c r="S26" s="76"/>
      <c r="T26" s="76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s="63" customFormat="1" ht="15" customHeight="1" x14ac:dyDescent="0.35">
      <c r="A27" s="95" t="s">
        <v>25</v>
      </c>
      <c r="B27" s="281">
        <f ca="1">'FIRE0508a raw'!B27</f>
        <v>71</v>
      </c>
      <c r="C27" s="281"/>
      <c r="D27" s="281">
        <f ca="1">'FIRE0508a raw'!D27</f>
        <v>9</v>
      </c>
      <c r="E27" s="281">
        <f ca="1">'FIRE0508a raw'!E27</f>
        <v>1</v>
      </c>
      <c r="F27" s="281"/>
      <c r="G27" s="281">
        <f ca="1">'FIRE0508a raw'!G27</f>
        <v>0</v>
      </c>
      <c r="H27" s="62"/>
      <c r="J27" s="74"/>
      <c r="K27" s="74"/>
      <c r="M27" s="74"/>
      <c r="N27" s="74"/>
      <c r="P27" s="76"/>
      <c r="Q27" s="76"/>
      <c r="R27" s="76"/>
      <c r="S27" s="76"/>
      <c r="T27" s="76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s="63" customFormat="1" ht="15" customHeight="1" x14ac:dyDescent="0.35">
      <c r="A28" s="95" t="s">
        <v>26</v>
      </c>
      <c r="B28" s="281">
        <f ca="1">'FIRE0508a raw'!B28</f>
        <v>61</v>
      </c>
      <c r="C28" s="281"/>
      <c r="D28" s="281">
        <f ca="1">'FIRE0508a raw'!D28</f>
        <v>12</v>
      </c>
      <c r="E28" s="281">
        <f ca="1">'FIRE0508a raw'!E28</f>
        <v>2</v>
      </c>
      <c r="F28" s="281"/>
      <c r="G28" s="281">
        <f ca="1">'FIRE0508a raw'!G28</f>
        <v>0</v>
      </c>
      <c r="H28" s="62"/>
      <c r="J28" s="74"/>
      <c r="K28" s="74"/>
      <c r="M28" s="74"/>
      <c r="N28" s="74"/>
      <c r="P28" s="76"/>
      <c r="Q28" s="76"/>
      <c r="R28" s="76"/>
      <c r="S28" s="76"/>
      <c r="T28" s="76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s="63" customFormat="1" ht="15" customHeight="1" x14ac:dyDescent="0.35">
      <c r="A29" s="95" t="s">
        <v>27</v>
      </c>
      <c r="B29" s="281">
        <f ca="1">'FIRE0508a raw'!B29</f>
        <v>80</v>
      </c>
      <c r="C29" s="281"/>
      <c r="D29" s="281">
        <f ca="1">'FIRE0508a raw'!D29</f>
        <v>10</v>
      </c>
      <c r="E29" s="281">
        <f ca="1">'FIRE0508a raw'!E29</f>
        <v>2</v>
      </c>
      <c r="F29" s="281"/>
      <c r="G29" s="281">
        <f ca="1">'FIRE0508a raw'!G29</f>
        <v>0</v>
      </c>
      <c r="H29" s="62"/>
      <c r="J29" s="74"/>
      <c r="K29" s="74"/>
      <c r="M29" s="74"/>
      <c r="N29" s="74"/>
      <c r="P29" s="76"/>
      <c r="Q29" s="76"/>
      <c r="R29" s="76"/>
      <c r="S29" s="76"/>
      <c r="T29" s="76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s="63" customFormat="1" ht="15" customHeight="1" x14ac:dyDescent="0.35">
      <c r="A30" s="105" t="s">
        <v>28</v>
      </c>
      <c r="B30" s="281">
        <f ca="1">'FIRE0508a raw'!B30</f>
        <v>5</v>
      </c>
      <c r="C30" s="281"/>
      <c r="D30" s="281">
        <f ca="1">'FIRE0508a raw'!D30</f>
        <v>0</v>
      </c>
      <c r="E30" s="281">
        <f ca="1">'FIRE0508a raw'!E30</f>
        <v>0</v>
      </c>
      <c r="F30" s="281"/>
      <c r="G30" s="281">
        <f ca="1">'FIRE0508a raw'!G30</f>
        <v>0</v>
      </c>
      <c r="H30" s="62"/>
      <c r="J30" s="74"/>
      <c r="K30" s="74"/>
      <c r="M30" s="74"/>
      <c r="N30" s="74"/>
      <c r="P30" s="76"/>
      <c r="Q30" s="76"/>
      <c r="R30" s="76"/>
      <c r="S30" s="76"/>
      <c r="T30" s="76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s="63" customFormat="1" ht="15" customHeight="1" x14ac:dyDescent="0.35">
      <c r="A31" s="105" t="s">
        <v>29</v>
      </c>
      <c r="B31" s="281">
        <f ca="1">'FIRE0508a raw'!B31</f>
        <v>81</v>
      </c>
      <c r="C31" s="281"/>
      <c r="D31" s="281">
        <f ca="1">'FIRE0508a raw'!D31</f>
        <v>5</v>
      </c>
      <c r="E31" s="281">
        <f ca="1">'FIRE0508a raw'!E31</f>
        <v>0</v>
      </c>
      <c r="F31" s="281"/>
      <c r="G31" s="281">
        <f ca="1">'FIRE0508a raw'!G31</f>
        <v>0</v>
      </c>
      <c r="H31" s="62"/>
      <c r="J31" s="74"/>
      <c r="K31" s="74"/>
      <c r="M31" s="74"/>
      <c r="N31" s="74"/>
      <c r="P31" s="76"/>
      <c r="Q31" s="76"/>
      <c r="R31" s="76"/>
      <c r="S31" s="76"/>
      <c r="T31" s="76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s="63" customFormat="1" ht="15" customHeight="1" x14ac:dyDescent="0.35">
      <c r="A32" s="95" t="s">
        <v>30</v>
      </c>
      <c r="B32" s="281">
        <f ca="1">'FIRE0508a raw'!B32</f>
        <v>52</v>
      </c>
      <c r="C32" s="281"/>
      <c r="D32" s="281">
        <f ca="1">'FIRE0508a raw'!D32</f>
        <v>7</v>
      </c>
      <c r="E32" s="281">
        <f ca="1">'FIRE0508a raw'!E32</f>
        <v>0</v>
      </c>
      <c r="F32" s="281"/>
      <c r="G32" s="281">
        <f ca="1">'FIRE0508a raw'!G32</f>
        <v>0</v>
      </c>
      <c r="H32" s="62"/>
      <c r="J32" s="74"/>
      <c r="K32" s="74"/>
      <c r="M32" s="74"/>
      <c r="N32" s="74"/>
      <c r="P32" s="76"/>
      <c r="Q32" s="76"/>
      <c r="R32" s="76"/>
      <c r="S32" s="76"/>
      <c r="T32" s="76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s="63" customFormat="1" ht="15" customHeight="1" x14ac:dyDescent="0.35">
      <c r="A33" s="105" t="s">
        <v>31</v>
      </c>
      <c r="B33" s="281">
        <f ca="1">'FIRE0508a raw'!B33</f>
        <v>45</v>
      </c>
      <c r="C33" s="281"/>
      <c r="D33" s="281">
        <f ca="1">'FIRE0508a raw'!D33</f>
        <v>5</v>
      </c>
      <c r="E33" s="281">
        <f ca="1">'FIRE0508a raw'!E33</f>
        <v>1</v>
      </c>
      <c r="F33" s="281"/>
      <c r="G33" s="281">
        <f ca="1">'FIRE0508a raw'!G33</f>
        <v>0</v>
      </c>
      <c r="H33" s="62"/>
      <c r="J33" s="74"/>
      <c r="K33" s="74"/>
      <c r="M33" s="74"/>
      <c r="N33" s="74"/>
      <c r="P33" s="76"/>
      <c r="Q33" s="76"/>
      <c r="R33" s="76"/>
      <c r="S33" s="76"/>
      <c r="T33" s="76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s="63" customFormat="1" ht="15" customHeight="1" x14ac:dyDescent="0.35">
      <c r="A34" s="105" t="s">
        <v>32</v>
      </c>
      <c r="B34" s="281">
        <f ca="1">'FIRE0508a raw'!B34</f>
        <v>46</v>
      </c>
      <c r="C34" s="281"/>
      <c r="D34" s="281">
        <f ca="1">'FIRE0508a raw'!D34</f>
        <v>7</v>
      </c>
      <c r="E34" s="281">
        <f ca="1">'FIRE0508a raw'!E34</f>
        <v>3</v>
      </c>
      <c r="F34" s="281"/>
      <c r="G34" s="281">
        <f ca="1">'FIRE0508a raw'!G34</f>
        <v>0</v>
      </c>
      <c r="H34" s="62"/>
      <c r="J34" s="74"/>
      <c r="K34" s="74"/>
      <c r="M34" s="74"/>
      <c r="N34" s="74"/>
      <c r="P34" s="76"/>
      <c r="Q34" s="76"/>
      <c r="R34" s="76"/>
      <c r="S34" s="76"/>
      <c r="T34" s="76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s="63" customFormat="1" ht="15" customHeight="1" x14ac:dyDescent="0.35">
      <c r="A35" s="95" t="s">
        <v>33</v>
      </c>
      <c r="B35" s="281">
        <f ca="1">'FIRE0508a raw'!B35</f>
        <v>60</v>
      </c>
      <c r="C35" s="281"/>
      <c r="D35" s="281">
        <f ca="1">'FIRE0508a raw'!D35</f>
        <v>10</v>
      </c>
      <c r="E35" s="281">
        <f ca="1">'FIRE0508a raw'!E35</f>
        <v>0</v>
      </c>
      <c r="F35" s="281"/>
      <c r="G35" s="281">
        <f ca="1">'FIRE0508a raw'!G35</f>
        <v>0</v>
      </c>
      <c r="H35" s="62"/>
      <c r="J35" s="74"/>
      <c r="K35" s="74"/>
      <c r="M35" s="74"/>
      <c r="N35" s="74"/>
      <c r="P35" s="76"/>
      <c r="Q35" s="76"/>
      <c r="R35" s="76"/>
      <c r="S35" s="76"/>
      <c r="T35" s="76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s="63" customFormat="1" ht="15" customHeight="1" x14ac:dyDescent="0.35">
      <c r="A36" s="105" t="s">
        <v>34</v>
      </c>
      <c r="B36" s="281">
        <f ca="1">'FIRE0508a raw'!B36</f>
        <v>59</v>
      </c>
      <c r="C36" s="281"/>
      <c r="D36" s="281">
        <f ca="1">'FIRE0508a raw'!D36</f>
        <v>9</v>
      </c>
      <c r="E36" s="281">
        <f ca="1">'FIRE0508a raw'!E36</f>
        <v>2</v>
      </c>
      <c r="F36" s="281"/>
      <c r="G36" s="281">
        <f ca="1">'FIRE0508a raw'!G36</f>
        <v>0</v>
      </c>
      <c r="H36" s="62"/>
      <c r="J36" s="74"/>
      <c r="K36" s="74"/>
      <c r="M36" s="74"/>
      <c r="N36" s="74"/>
      <c r="P36" s="76"/>
      <c r="Q36" s="76"/>
      <c r="R36" s="76"/>
      <c r="S36" s="76"/>
      <c r="T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s="63" customFormat="1" ht="15" customHeight="1" x14ac:dyDescent="0.35">
      <c r="A37" s="105" t="s">
        <v>35</v>
      </c>
      <c r="B37" s="281">
        <f ca="1">'FIRE0508a raw'!B37</f>
        <v>50</v>
      </c>
      <c r="C37" s="281"/>
      <c r="D37" s="281">
        <f ca="1">'FIRE0508a raw'!D37</f>
        <v>5</v>
      </c>
      <c r="E37" s="281">
        <f ca="1">'FIRE0508a raw'!E37</f>
        <v>1</v>
      </c>
      <c r="F37" s="281"/>
      <c r="G37" s="281">
        <f ca="1">'FIRE0508a raw'!G37</f>
        <v>0</v>
      </c>
      <c r="H37" s="62"/>
      <c r="J37" s="74"/>
      <c r="K37" s="74"/>
      <c r="M37" s="74"/>
      <c r="N37" s="74"/>
      <c r="P37" s="76"/>
      <c r="Q37" s="76"/>
      <c r="R37" s="76"/>
      <c r="S37" s="76"/>
      <c r="T37" s="76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s="63" customFormat="1" ht="15" customHeight="1" x14ac:dyDescent="0.35">
      <c r="A38" s="105" t="s">
        <v>36</v>
      </c>
      <c r="B38" s="281">
        <f ca="1">'FIRE0508a raw'!B38</f>
        <v>17</v>
      </c>
      <c r="C38" s="281"/>
      <c r="D38" s="281">
        <f ca="1">'FIRE0508a raw'!D38</f>
        <v>3</v>
      </c>
      <c r="E38" s="281">
        <f ca="1">'FIRE0508a raw'!E38</f>
        <v>0</v>
      </c>
      <c r="F38" s="281"/>
      <c r="G38" s="281">
        <f ca="1">'FIRE0508a raw'!G38</f>
        <v>0</v>
      </c>
      <c r="H38" s="62"/>
      <c r="J38" s="74"/>
      <c r="K38" s="74"/>
      <c r="M38" s="74"/>
      <c r="N38" s="74"/>
      <c r="P38" s="76"/>
      <c r="Q38" s="76"/>
      <c r="R38" s="76"/>
      <c r="S38" s="76"/>
      <c r="T38" s="76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s="63" customFormat="1" ht="15" customHeight="1" x14ac:dyDescent="0.35">
      <c r="A39" s="95" t="s">
        <v>37</v>
      </c>
      <c r="B39" s="281">
        <f ca="1">'FIRE0508a raw'!B39</f>
        <v>39</v>
      </c>
      <c r="C39" s="281"/>
      <c r="D39" s="281">
        <f ca="1">'FIRE0508a raw'!D39</f>
        <v>6</v>
      </c>
      <c r="E39" s="281">
        <f ca="1">'FIRE0508a raw'!E39</f>
        <v>1</v>
      </c>
      <c r="F39" s="281"/>
      <c r="G39" s="281">
        <f ca="1">'FIRE0508a raw'!G39</f>
        <v>0</v>
      </c>
      <c r="H39" s="62"/>
      <c r="J39" s="74"/>
      <c r="K39" s="74"/>
      <c r="M39" s="74"/>
      <c r="N39" s="74"/>
      <c r="P39" s="76"/>
      <c r="Q39" s="76"/>
      <c r="R39" s="76"/>
      <c r="S39" s="76"/>
      <c r="T39" s="76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s="63" customFormat="1" ht="15" customHeight="1" x14ac:dyDescent="0.35">
      <c r="A40" s="95" t="s">
        <v>38</v>
      </c>
      <c r="B40" s="281">
        <f ca="1">'FIRE0508a raw'!B40</f>
        <v>39</v>
      </c>
      <c r="C40" s="281"/>
      <c r="D40" s="281">
        <f ca="1">'FIRE0508a raw'!D40</f>
        <v>3</v>
      </c>
      <c r="E40" s="281">
        <f ca="1">'FIRE0508a raw'!E40</f>
        <v>2</v>
      </c>
      <c r="F40" s="281"/>
      <c r="G40" s="281">
        <f ca="1">'FIRE0508a raw'!G40</f>
        <v>0</v>
      </c>
      <c r="H40" s="62"/>
      <c r="J40" s="74"/>
      <c r="K40" s="74"/>
      <c r="M40" s="74"/>
      <c r="N40" s="74"/>
      <c r="P40" s="76"/>
      <c r="Q40" s="76"/>
      <c r="R40" s="76"/>
      <c r="S40" s="76"/>
      <c r="T40" s="76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s="63" customFormat="1" ht="15" customHeight="1" x14ac:dyDescent="0.35">
      <c r="A41" s="95" t="s">
        <v>39</v>
      </c>
      <c r="B41" s="281">
        <f ca="1">'FIRE0508a raw'!B41</f>
        <v>30</v>
      </c>
      <c r="C41" s="281"/>
      <c r="D41" s="281">
        <f ca="1">'FIRE0508a raw'!D41</f>
        <v>1</v>
      </c>
      <c r="E41" s="281">
        <f ca="1">'FIRE0508a raw'!E41</f>
        <v>1</v>
      </c>
      <c r="F41" s="281"/>
      <c r="G41" s="281">
        <f ca="1">'FIRE0508a raw'!G41</f>
        <v>0</v>
      </c>
      <c r="H41" s="62"/>
      <c r="J41" s="74"/>
      <c r="K41" s="74"/>
      <c r="M41" s="74"/>
      <c r="N41" s="74"/>
      <c r="P41" s="76"/>
      <c r="Q41" s="76"/>
      <c r="R41" s="76"/>
      <c r="S41" s="76"/>
      <c r="T41" s="76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s="63" customFormat="1" ht="15" customHeight="1" x14ac:dyDescent="0.35">
      <c r="A42" s="95" t="s">
        <v>40</v>
      </c>
      <c r="B42" s="281">
        <f ca="1">'FIRE0508a raw'!B42</f>
        <v>53</v>
      </c>
      <c r="C42" s="281"/>
      <c r="D42" s="281">
        <f ca="1">'FIRE0508a raw'!D42</f>
        <v>6</v>
      </c>
      <c r="E42" s="281">
        <f ca="1">'FIRE0508a raw'!E42</f>
        <v>0</v>
      </c>
      <c r="F42" s="281"/>
      <c r="G42" s="281">
        <f ca="1">'FIRE0508a raw'!G42</f>
        <v>0</v>
      </c>
      <c r="H42" s="62"/>
      <c r="J42" s="74"/>
      <c r="K42" s="74"/>
      <c r="M42" s="74"/>
      <c r="N42" s="74"/>
      <c r="P42" s="76"/>
      <c r="Q42" s="76"/>
      <c r="R42" s="76"/>
      <c r="S42" s="76"/>
      <c r="T42" s="76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s="63" customFormat="1" ht="15" customHeight="1" x14ac:dyDescent="0.35">
      <c r="A43" s="95" t="s">
        <v>41</v>
      </c>
      <c r="B43" s="281">
        <f ca="1">'FIRE0508a raw'!B43</f>
        <v>28</v>
      </c>
      <c r="C43" s="281"/>
      <c r="D43" s="281">
        <f ca="1">'FIRE0508a raw'!D43</f>
        <v>3</v>
      </c>
      <c r="E43" s="281">
        <f ca="1">'FIRE0508a raw'!E43</f>
        <v>0</v>
      </c>
      <c r="F43" s="281"/>
      <c r="G43" s="281">
        <f ca="1">'FIRE0508a raw'!G43</f>
        <v>0</v>
      </c>
      <c r="H43" s="62"/>
      <c r="J43" s="74"/>
      <c r="K43" s="74"/>
      <c r="M43" s="74"/>
      <c r="N43" s="74"/>
      <c r="P43" s="76"/>
      <c r="Q43" s="76"/>
      <c r="R43" s="76"/>
      <c r="S43" s="76"/>
      <c r="T43" s="76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 s="63" customFormat="1" ht="15" customHeight="1" x14ac:dyDescent="0.35">
      <c r="A44" s="95" t="s">
        <v>42</v>
      </c>
      <c r="B44" s="281">
        <f ca="1">'FIRE0508a raw'!B44</f>
        <v>46</v>
      </c>
      <c r="C44" s="281"/>
      <c r="D44" s="281">
        <f ca="1">'FIRE0508a raw'!D44</f>
        <v>16</v>
      </c>
      <c r="E44" s="281">
        <f ca="1">'FIRE0508a raw'!E44</f>
        <v>0</v>
      </c>
      <c r="F44" s="281"/>
      <c r="G44" s="281">
        <f ca="1">'FIRE0508a raw'!G44</f>
        <v>0</v>
      </c>
      <c r="H44" s="62"/>
      <c r="J44" s="74"/>
      <c r="K44" s="74"/>
      <c r="M44" s="74"/>
      <c r="N44" s="74"/>
      <c r="P44" s="76"/>
      <c r="Q44" s="76"/>
      <c r="R44" s="76"/>
      <c r="S44" s="76"/>
      <c r="T44" s="7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 s="63" customFormat="1" ht="15" customHeight="1" x14ac:dyDescent="0.35">
      <c r="A45" s="95" t="s">
        <v>43</v>
      </c>
      <c r="B45" s="281">
        <f ca="1">'FIRE0508a raw'!B45</f>
        <v>25</v>
      </c>
      <c r="C45" s="281"/>
      <c r="D45" s="281">
        <f ca="1">'FIRE0508a raw'!D45</f>
        <v>2</v>
      </c>
      <c r="E45" s="281">
        <f ca="1">'FIRE0508a raw'!E45</f>
        <v>0</v>
      </c>
      <c r="F45" s="281"/>
      <c r="G45" s="281">
        <f ca="1">'FIRE0508a raw'!G45</f>
        <v>0</v>
      </c>
      <c r="H45" s="62"/>
      <c r="J45" s="74"/>
      <c r="K45" s="74"/>
      <c r="M45" s="74"/>
      <c r="N45" s="74"/>
      <c r="P45" s="76"/>
      <c r="Q45" s="76"/>
      <c r="R45" s="76"/>
      <c r="S45" s="76"/>
      <c r="T45" s="7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 s="63" customFormat="1" ht="15" customHeight="1" x14ac:dyDescent="0.35">
      <c r="A46" s="95" t="s">
        <v>44</v>
      </c>
      <c r="B46" s="281">
        <f ca="1">'FIRE0508a raw'!B46</f>
        <v>38</v>
      </c>
      <c r="C46" s="281"/>
      <c r="D46" s="281">
        <f ca="1">'FIRE0508a raw'!D46</f>
        <v>7</v>
      </c>
      <c r="E46" s="281">
        <f ca="1">'FIRE0508a raw'!E46</f>
        <v>1</v>
      </c>
      <c r="F46" s="281"/>
      <c r="G46" s="281">
        <f ca="1">'FIRE0508a raw'!G46</f>
        <v>0</v>
      </c>
      <c r="H46" s="62"/>
      <c r="J46" s="74"/>
      <c r="K46" s="74"/>
      <c r="M46" s="74"/>
      <c r="N46" s="74"/>
      <c r="P46" s="76"/>
      <c r="Q46" s="76"/>
      <c r="R46" s="76"/>
      <c r="S46" s="76"/>
      <c r="T46" s="76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 s="63" customFormat="1" ht="15" customHeight="1" x14ac:dyDescent="0.35">
      <c r="A47" s="95" t="s">
        <v>46</v>
      </c>
      <c r="B47" s="281">
        <f ca="1">'FIRE0508a raw'!B47</f>
        <v>0</v>
      </c>
      <c r="C47" s="281"/>
      <c r="D47" s="281">
        <f ca="1">'FIRE0508a raw'!D47</f>
        <v>0</v>
      </c>
      <c r="E47" s="281">
        <f ca="1">'FIRE0508a raw'!E47</f>
        <v>0</v>
      </c>
      <c r="F47" s="281"/>
      <c r="G47" s="281">
        <f ca="1">'FIRE0508a raw'!G47</f>
        <v>0</v>
      </c>
      <c r="H47" s="62"/>
      <c r="J47" s="74"/>
      <c r="K47" s="74"/>
      <c r="M47" s="74"/>
      <c r="N47" s="74"/>
      <c r="P47" s="76"/>
      <c r="Q47" s="76"/>
      <c r="R47" s="76"/>
      <c r="S47" s="76"/>
      <c r="T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 s="63" customFormat="1" ht="15" customHeight="1" x14ac:dyDescent="0.35">
      <c r="A48" s="101" t="s">
        <v>69</v>
      </c>
      <c r="B48" s="73">
        <f ca="1">'FIRE0508a raw'!B48</f>
        <v>857</v>
      </c>
      <c r="C48" s="73"/>
      <c r="D48" s="73">
        <f ca="1">'FIRE0508a raw'!D48</f>
        <v>113</v>
      </c>
      <c r="E48" s="73">
        <f ca="1">'FIRE0508a raw'!E48</f>
        <v>12</v>
      </c>
      <c r="F48" s="73"/>
      <c r="G48" s="73">
        <f ca="1">'FIRE0508a raw'!G48</f>
        <v>0</v>
      </c>
      <c r="H48" s="62"/>
      <c r="J48" s="74"/>
      <c r="K48" s="74"/>
      <c r="M48" s="74"/>
      <c r="N48" s="74"/>
      <c r="P48" s="76"/>
      <c r="Q48" s="76"/>
      <c r="R48" s="76"/>
      <c r="S48" s="76"/>
      <c r="T48" s="76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 s="63" customFormat="1" ht="15" customHeight="1" x14ac:dyDescent="0.35">
      <c r="A49" s="95" t="s">
        <v>48</v>
      </c>
      <c r="B49" s="281">
        <f ca="1">'FIRE0508a raw'!B49</f>
        <v>99</v>
      </c>
      <c r="C49" s="281"/>
      <c r="D49" s="281">
        <f ca="1">'FIRE0508a raw'!D49</f>
        <v>13</v>
      </c>
      <c r="E49" s="281">
        <f ca="1">'FIRE0508a raw'!E49</f>
        <v>1</v>
      </c>
      <c r="F49" s="281"/>
      <c r="G49" s="281">
        <f ca="1">'FIRE0508a raw'!G49</f>
        <v>0</v>
      </c>
      <c r="H49" s="62"/>
      <c r="J49" s="74"/>
      <c r="K49" s="74"/>
      <c r="M49" s="74"/>
      <c r="N49" s="74"/>
      <c r="P49" s="76"/>
      <c r="Q49" s="76"/>
      <c r="R49" s="76"/>
      <c r="S49" s="76"/>
      <c r="T49" s="76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 s="63" customFormat="1" ht="15" customHeight="1" x14ac:dyDescent="0.35">
      <c r="A50" s="95" t="s">
        <v>49</v>
      </c>
      <c r="B50" s="281">
        <f ca="1">'FIRE0508a raw'!B50</f>
        <v>33</v>
      </c>
      <c r="C50" s="281"/>
      <c r="D50" s="281">
        <f ca="1">'FIRE0508a raw'!D50</f>
        <v>6</v>
      </c>
      <c r="E50" s="281">
        <f ca="1">'FIRE0508a raw'!E50</f>
        <v>0</v>
      </c>
      <c r="F50" s="281"/>
      <c r="G50" s="281">
        <f ca="1">'FIRE0508a raw'!G50</f>
        <v>0</v>
      </c>
      <c r="H50" s="62"/>
      <c r="J50" s="74"/>
      <c r="K50" s="74"/>
      <c r="M50" s="74"/>
      <c r="N50" s="74"/>
      <c r="P50" s="76"/>
      <c r="Q50" s="76"/>
      <c r="R50" s="76"/>
      <c r="S50" s="76"/>
      <c r="T50" s="76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 s="63" customFormat="1" ht="15" customHeight="1" x14ac:dyDescent="0.35">
      <c r="A51" s="95" t="s">
        <v>50</v>
      </c>
      <c r="B51" s="281">
        <f ca="1">'FIRE0508a raw'!B51</f>
        <v>122</v>
      </c>
      <c r="C51" s="281"/>
      <c r="D51" s="281">
        <f ca="1">'FIRE0508a raw'!D51</f>
        <v>8</v>
      </c>
      <c r="E51" s="281">
        <f ca="1">'FIRE0508a raw'!E51</f>
        <v>0</v>
      </c>
      <c r="F51" s="281"/>
      <c r="G51" s="281">
        <f ca="1">'FIRE0508a raw'!G51</f>
        <v>0</v>
      </c>
      <c r="H51" s="62"/>
      <c r="J51" s="74"/>
      <c r="K51" s="74"/>
      <c r="M51" s="74"/>
      <c r="N51" s="74"/>
      <c r="P51" s="76"/>
      <c r="Q51" s="76"/>
      <c r="R51" s="76"/>
      <c r="S51" s="76"/>
      <c r="T51" s="76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 s="63" customFormat="1" ht="15" customHeight="1" x14ac:dyDescent="0.35">
      <c r="A52" s="113" t="s">
        <v>51</v>
      </c>
      <c r="B52" s="281">
        <f ca="1">'FIRE0508a raw'!B52</f>
        <v>28</v>
      </c>
      <c r="C52" s="281"/>
      <c r="D52" s="281">
        <f ca="1">'FIRE0508a raw'!D52</f>
        <v>4</v>
      </c>
      <c r="E52" s="281">
        <f ca="1">'FIRE0508a raw'!E52</f>
        <v>0</v>
      </c>
      <c r="F52" s="281"/>
      <c r="G52" s="281">
        <f ca="1">'FIRE0508a raw'!G52</f>
        <v>0</v>
      </c>
      <c r="H52" s="62"/>
      <c r="J52" s="74"/>
      <c r="K52" s="74"/>
      <c r="M52" s="74"/>
      <c r="N52" s="74"/>
      <c r="P52" s="76"/>
      <c r="Q52" s="76"/>
      <c r="R52" s="76"/>
      <c r="S52" s="76"/>
      <c r="T52" s="76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 s="63" customFormat="1" ht="15" customHeight="1" x14ac:dyDescent="0.35">
      <c r="A53" s="113" t="s">
        <v>52</v>
      </c>
      <c r="B53" s="281">
        <f ca="1">'FIRE0508a raw'!B53</f>
        <v>96</v>
      </c>
      <c r="C53" s="281"/>
      <c r="D53" s="281">
        <f ca="1">'FIRE0508a raw'!D53</f>
        <v>9</v>
      </c>
      <c r="E53" s="281">
        <f ca="1">'FIRE0508a raw'!E53</f>
        <v>2</v>
      </c>
      <c r="F53" s="281"/>
      <c r="G53" s="281">
        <f ca="1">'FIRE0508a raw'!G53</f>
        <v>0</v>
      </c>
      <c r="H53" s="62"/>
      <c r="J53" s="74"/>
      <c r="K53" s="74"/>
      <c r="L53" s="62"/>
      <c r="M53" s="74"/>
      <c r="N53" s="74"/>
      <c r="P53" s="76"/>
      <c r="Q53" s="76"/>
      <c r="R53" s="76"/>
      <c r="S53" s="76"/>
      <c r="T53" s="76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 s="63" customFormat="1" ht="15" customHeight="1" x14ac:dyDescent="0.35">
      <c r="A54" s="113" t="s">
        <v>53</v>
      </c>
      <c r="B54" s="281">
        <f ca="1">'FIRE0508a raw'!B54</f>
        <v>97</v>
      </c>
      <c r="C54" s="281"/>
      <c r="D54" s="281">
        <f ca="1">'FIRE0508a raw'!D54</f>
        <v>5</v>
      </c>
      <c r="E54" s="281">
        <f ca="1">'FIRE0508a raw'!E54</f>
        <v>2</v>
      </c>
      <c r="F54" s="281"/>
      <c r="G54" s="281">
        <f ca="1">'FIRE0508a raw'!G54</f>
        <v>0</v>
      </c>
      <c r="H54" s="62"/>
      <c r="J54" s="74"/>
      <c r="K54" s="74"/>
      <c r="L54" s="62"/>
      <c r="M54" s="74"/>
      <c r="N54" s="74"/>
      <c r="P54" s="76"/>
      <c r="Q54" s="76"/>
      <c r="R54" s="76"/>
      <c r="S54" s="76"/>
      <c r="T54" s="76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s="63" customFormat="1" ht="15" customHeight="1" thickBot="1" x14ac:dyDescent="0.4">
      <c r="A55" s="106" t="s">
        <v>54</v>
      </c>
      <c r="B55" s="282">
        <f ca="1">'FIRE0508a raw'!B55</f>
        <v>382</v>
      </c>
      <c r="C55" s="282"/>
      <c r="D55" s="282">
        <f ca="1">'FIRE0508a raw'!D55</f>
        <v>68</v>
      </c>
      <c r="E55" s="282">
        <f ca="1">'FIRE0508a raw'!E55</f>
        <v>7</v>
      </c>
      <c r="F55" s="282"/>
      <c r="G55" s="282">
        <f ca="1">'FIRE0508a raw'!G55</f>
        <v>0</v>
      </c>
      <c r="H55" s="62"/>
      <c r="J55" s="74"/>
      <c r="K55" s="74"/>
      <c r="L55" s="62"/>
      <c r="M55" s="74"/>
      <c r="N55" s="74"/>
      <c r="P55" s="76"/>
      <c r="Q55" s="76"/>
      <c r="R55" s="76"/>
      <c r="S55" s="76"/>
      <c r="T55" s="76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s="95" customFormat="1" ht="14.5" x14ac:dyDescent="0.35">
      <c r="J56" s="110"/>
      <c r="K56" s="110"/>
      <c r="M56" s="110"/>
      <c r="N56" s="110"/>
      <c r="O56" s="110"/>
      <c r="P56" s="110"/>
      <c r="Q56" s="110"/>
      <c r="R56" s="110"/>
      <c r="S56" s="110"/>
      <c r="T56" s="110"/>
    </row>
    <row r="57" spans="1:32" s="105" customFormat="1" ht="15" customHeight="1" x14ac:dyDescent="0.35">
      <c r="A57" s="341" t="s">
        <v>81</v>
      </c>
      <c r="B57" s="341"/>
      <c r="C57" s="341"/>
      <c r="D57" s="341"/>
      <c r="E57" s="341"/>
      <c r="F57" s="341"/>
      <c r="G57" s="341"/>
      <c r="H57" s="95"/>
      <c r="I57" s="95"/>
      <c r="J57" s="110"/>
      <c r="K57" s="110"/>
      <c r="L57" s="95"/>
      <c r="M57" s="110"/>
      <c r="N57" s="110"/>
      <c r="O57" s="110"/>
      <c r="P57" s="110"/>
      <c r="Q57" s="110"/>
      <c r="R57" s="110"/>
      <c r="S57" s="110"/>
      <c r="T57" s="110"/>
    </row>
    <row r="58" spans="1:32" s="105" customFormat="1" ht="90" customHeight="1" x14ac:dyDescent="0.35">
      <c r="A58" s="341" t="s">
        <v>82</v>
      </c>
      <c r="B58" s="341"/>
      <c r="C58" s="341"/>
      <c r="D58" s="341"/>
      <c r="E58" s="341"/>
      <c r="F58" s="341"/>
      <c r="G58" s="341"/>
      <c r="H58" s="95"/>
      <c r="I58" s="95"/>
      <c r="J58" s="110"/>
      <c r="K58" s="110"/>
      <c r="L58" s="95"/>
      <c r="M58" s="110"/>
      <c r="N58" s="110"/>
      <c r="O58" s="110"/>
      <c r="P58" s="110"/>
      <c r="Q58" s="110"/>
      <c r="R58" s="110"/>
      <c r="S58" s="110"/>
      <c r="T58" s="110"/>
    </row>
    <row r="59" spans="1:32" s="105" customFormat="1" ht="15" customHeight="1" x14ac:dyDescent="0.35">
      <c r="A59" s="108"/>
      <c r="B59" s="95"/>
      <c r="C59" s="95"/>
      <c r="D59" s="95"/>
      <c r="E59" s="95"/>
      <c r="F59" s="95"/>
      <c r="G59" s="95"/>
      <c r="H59" s="95"/>
      <c r="I59" s="95"/>
      <c r="J59" s="110"/>
      <c r="K59" s="110"/>
      <c r="L59" s="95"/>
      <c r="M59" s="110"/>
      <c r="N59" s="110"/>
      <c r="O59" s="110"/>
      <c r="P59" s="110"/>
      <c r="Q59" s="110"/>
      <c r="R59" s="110"/>
      <c r="S59" s="110"/>
      <c r="T59" s="110"/>
    </row>
    <row r="60" spans="1:32" s="105" customFormat="1" ht="14.5" x14ac:dyDescent="0.35">
      <c r="A60" s="95" t="s">
        <v>83</v>
      </c>
      <c r="B60" s="112"/>
      <c r="C60" s="112"/>
      <c r="D60" s="112"/>
      <c r="E60" s="112"/>
      <c r="F60" s="112"/>
      <c r="G60" s="112"/>
      <c r="H60" s="95"/>
      <c r="I60" s="95"/>
      <c r="J60" s="110"/>
      <c r="K60" s="110"/>
      <c r="L60" s="95"/>
      <c r="M60" s="110"/>
      <c r="N60" s="110"/>
      <c r="O60" s="110"/>
      <c r="P60" s="110"/>
      <c r="Q60" s="110"/>
      <c r="R60" s="110"/>
      <c r="S60" s="110"/>
      <c r="T60" s="110"/>
    </row>
    <row r="61" spans="1:32" s="105" customFormat="1" ht="15" customHeight="1" x14ac:dyDescent="0.35">
      <c r="A61" s="109" t="s">
        <v>84</v>
      </c>
      <c r="B61" s="204"/>
      <c r="C61" s="204"/>
      <c r="D61" s="204"/>
      <c r="E61" s="204"/>
      <c r="F61" s="204"/>
      <c r="G61" s="204"/>
      <c r="H61" s="95"/>
      <c r="I61" s="95"/>
      <c r="J61" s="110"/>
      <c r="K61" s="110"/>
      <c r="L61" s="95"/>
      <c r="M61" s="110"/>
      <c r="N61" s="110"/>
      <c r="O61" s="110"/>
      <c r="P61" s="110"/>
      <c r="Q61" s="110"/>
      <c r="R61" s="110"/>
      <c r="S61" s="110"/>
      <c r="T61" s="110"/>
    </row>
    <row r="62" spans="1:32" s="105" customFormat="1" ht="15" customHeight="1" x14ac:dyDescent="0.35">
      <c r="A62" s="109"/>
      <c r="B62" s="112"/>
      <c r="C62" s="112"/>
      <c r="D62" s="112"/>
      <c r="E62" s="112"/>
      <c r="F62" s="112"/>
      <c r="G62" s="112"/>
      <c r="L62" s="95"/>
    </row>
    <row r="63" spans="1:32" s="105" customFormat="1" ht="15" customHeight="1" x14ac:dyDescent="0.35">
      <c r="A63" s="205" t="s">
        <v>85</v>
      </c>
      <c r="B63" s="112"/>
      <c r="C63" s="112"/>
      <c r="D63" s="112"/>
      <c r="E63" s="112"/>
      <c r="F63" s="112"/>
      <c r="G63" s="112"/>
      <c r="L63" s="95"/>
    </row>
    <row r="64" spans="1:32" s="105" customFormat="1" ht="15" customHeight="1" x14ac:dyDescent="0.35">
      <c r="A64" s="95"/>
      <c r="B64" s="112"/>
      <c r="C64" s="112"/>
      <c r="D64" s="112"/>
      <c r="E64" s="112"/>
      <c r="F64" s="112"/>
      <c r="G64" s="112"/>
      <c r="L64" s="95"/>
    </row>
    <row r="65" spans="1:12" s="105" customFormat="1" ht="14.5" x14ac:dyDescent="0.35">
      <c r="A65" s="95" t="s">
        <v>86</v>
      </c>
      <c r="B65" s="112"/>
      <c r="C65" s="112"/>
      <c r="D65" s="112"/>
      <c r="E65" s="112"/>
      <c r="F65" s="340" t="s">
        <v>278</v>
      </c>
      <c r="G65" s="340"/>
      <c r="L65" s="95"/>
    </row>
    <row r="66" spans="1:12" s="95" customFormat="1" ht="14.5" x14ac:dyDescent="0.35">
      <c r="A66" s="109" t="s">
        <v>152</v>
      </c>
      <c r="F66" s="339" t="s">
        <v>279</v>
      </c>
      <c r="G66" s="339"/>
    </row>
    <row r="67" spans="1:12" s="105" customFormat="1" ht="14.5" x14ac:dyDescent="0.35">
      <c r="A67" s="95"/>
      <c r="B67" s="95"/>
      <c r="C67" s="95"/>
      <c r="D67" s="95"/>
      <c r="E67" s="95"/>
      <c r="F67" s="95"/>
      <c r="G67" s="95"/>
      <c r="L67" s="95"/>
    </row>
    <row r="68" spans="1:12" s="105" customFormat="1" ht="14.5" x14ac:dyDescent="0.35">
      <c r="A68" s="109"/>
      <c r="B68" s="95"/>
      <c r="C68" s="95"/>
      <c r="D68" s="95"/>
      <c r="E68" s="95"/>
      <c r="F68" s="95"/>
      <c r="G68" s="95"/>
      <c r="L68" s="95"/>
    </row>
    <row r="69" spans="1:12" s="95" customFormat="1" ht="14.5" x14ac:dyDescent="0.35"/>
    <row r="70" spans="1:12" s="95" customFormat="1" ht="14.5" x14ac:dyDescent="0.35"/>
    <row r="71" spans="1:12" s="95" customFormat="1" ht="14.5" x14ac:dyDescent="0.35"/>
    <row r="72" spans="1:12" s="95" customFormat="1" ht="14.5" x14ac:dyDescent="0.35"/>
    <row r="73" spans="1:12" s="95" customFormat="1" ht="14.5" x14ac:dyDescent="0.35"/>
    <row r="74" spans="1:12" s="95" customFormat="1" ht="14.5" x14ac:dyDescent="0.35"/>
    <row r="75" spans="1:12" x14ac:dyDescent="0.3">
      <c r="J75" s="62" t="s">
        <v>70</v>
      </c>
      <c r="K75" s="63"/>
    </row>
    <row r="76" spans="1:12" x14ac:dyDescent="0.3">
      <c r="J76" s="62" t="s">
        <v>71</v>
      </c>
    </row>
    <row r="77" spans="1:12" x14ac:dyDescent="0.3">
      <c r="J77" s="62" t="s">
        <v>72</v>
      </c>
    </row>
    <row r="78" spans="1:12" x14ac:dyDescent="0.3">
      <c r="J78" s="62" t="s">
        <v>73</v>
      </c>
    </row>
    <row r="79" spans="1:12" x14ac:dyDescent="0.3">
      <c r="J79" s="62" t="s">
        <v>74</v>
      </c>
    </row>
    <row r="80" spans="1:12" x14ac:dyDescent="0.3">
      <c r="J80" s="62" t="s">
        <v>75</v>
      </c>
    </row>
    <row r="81" spans="10:10" x14ac:dyDescent="0.3">
      <c r="J81" s="62" t="s">
        <v>76</v>
      </c>
    </row>
    <row r="82" spans="10:10" x14ac:dyDescent="0.3">
      <c r="J82" s="62" t="s">
        <v>123</v>
      </c>
    </row>
    <row r="83" spans="10:10" x14ac:dyDescent="0.3">
      <c r="J83" s="62" t="s">
        <v>149</v>
      </c>
    </row>
    <row r="84" spans="10:10" x14ac:dyDescent="0.3">
      <c r="J84" s="62" t="s">
        <v>277</v>
      </c>
    </row>
  </sheetData>
  <mergeCells count="8">
    <mergeCell ref="F66:G66"/>
    <mergeCell ref="F65:G65"/>
    <mergeCell ref="A58:G58"/>
    <mergeCell ref="A1:G1"/>
    <mergeCell ref="B6:B7"/>
    <mergeCell ref="D6:E6"/>
    <mergeCell ref="G6:G7"/>
    <mergeCell ref="A57:G57"/>
  </mergeCells>
  <dataValidations count="1">
    <dataValidation type="list" allowBlank="1" showInputMessage="1" showErrorMessage="1" sqref="A4" xr:uid="{00000000-0002-0000-2800-000000000000}">
      <formula1>$J$75:$J$84</formula1>
    </dataValidation>
  </dataValidations>
  <hyperlinks>
    <hyperlink ref="A61" r:id="rId1" xr:uid="{00000000-0004-0000-2800-000000000000}"/>
    <hyperlink ref="A66" r:id="rId2" xr:uid="{9700A98F-9FAF-4913-B40D-97E4EC21905A}"/>
    <hyperlink ref="F65" r:id="rId3" display="Updated alongside Fire and rescue workforce and pensions statistics" xr:uid="{A9C2F512-549B-488E-9F31-6CD97D434FD5}"/>
    <hyperlink ref="F66:G66" r:id="rId4" display="Next Update: Autumn 2020" xr:uid="{70DBA73F-1C60-42A1-A2E7-34BA4D651965}"/>
  </hyperlinks>
  <pageMargins left="0.7" right="0.7" top="0.75" bottom="0.75" header="0.3" footer="0.3"/>
  <pageSetup paperSize="9" orientation="portrait"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AK86"/>
  <sheetViews>
    <sheetView zoomScaleNormal="100" workbookViewId="0">
      <pane ySplit="9" topLeftCell="A10" activePane="bottomLeft" state="frozen"/>
      <selection activeCell="B22" sqref="B22"/>
      <selection pane="bottomLeft" activeCell="A4" sqref="A4"/>
    </sheetView>
  </sheetViews>
  <sheetFormatPr defaultColWidth="9.26953125" defaultRowHeight="13" x14ac:dyDescent="0.3"/>
  <cols>
    <col min="1" max="1" width="42.7265625" style="62" customWidth="1"/>
    <col min="2" max="3" width="12.7265625" style="62" customWidth="1"/>
    <col min="4" max="4" width="3.7265625" style="62" customWidth="1"/>
    <col min="5" max="6" width="12.7265625" style="62" customWidth="1"/>
    <col min="7" max="7" width="3.7265625" style="62" customWidth="1"/>
    <col min="8" max="9" width="12.7265625" style="62" customWidth="1"/>
    <col min="10" max="10" width="3.7265625" style="62" customWidth="1"/>
    <col min="11" max="12" width="12.7265625" style="62" customWidth="1"/>
    <col min="13" max="14" width="9.26953125" style="62" customWidth="1"/>
    <col min="15" max="15" width="9.26953125" style="62" hidden="1" customWidth="1"/>
    <col min="16" max="16" width="9.26953125" style="62" customWidth="1"/>
    <col min="17" max="17" width="10" style="62" bestFit="1" customWidth="1"/>
    <col min="18" max="18" width="11.7265625" style="62" customWidth="1"/>
    <col min="19" max="23" width="9.26953125" style="62"/>
    <col min="24" max="24" width="11" style="62" customWidth="1"/>
    <col min="25" max="16384" width="9.26953125" style="62"/>
  </cols>
  <sheetData>
    <row r="1" spans="1:37" s="61" customFormat="1" ht="33" customHeight="1" x14ac:dyDescent="0.5">
      <c r="A1" s="325" t="s">
        <v>120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59"/>
      <c r="N1" s="59"/>
      <c r="O1" s="60"/>
      <c r="P1" s="60"/>
    </row>
    <row r="2" spans="1:37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37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2"/>
      <c r="M3" s="62"/>
      <c r="N3" s="62"/>
      <c r="O3" s="62"/>
      <c r="P3" s="62"/>
    </row>
    <row r="4" spans="1:37" s="63" customFormat="1" ht="15" customHeight="1" x14ac:dyDescent="0.3">
      <c r="A4" s="280" t="s">
        <v>277</v>
      </c>
      <c r="B4" s="62"/>
      <c r="C4" s="62"/>
      <c r="D4" s="62"/>
      <c r="E4" s="62"/>
      <c r="F4" s="62"/>
      <c r="G4" s="62"/>
      <c r="H4" s="62"/>
      <c r="I4" s="62"/>
      <c r="J4" s="62"/>
      <c r="K4" s="88"/>
      <c r="L4" s="62"/>
      <c r="M4" s="62"/>
      <c r="N4" s="62"/>
      <c r="O4" s="62"/>
      <c r="P4" s="62"/>
      <c r="Q4" s="62"/>
    </row>
    <row r="5" spans="1:37" s="63" customFormat="1" ht="15" thickBot="1" x14ac:dyDescent="0.4">
      <c r="A5" s="62"/>
      <c r="B5" s="283"/>
      <c r="C5" s="283"/>
      <c r="D5" s="283"/>
      <c r="E5" s="285">
        <f>IF(OR($A$4="2017-18",$A$4="2018-19"),7,3)</f>
        <v>7</v>
      </c>
      <c r="F5" s="284"/>
      <c r="G5" s="283"/>
      <c r="H5" s="283"/>
      <c r="I5" s="283"/>
      <c r="J5" s="67"/>
      <c r="K5" s="67"/>
      <c r="L5" s="67"/>
      <c r="M5" s="62"/>
      <c r="N5" s="62"/>
      <c r="O5" s="68"/>
      <c r="P5" s="68"/>
      <c r="R5" s="68"/>
      <c r="S5" s="68"/>
      <c r="U5" s="68"/>
      <c r="V5" s="68"/>
      <c r="W5" s="68"/>
      <c r="X5" s="68"/>
      <c r="Y5" s="68"/>
      <c r="AB5" s="69"/>
    </row>
    <row r="6" spans="1:37" s="63" customFormat="1" ht="30" customHeight="1" thickBot="1" x14ac:dyDescent="0.4">
      <c r="A6" s="95"/>
      <c r="B6" s="331" t="s">
        <v>1</v>
      </c>
      <c r="C6" s="331"/>
      <c r="D6" s="115"/>
      <c r="E6" s="342" t="s">
        <v>79</v>
      </c>
      <c r="F6" s="342"/>
      <c r="G6" s="342"/>
      <c r="H6" s="342"/>
      <c r="I6" s="342"/>
      <c r="J6" s="115"/>
      <c r="K6" s="331" t="s">
        <v>117</v>
      </c>
      <c r="L6" s="331"/>
      <c r="M6" s="62"/>
      <c r="N6" s="62"/>
      <c r="O6" s="68"/>
      <c r="P6" s="68"/>
      <c r="R6" s="68"/>
      <c r="S6" s="68"/>
      <c r="U6" s="68"/>
      <c r="V6" s="68"/>
      <c r="W6" s="68"/>
      <c r="X6" s="68"/>
      <c r="Y6" s="68"/>
      <c r="AB6" s="69"/>
    </row>
    <row r="7" spans="1:37" s="61" customFormat="1" ht="30" customHeight="1" thickBot="1" x14ac:dyDescent="0.4">
      <c r="A7" s="112"/>
      <c r="B7" s="332"/>
      <c r="C7" s="332"/>
      <c r="D7" s="116"/>
      <c r="E7" s="329" t="str">
        <f>_xlfn.CONCAT("Number of 'over ",IF($E$5=7,"7","3")," day' injuries'")</f>
        <v>Number of 'over 7 day' injuries'</v>
      </c>
      <c r="F7" s="329"/>
      <c r="G7" s="117"/>
      <c r="H7" s="329" t="s">
        <v>80</v>
      </c>
      <c r="I7" s="329"/>
      <c r="J7" s="116"/>
      <c r="K7" s="332"/>
      <c r="L7" s="332"/>
      <c r="M7" s="60"/>
      <c r="N7" s="60"/>
      <c r="O7" s="114"/>
      <c r="P7" s="114"/>
      <c r="R7" s="114"/>
      <c r="S7" s="114"/>
      <c r="U7" s="114"/>
      <c r="V7" s="114"/>
      <c r="W7" s="114"/>
      <c r="X7" s="114"/>
      <c r="Y7" s="114"/>
    </row>
    <row r="8" spans="1:37" s="72" customFormat="1" ht="31.5" thickBot="1" x14ac:dyDescent="0.35">
      <c r="A8" s="98" t="s">
        <v>67</v>
      </c>
      <c r="B8" s="100" t="s">
        <v>59</v>
      </c>
      <c r="C8" s="100" t="s">
        <v>282</v>
      </c>
      <c r="D8" s="99"/>
      <c r="E8" s="100" t="s">
        <v>59</v>
      </c>
      <c r="F8" s="279" t="s">
        <v>282</v>
      </c>
      <c r="G8" s="99"/>
      <c r="H8" s="100" t="s">
        <v>59</v>
      </c>
      <c r="I8" s="279" t="s">
        <v>282</v>
      </c>
      <c r="J8" s="99"/>
      <c r="K8" s="100" t="s">
        <v>59</v>
      </c>
      <c r="L8" s="279" t="s">
        <v>282</v>
      </c>
      <c r="Q8" s="62"/>
    </row>
    <row r="9" spans="1:37" s="63" customFormat="1" ht="15" customHeight="1" x14ac:dyDescent="0.35">
      <c r="A9" s="77" t="s">
        <v>6</v>
      </c>
      <c r="B9" s="102">
        <f ca="1">'FIRE0508b raw'!B9</f>
        <v>806</v>
      </c>
      <c r="C9" s="102">
        <f ca="1">'FIRE0508b raw'!C9</f>
        <v>323</v>
      </c>
      <c r="D9" s="102"/>
      <c r="E9" s="102">
        <f ca="1">'FIRE0508b raw'!E9</f>
        <v>123</v>
      </c>
      <c r="F9" s="102">
        <f ca="1">'FIRE0508b raw'!F9</f>
        <v>41</v>
      </c>
      <c r="G9" s="102"/>
      <c r="H9" s="102">
        <f ca="1">'FIRE0508b raw'!H9</f>
        <v>21</v>
      </c>
      <c r="I9" s="102">
        <f ca="1">'FIRE0508b raw'!I9</f>
        <v>7</v>
      </c>
      <c r="J9" s="102"/>
      <c r="K9" s="102">
        <f ca="1">'FIRE0508b raw'!K9</f>
        <v>0</v>
      </c>
      <c r="L9" s="102">
        <f ca="1">'FIRE0508b raw'!L9</f>
        <v>0</v>
      </c>
      <c r="M9" s="62"/>
      <c r="O9" s="74"/>
      <c r="P9" s="74"/>
      <c r="R9" s="74"/>
      <c r="S9" s="74"/>
      <c r="U9" s="76"/>
      <c r="V9" s="76"/>
      <c r="W9" s="76"/>
      <c r="X9" s="76"/>
      <c r="Y9" s="76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</row>
    <row r="10" spans="1:37" s="63" customFormat="1" ht="15" customHeight="1" x14ac:dyDescent="0.35">
      <c r="A10" s="101" t="s">
        <v>68</v>
      </c>
      <c r="B10" s="102">
        <f ca="1">'FIRE0508b raw'!B10</f>
        <v>504</v>
      </c>
      <c r="C10" s="102">
        <f ca="1">'FIRE0508b raw'!C10</f>
        <v>227</v>
      </c>
      <c r="D10" s="102"/>
      <c r="E10" s="102">
        <f ca="1">'FIRE0508b raw'!E10</f>
        <v>67</v>
      </c>
      <c r="F10" s="102">
        <f ca="1">'FIRE0508b raw'!F10</f>
        <v>30</v>
      </c>
      <c r="G10" s="102"/>
      <c r="H10" s="102">
        <f ca="1">'FIRE0508b raw'!H10</f>
        <v>15</v>
      </c>
      <c r="I10" s="102">
        <f ca="1">'FIRE0508b raw'!I10</f>
        <v>6</v>
      </c>
      <c r="J10" s="102"/>
      <c r="K10" s="102">
        <f ca="1">'FIRE0508b raw'!K10</f>
        <v>0</v>
      </c>
      <c r="L10" s="102">
        <f ca="1">'FIRE0508b raw'!L10</f>
        <v>0</v>
      </c>
      <c r="M10" s="62"/>
      <c r="O10" s="74"/>
      <c r="P10" s="74"/>
      <c r="R10" s="74"/>
      <c r="S10" s="74"/>
      <c r="U10" s="76"/>
      <c r="V10" s="76"/>
      <c r="W10" s="76"/>
      <c r="X10" s="76"/>
      <c r="Y10" s="76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</row>
    <row r="11" spans="1:37" s="63" customFormat="1" ht="15" customHeight="1" x14ac:dyDescent="0.35">
      <c r="A11" s="95" t="s">
        <v>8</v>
      </c>
      <c r="B11" s="103">
        <f ca="1">'FIRE0508b raw'!B11</f>
        <v>9</v>
      </c>
      <c r="C11" s="103">
        <f ca="1">'FIRE0508b raw'!C11</f>
        <v>3</v>
      </c>
      <c r="D11" s="103"/>
      <c r="E11" s="103">
        <f ca="1">'FIRE0508b raw'!E11</f>
        <v>1</v>
      </c>
      <c r="F11" s="103">
        <f ca="1">'FIRE0508b raw'!F11</f>
        <v>0</v>
      </c>
      <c r="G11" s="103"/>
      <c r="H11" s="103">
        <f ca="1">'FIRE0508b raw'!H11</f>
        <v>0</v>
      </c>
      <c r="I11" s="103">
        <f ca="1">'FIRE0508b raw'!I11</f>
        <v>0</v>
      </c>
      <c r="J11" s="103"/>
      <c r="K11" s="103">
        <f ca="1">'FIRE0508b raw'!K11</f>
        <v>0</v>
      </c>
      <c r="L11" s="103">
        <f ca="1">'FIRE0508b raw'!L11</f>
        <v>0</v>
      </c>
      <c r="M11" s="62"/>
      <c r="O11" s="74"/>
      <c r="P11" s="74"/>
      <c r="R11" s="74"/>
      <c r="S11" s="74"/>
      <c r="U11" s="76"/>
      <c r="V11" s="76"/>
      <c r="W11" s="76"/>
      <c r="X11" s="76"/>
      <c r="Y11" s="76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</row>
    <row r="12" spans="1:37" s="63" customFormat="1" ht="15" customHeight="1" x14ac:dyDescent="0.35">
      <c r="A12" s="95" t="s">
        <v>9</v>
      </c>
      <c r="B12" s="103">
        <f ca="1">'FIRE0508b raw'!B12</f>
        <v>9</v>
      </c>
      <c r="C12" s="103">
        <f ca="1">'FIRE0508b raw'!C12</f>
        <v>7</v>
      </c>
      <c r="D12" s="103"/>
      <c r="E12" s="103">
        <f ca="1">'FIRE0508b raw'!E12</f>
        <v>1</v>
      </c>
      <c r="F12" s="103">
        <f ca="1">'FIRE0508b raw'!F12</f>
        <v>0</v>
      </c>
      <c r="G12" s="103"/>
      <c r="H12" s="103">
        <f ca="1">'FIRE0508b raw'!H12</f>
        <v>0</v>
      </c>
      <c r="I12" s="103">
        <f ca="1">'FIRE0508b raw'!I12</f>
        <v>0</v>
      </c>
      <c r="J12" s="103"/>
      <c r="K12" s="103">
        <f ca="1">'FIRE0508b raw'!K12</f>
        <v>0</v>
      </c>
      <c r="L12" s="103">
        <f ca="1">'FIRE0508b raw'!L12</f>
        <v>0</v>
      </c>
      <c r="M12" s="62"/>
      <c r="O12" s="74"/>
      <c r="P12" s="74"/>
      <c r="R12" s="74"/>
      <c r="S12" s="74"/>
      <c r="U12" s="76"/>
      <c r="V12" s="76"/>
      <c r="W12" s="76"/>
      <c r="X12" s="76"/>
      <c r="Y12" s="76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</row>
    <row r="13" spans="1:37" s="63" customFormat="1" ht="15" customHeight="1" x14ac:dyDescent="0.35">
      <c r="A13" s="95" t="s">
        <v>10</v>
      </c>
      <c r="B13" s="103">
        <f ca="1">'FIRE0508b raw'!B13</f>
        <v>24</v>
      </c>
      <c r="C13" s="103">
        <f ca="1">'FIRE0508b raw'!C13</f>
        <v>2</v>
      </c>
      <c r="D13" s="103"/>
      <c r="E13" s="103">
        <f ca="1">'FIRE0508b raw'!E13</f>
        <v>4</v>
      </c>
      <c r="F13" s="103">
        <f ca="1">'FIRE0508b raw'!F13</f>
        <v>0</v>
      </c>
      <c r="G13" s="103"/>
      <c r="H13" s="103">
        <f ca="1">'FIRE0508b raw'!H13</f>
        <v>0</v>
      </c>
      <c r="I13" s="103">
        <f ca="1">'FIRE0508b raw'!I13</f>
        <v>0</v>
      </c>
      <c r="J13" s="103"/>
      <c r="K13" s="103">
        <f ca="1">'FIRE0508b raw'!K13</f>
        <v>0</v>
      </c>
      <c r="L13" s="103">
        <f ca="1">'FIRE0508b raw'!L13</f>
        <v>0</v>
      </c>
      <c r="M13" s="62"/>
      <c r="O13" s="74"/>
      <c r="P13" s="74"/>
      <c r="R13" s="74"/>
      <c r="S13" s="74"/>
      <c r="U13" s="76"/>
      <c r="V13" s="76"/>
      <c r="W13" s="76"/>
      <c r="X13" s="76"/>
      <c r="Y13" s="76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</row>
    <row r="14" spans="1:37" s="63" customFormat="1" ht="15" customHeight="1" x14ac:dyDescent="0.35">
      <c r="A14" s="95" t="s">
        <v>11</v>
      </c>
      <c r="B14" s="103">
        <f ca="1">'FIRE0508b raw'!B14</f>
        <v>6</v>
      </c>
      <c r="C14" s="103">
        <f ca="1">'FIRE0508b raw'!C14</f>
        <v>1</v>
      </c>
      <c r="D14" s="103"/>
      <c r="E14" s="103">
        <f ca="1">'FIRE0508b raw'!E14</f>
        <v>0</v>
      </c>
      <c r="F14" s="103">
        <f ca="1">'FIRE0508b raw'!F14</f>
        <v>0</v>
      </c>
      <c r="G14" s="103"/>
      <c r="H14" s="103">
        <f ca="1">'FIRE0508b raw'!H14</f>
        <v>0</v>
      </c>
      <c r="I14" s="103">
        <f ca="1">'FIRE0508b raw'!I14</f>
        <v>0</v>
      </c>
      <c r="J14" s="103"/>
      <c r="K14" s="103">
        <f ca="1">'FIRE0508b raw'!K14</f>
        <v>0</v>
      </c>
      <c r="L14" s="103">
        <f ca="1">'FIRE0508b raw'!L14</f>
        <v>0</v>
      </c>
      <c r="M14" s="62"/>
      <c r="O14" s="74"/>
      <c r="P14" s="74"/>
      <c r="R14" s="74"/>
      <c r="S14" s="74"/>
      <c r="U14" s="76"/>
      <c r="V14" s="76"/>
      <c r="W14" s="76"/>
      <c r="X14" s="76"/>
      <c r="Y14" s="76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</row>
    <row r="15" spans="1:37" s="63" customFormat="1" ht="15" customHeight="1" x14ac:dyDescent="0.35">
      <c r="A15" s="95" t="s">
        <v>12</v>
      </c>
      <c r="B15" s="103">
        <f ca="1">'FIRE0508b raw'!B15</f>
        <v>73</v>
      </c>
      <c r="C15" s="103">
        <f ca="1">'FIRE0508b raw'!C15</f>
        <v>15</v>
      </c>
      <c r="D15" s="103"/>
      <c r="E15" s="103">
        <f ca="1">'FIRE0508b raw'!E15</f>
        <v>1</v>
      </c>
      <c r="F15" s="103">
        <f ca="1">'FIRE0508b raw'!F15</f>
        <v>2</v>
      </c>
      <c r="G15" s="103"/>
      <c r="H15" s="103">
        <f ca="1">'FIRE0508b raw'!H15</f>
        <v>2</v>
      </c>
      <c r="I15" s="103">
        <f ca="1">'FIRE0508b raw'!I15</f>
        <v>0</v>
      </c>
      <c r="J15" s="103"/>
      <c r="K15" s="103">
        <f ca="1">'FIRE0508b raw'!K15</f>
        <v>0</v>
      </c>
      <c r="L15" s="103">
        <f ca="1">'FIRE0508b raw'!L15</f>
        <v>0</v>
      </c>
      <c r="M15" s="62"/>
      <c r="O15" s="74"/>
      <c r="P15" s="74"/>
      <c r="R15" s="74"/>
      <c r="S15" s="74"/>
      <c r="U15" s="76"/>
      <c r="V15" s="76"/>
      <c r="W15" s="76"/>
      <c r="X15" s="76"/>
      <c r="Y15" s="76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</row>
    <row r="16" spans="1:37" s="63" customFormat="1" ht="15" customHeight="1" x14ac:dyDescent="0.35">
      <c r="A16" s="95" t="s">
        <v>13</v>
      </c>
      <c r="B16" s="103">
        <f ca="1">'FIRE0508b raw'!B16</f>
        <v>9</v>
      </c>
      <c r="C16" s="103">
        <f ca="1">'FIRE0508b raw'!C16</f>
        <v>3</v>
      </c>
      <c r="D16" s="103"/>
      <c r="E16" s="103">
        <f ca="1">'FIRE0508b raw'!E16</f>
        <v>0</v>
      </c>
      <c r="F16" s="103">
        <f ca="1">'FIRE0508b raw'!F16</f>
        <v>0</v>
      </c>
      <c r="G16" s="103"/>
      <c r="H16" s="103">
        <f ca="1">'FIRE0508b raw'!H16</f>
        <v>1</v>
      </c>
      <c r="I16" s="103">
        <f ca="1">'FIRE0508b raw'!I16</f>
        <v>1</v>
      </c>
      <c r="J16" s="103"/>
      <c r="K16" s="103">
        <f ca="1">'FIRE0508b raw'!K16</f>
        <v>0</v>
      </c>
      <c r="L16" s="103">
        <f ca="1">'FIRE0508b raw'!L16</f>
        <v>0</v>
      </c>
      <c r="M16" s="62"/>
      <c r="O16" s="74"/>
      <c r="P16" s="74"/>
      <c r="R16" s="74"/>
      <c r="S16" s="74"/>
      <c r="U16" s="76"/>
      <c r="V16" s="76"/>
      <c r="W16" s="76"/>
      <c r="X16" s="76"/>
      <c r="Y16" s="76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</row>
    <row r="17" spans="1:37" s="63" customFormat="1" ht="15" customHeight="1" x14ac:dyDescent="0.35">
      <c r="A17" s="95" t="s">
        <v>14</v>
      </c>
      <c r="B17" s="103">
        <f ca="1">'FIRE0508b raw'!B17</f>
        <v>3</v>
      </c>
      <c r="C17" s="103">
        <f ca="1">'FIRE0508b raw'!C17</f>
        <v>1</v>
      </c>
      <c r="D17" s="103"/>
      <c r="E17" s="103">
        <f ca="1">'FIRE0508b raw'!E17</f>
        <v>2</v>
      </c>
      <c r="F17" s="103">
        <f ca="1">'FIRE0508b raw'!F17</f>
        <v>0</v>
      </c>
      <c r="G17" s="103"/>
      <c r="H17" s="103">
        <f ca="1">'FIRE0508b raw'!H17</f>
        <v>2</v>
      </c>
      <c r="I17" s="103">
        <f ca="1">'FIRE0508b raw'!I17</f>
        <v>0</v>
      </c>
      <c r="J17" s="103"/>
      <c r="K17" s="103">
        <f ca="1">'FIRE0508b raw'!K17</f>
        <v>0</v>
      </c>
      <c r="L17" s="103">
        <f ca="1">'FIRE0508b raw'!L17</f>
        <v>0</v>
      </c>
      <c r="M17" s="62"/>
      <c r="O17" s="74"/>
      <c r="P17" s="74"/>
      <c r="R17" s="74"/>
      <c r="S17" s="74"/>
      <c r="U17" s="76"/>
      <c r="V17" s="76"/>
      <c r="W17" s="76"/>
      <c r="X17" s="76"/>
      <c r="Y17" s="76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</row>
    <row r="18" spans="1:37" s="63" customFormat="1" ht="15" customHeight="1" x14ac:dyDescent="0.35">
      <c r="A18" s="95" t="s">
        <v>15</v>
      </c>
      <c r="B18" s="103">
        <f ca="1">'FIRE0508b raw'!B18</f>
        <v>1</v>
      </c>
      <c r="C18" s="103">
        <f ca="1">'FIRE0508b raw'!C18</f>
        <v>4</v>
      </c>
      <c r="D18" s="103"/>
      <c r="E18" s="103">
        <f ca="1">'FIRE0508b raw'!E18</f>
        <v>0</v>
      </c>
      <c r="F18" s="103">
        <f ca="1">'FIRE0508b raw'!F18</f>
        <v>1</v>
      </c>
      <c r="G18" s="103"/>
      <c r="H18" s="103">
        <f ca="1">'FIRE0508b raw'!H18</f>
        <v>0</v>
      </c>
      <c r="I18" s="103">
        <f ca="1">'FIRE0508b raw'!I18</f>
        <v>1</v>
      </c>
      <c r="J18" s="103"/>
      <c r="K18" s="103">
        <f ca="1">'FIRE0508b raw'!K18</f>
        <v>0</v>
      </c>
      <c r="L18" s="103">
        <f ca="1">'FIRE0508b raw'!L18</f>
        <v>0</v>
      </c>
      <c r="M18" s="62"/>
      <c r="O18" s="74"/>
      <c r="P18" s="74"/>
      <c r="R18" s="74"/>
      <c r="S18" s="74"/>
      <c r="U18" s="76"/>
      <c r="V18" s="76"/>
      <c r="W18" s="76"/>
      <c r="X18" s="76"/>
      <c r="Y18" s="76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</row>
    <row r="19" spans="1:37" s="63" customFormat="1" ht="15" customHeight="1" x14ac:dyDescent="0.35">
      <c r="A19" s="104" t="s">
        <v>16</v>
      </c>
      <c r="B19" s="103">
        <f ca="1">'FIRE0508b raw'!B19</f>
        <v>6</v>
      </c>
      <c r="C19" s="103">
        <f ca="1">'FIRE0508b raw'!C19</f>
        <v>5</v>
      </c>
      <c r="D19" s="103"/>
      <c r="E19" s="103">
        <f ca="1">'FIRE0508b raw'!E19</f>
        <v>2</v>
      </c>
      <c r="F19" s="103">
        <f ca="1">'FIRE0508b raw'!F19</f>
        <v>0</v>
      </c>
      <c r="G19" s="103"/>
      <c r="H19" s="103">
        <f ca="1">'FIRE0508b raw'!H19</f>
        <v>0</v>
      </c>
      <c r="I19" s="103">
        <f ca="1">'FIRE0508b raw'!I19</f>
        <v>0</v>
      </c>
      <c r="J19" s="103"/>
      <c r="K19" s="103">
        <f ca="1">'FIRE0508b raw'!K19</f>
        <v>0</v>
      </c>
      <c r="L19" s="103">
        <f ca="1">'FIRE0508b raw'!L19</f>
        <v>0</v>
      </c>
      <c r="M19" s="62"/>
      <c r="O19" s="74"/>
      <c r="P19" s="74"/>
      <c r="R19" s="74"/>
      <c r="S19" s="74"/>
      <c r="U19" s="76"/>
      <c r="V19" s="76"/>
      <c r="W19" s="76"/>
      <c r="X19" s="76"/>
      <c r="Y19" s="76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</row>
    <row r="20" spans="1:37" s="63" customFormat="1" ht="15" customHeight="1" x14ac:dyDescent="0.35">
      <c r="A20" s="104" t="s">
        <v>17</v>
      </c>
      <c r="B20" s="103">
        <f ca="1">'FIRE0508b raw'!B20</f>
        <v>6</v>
      </c>
      <c r="C20" s="103">
        <f ca="1">'FIRE0508b raw'!C20</f>
        <v>1</v>
      </c>
      <c r="D20" s="103"/>
      <c r="E20" s="103">
        <f ca="1">'FIRE0508b raw'!E20</f>
        <v>2</v>
      </c>
      <c r="F20" s="103">
        <f ca="1">'FIRE0508b raw'!F20</f>
        <v>0</v>
      </c>
      <c r="G20" s="103"/>
      <c r="H20" s="103">
        <f ca="1">'FIRE0508b raw'!H20</f>
        <v>2</v>
      </c>
      <c r="I20" s="103">
        <f ca="1">'FIRE0508b raw'!I20</f>
        <v>0</v>
      </c>
      <c r="J20" s="103"/>
      <c r="K20" s="103">
        <f ca="1">'FIRE0508b raw'!K20</f>
        <v>0</v>
      </c>
      <c r="L20" s="103">
        <f ca="1">'FIRE0508b raw'!L20</f>
        <v>0</v>
      </c>
      <c r="M20" s="62"/>
      <c r="O20" s="74"/>
      <c r="P20" s="74"/>
      <c r="R20" s="74"/>
      <c r="S20" s="74"/>
      <c r="U20" s="76"/>
      <c r="V20" s="76"/>
      <c r="W20" s="76"/>
      <c r="X20" s="76"/>
      <c r="Y20" s="76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</row>
    <row r="21" spans="1:37" s="63" customFormat="1" ht="15" customHeight="1" x14ac:dyDescent="0.35">
      <c r="A21" s="95" t="s">
        <v>18</v>
      </c>
      <c r="B21" s="103">
        <f ca="1">'FIRE0508b raw'!B21</f>
        <v>12</v>
      </c>
      <c r="C21" s="103">
        <f ca="1">'FIRE0508b raw'!C21</f>
        <v>6</v>
      </c>
      <c r="D21" s="103"/>
      <c r="E21" s="103">
        <f ca="1">'FIRE0508b raw'!E21</f>
        <v>4</v>
      </c>
      <c r="F21" s="103">
        <f ca="1">'FIRE0508b raw'!F21</f>
        <v>1</v>
      </c>
      <c r="G21" s="103"/>
      <c r="H21" s="103">
        <f ca="1">'FIRE0508b raw'!H21</f>
        <v>0</v>
      </c>
      <c r="I21" s="103">
        <f ca="1">'FIRE0508b raw'!I21</f>
        <v>0</v>
      </c>
      <c r="J21" s="103"/>
      <c r="K21" s="103">
        <f ca="1">'FIRE0508b raw'!K21</f>
        <v>0</v>
      </c>
      <c r="L21" s="103">
        <f ca="1">'FIRE0508b raw'!L21</f>
        <v>0</v>
      </c>
      <c r="M21" s="62"/>
      <c r="O21" s="74"/>
      <c r="P21" s="74"/>
      <c r="R21" s="74"/>
      <c r="S21" s="74"/>
      <c r="U21" s="76"/>
      <c r="V21" s="76"/>
      <c r="W21" s="76"/>
      <c r="X21" s="76"/>
      <c r="Y21" s="76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</row>
    <row r="22" spans="1:37" s="63" customFormat="1" ht="15" customHeight="1" x14ac:dyDescent="0.35">
      <c r="A22" s="95" t="s">
        <v>122</v>
      </c>
      <c r="B22" s="103">
        <f ca="1">'FIRE0508b raw'!B22</f>
        <v>26</v>
      </c>
      <c r="C22" s="103">
        <f ca="1">'FIRE0508b raw'!C22</f>
        <v>9</v>
      </c>
      <c r="D22" s="103"/>
      <c r="E22" s="103">
        <f ca="1">'FIRE0508b raw'!E22</f>
        <v>4</v>
      </c>
      <c r="F22" s="103">
        <f ca="1">'FIRE0508b raw'!F22</f>
        <v>1</v>
      </c>
      <c r="G22" s="103"/>
      <c r="H22" s="103">
        <f ca="1">'FIRE0508b raw'!H22</f>
        <v>0</v>
      </c>
      <c r="I22" s="103">
        <f ca="1">'FIRE0508b raw'!I22</f>
        <v>0</v>
      </c>
      <c r="J22" s="103"/>
      <c r="K22" s="103">
        <f ca="1">'FIRE0508b raw'!K22</f>
        <v>0</v>
      </c>
      <c r="L22" s="103">
        <f ca="1">'FIRE0508b raw'!L22</f>
        <v>0</v>
      </c>
      <c r="M22" s="62"/>
      <c r="O22" s="74"/>
      <c r="P22" s="74"/>
      <c r="R22" s="74"/>
      <c r="S22" s="74"/>
      <c r="U22" s="76"/>
      <c r="V22" s="76"/>
      <c r="W22" s="76"/>
      <c r="X22" s="76"/>
      <c r="Y22" s="76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</row>
    <row r="23" spans="1:37" s="63" customFormat="1" ht="15" customHeight="1" x14ac:dyDescent="0.35">
      <c r="A23" s="95" t="s">
        <v>20</v>
      </c>
      <c r="B23" s="103">
        <f ca="1">'FIRE0508b raw'!B23</f>
        <v>7</v>
      </c>
      <c r="C23" s="103">
        <f ca="1">'FIRE0508b raw'!C23</f>
        <v>2</v>
      </c>
      <c r="D23" s="103"/>
      <c r="E23" s="103">
        <f ca="1">'FIRE0508b raw'!E23</f>
        <v>1</v>
      </c>
      <c r="F23" s="103">
        <f ca="1">'FIRE0508b raw'!F23</f>
        <v>0</v>
      </c>
      <c r="G23" s="103"/>
      <c r="H23" s="103">
        <f ca="1">'FIRE0508b raw'!H23</f>
        <v>0</v>
      </c>
      <c r="I23" s="103">
        <f ca="1">'FIRE0508b raw'!I23</f>
        <v>0</v>
      </c>
      <c r="J23" s="103"/>
      <c r="K23" s="103">
        <f ca="1">'FIRE0508b raw'!K23</f>
        <v>0</v>
      </c>
      <c r="L23" s="103">
        <f ca="1">'FIRE0508b raw'!L23</f>
        <v>0</v>
      </c>
      <c r="M23" s="62"/>
      <c r="O23" s="74"/>
      <c r="P23" s="74"/>
      <c r="R23" s="74"/>
      <c r="S23" s="74"/>
      <c r="U23" s="76"/>
      <c r="V23" s="76"/>
      <c r="W23" s="76"/>
      <c r="X23" s="76"/>
      <c r="Y23" s="76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</row>
    <row r="24" spans="1:37" s="63" customFormat="1" ht="15" customHeight="1" x14ac:dyDescent="0.35">
      <c r="A24" s="95" t="s">
        <v>21</v>
      </c>
      <c r="B24" s="103">
        <f ca="1">'FIRE0508b raw'!B24</f>
        <v>16</v>
      </c>
      <c r="C24" s="103">
        <f ca="1">'FIRE0508b raw'!C24</f>
        <v>19</v>
      </c>
      <c r="D24" s="103"/>
      <c r="E24" s="103">
        <f ca="1">'FIRE0508b raw'!E24</f>
        <v>1</v>
      </c>
      <c r="F24" s="103">
        <f ca="1">'FIRE0508b raw'!F24</f>
        <v>1</v>
      </c>
      <c r="G24" s="103"/>
      <c r="H24" s="103">
        <f ca="1">'FIRE0508b raw'!H24</f>
        <v>0</v>
      </c>
      <c r="I24" s="103">
        <f ca="1">'FIRE0508b raw'!I24</f>
        <v>0</v>
      </c>
      <c r="J24" s="103"/>
      <c r="K24" s="103">
        <f ca="1">'FIRE0508b raw'!K24</f>
        <v>0</v>
      </c>
      <c r="L24" s="103">
        <f ca="1">'FIRE0508b raw'!L24</f>
        <v>0</v>
      </c>
      <c r="M24" s="62"/>
      <c r="O24" s="74"/>
      <c r="P24" s="74"/>
      <c r="R24" s="74"/>
      <c r="S24" s="74"/>
      <c r="U24" s="76"/>
      <c r="V24" s="76"/>
      <c r="W24" s="76"/>
      <c r="X24" s="76"/>
      <c r="Y24" s="76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</row>
    <row r="25" spans="1:37" s="63" customFormat="1" ht="15" customHeight="1" x14ac:dyDescent="0.35">
      <c r="A25" s="95" t="s">
        <v>22</v>
      </c>
      <c r="B25" s="103">
        <f ca="1">'FIRE0508b raw'!B25</f>
        <v>34</v>
      </c>
      <c r="C25" s="103">
        <f ca="1">'FIRE0508b raw'!C25</f>
        <v>8</v>
      </c>
      <c r="D25" s="103"/>
      <c r="E25" s="103">
        <f ca="1">'FIRE0508b raw'!E25</f>
        <v>8</v>
      </c>
      <c r="F25" s="103">
        <f ca="1">'FIRE0508b raw'!F25</f>
        <v>1</v>
      </c>
      <c r="G25" s="103"/>
      <c r="H25" s="103">
        <f ca="1">'FIRE0508b raw'!H25</f>
        <v>2</v>
      </c>
      <c r="I25" s="103">
        <f ca="1">'FIRE0508b raw'!I25</f>
        <v>0</v>
      </c>
      <c r="J25" s="103"/>
      <c r="K25" s="103">
        <f ca="1">'FIRE0508b raw'!K25</f>
        <v>0</v>
      </c>
      <c r="L25" s="103">
        <f ca="1">'FIRE0508b raw'!L25</f>
        <v>0</v>
      </c>
      <c r="M25" s="62"/>
      <c r="O25" s="74"/>
      <c r="P25" s="74"/>
      <c r="R25" s="74"/>
      <c r="S25" s="74"/>
      <c r="U25" s="76"/>
      <c r="V25" s="76"/>
      <c r="W25" s="76"/>
      <c r="X25" s="76"/>
      <c r="Y25" s="76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</row>
    <row r="26" spans="1:37" s="63" customFormat="1" ht="15" customHeight="1" x14ac:dyDescent="0.35">
      <c r="A26" s="95" t="s">
        <v>23</v>
      </c>
      <c r="B26" s="103">
        <f ca="1">'FIRE0508b raw'!B26</f>
        <v>9</v>
      </c>
      <c r="C26" s="103">
        <f ca="1">'FIRE0508b raw'!C26</f>
        <v>6</v>
      </c>
      <c r="D26" s="103"/>
      <c r="E26" s="103">
        <f ca="1">'FIRE0508b raw'!E26</f>
        <v>0</v>
      </c>
      <c r="F26" s="103">
        <f ca="1">'FIRE0508b raw'!F26</f>
        <v>0</v>
      </c>
      <c r="G26" s="103"/>
      <c r="H26" s="103">
        <f ca="1">'FIRE0508b raw'!H26</f>
        <v>1</v>
      </c>
      <c r="I26" s="103">
        <f ca="1">'FIRE0508b raw'!I26</f>
        <v>0</v>
      </c>
      <c r="J26" s="103"/>
      <c r="K26" s="103">
        <f ca="1">'FIRE0508b raw'!K26</f>
        <v>0</v>
      </c>
      <c r="L26" s="103">
        <f ca="1">'FIRE0508b raw'!L26</f>
        <v>0</v>
      </c>
      <c r="M26" s="62"/>
      <c r="O26" s="74"/>
      <c r="P26" s="74"/>
      <c r="R26" s="74"/>
      <c r="S26" s="74"/>
      <c r="U26" s="76"/>
      <c r="V26" s="76"/>
      <c r="W26" s="76"/>
      <c r="X26" s="76"/>
      <c r="Y26" s="76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</row>
    <row r="27" spans="1:37" s="63" customFormat="1" ht="15" customHeight="1" x14ac:dyDescent="0.35">
      <c r="A27" s="95" t="s">
        <v>24</v>
      </c>
      <c r="B27" s="103">
        <f ca="1">'FIRE0508b raw'!B27</f>
        <v>24</v>
      </c>
      <c r="C27" s="103">
        <f ca="1">'FIRE0508b raw'!C27</f>
        <v>8</v>
      </c>
      <c r="D27" s="103"/>
      <c r="E27" s="103">
        <f ca="1">'FIRE0508b raw'!E27</f>
        <v>6</v>
      </c>
      <c r="F27" s="103">
        <f ca="1">'FIRE0508b raw'!F27</f>
        <v>1</v>
      </c>
      <c r="G27" s="103"/>
      <c r="H27" s="103">
        <f ca="1">'FIRE0508b raw'!H27</f>
        <v>0</v>
      </c>
      <c r="I27" s="103">
        <f ca="1">'FIRE0508b raw'!I27</f>
        <v>0</v>
      </c>
      <c r="J27" s="103"/>
      <c r="K27" s="103">
        <f ca="1">'FIRE0508b raw'!K27</f>
        <v>0</v>
      </c>
      <c r="L27" s="103">
        <f ca="1">'FIRE0508b raw'!L27</f>
        <v>0</v>
      </c>
      <c r="M27" s="62"/>
      <c r="O27" s="74"/>
      <c r="P27" s="74"/>
      <c r="R27" s="74"/>
      <c r="S27" s="74"/>
      <c r="U27" s="76"/>
      <c r="V27" s="76"/>
      <c r="W27" s="76"/>
      <c r="X27" s="76"/>
      <c r="Y27" s="76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</row>
    <row r="28" spans="1:37" s="63" customFormat="1" ht="15" customHeight="1" x14ac:dyDescent="0.35">
      <c r="A28" s="95" t="s">
        <v>25</v>
      </c>
      <c r="B28" s="103">
        <f ca="1">'FIRE0508b raw'!B28</f>
        <v>10</v>
      </c>
      <c r="C28" s="103">
        <f ca="1">'FIRE0508b raw'!C28</f>
        <v>2</v>
      </c>
      <c r="D28" s="103"/>
      <c r="E28" s="103">
        <f ca="1">'FIRE0508b raw'!E28</f>
        <v>2</v>
      </c>
      <c r="F28" s="103">
        <f ca="1">'FIRE0508b raw'!F28</f>
        <v>0</v>
      </c>
      <c r="G28" s="103"/>
      <c r="H28" s="103">
        <f ca="1">'FIRE0508b raw'!H28</f>
        <v>0</v>
      </c>
      <c r="I28" s="103">
        <f ca="1">'FIRE0508b raw'!I28</f>
        <v>0</v>
      </c>
      <c r="J28" s="103"/>
      <c r="K28" s="103">
        <f ca="1">'FIRE0508b raw'!K28</f>
        <v>0</v>
      </c>
      <c r="L28" s="103">
        <f ca="1">'FIRE0508b raw'!L28</f>
        <v>0</v>
      </c>
      <c r="M28" s="62"/>
      <c r="O28" s="74"/>
      <c r="P28" s="74"/>
      <c r="R28" s="74"/>
      <c r="S28" s="74"/>
      <c r="U28" s="76"/>
      <c r="V28" s="76"/>
      <c r="W28" s="76"/>
      <c r="X28" s="76"/>
      <c r="Y28" s="76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</row>
    <row r="29" spans="1:37" s="63" customFormat="1" ht="15" customHeight="1" x14ac:dyDescent="0.35">
      <c r="A29" s="95" t="s">
        <v>26</v>
      </c>
      <c r="B29" s="103">
        <f ca="1">'FIRE0508b raw'!B29</f>
        <v>26</v>
      </c>
      <c r="C29" s="103">
        <f ca="1">'FIRE0508b raw'!C29</f>
        <v>9</v>
      </c>
      <c r="D29" s="103"/>
      <c r="E29" s="103">
        <f ca="1">'FIRE0508b raw'!E29</f>
        <v>1</v>
      </c>
      <c r="F29" s="103">
        <f ca="1">'FIRE0508b raw'!F29</f>
        <v>3</v>
      </c>
      <c r="G29" s="103"/>
      <c r="H29" s="103">
        <f ca="1">'FIRE0508b raw'!H29</f>
        <v>1</v>
      </c>
      <c r="I29" s="103">
        <f ca="1">'FIRE0508b raw'!I29</f>
        <v>0</v>
      </c>
      <c r="J29" s="103"/>
      <c r="K29" s="103">
        <f ca="1">'FIRE0508b raw'!K29</f>
        <v>0</v>
      </c>
      <c r="L29" s="103">
        <f ca="1">'FIRE0508b raw'!L29</f>
        <v>0</v>
      </c>
      <c r="M29" s="62"/>
      <c r="O29" s="74"/>
      <c r="P29" s="74"/>
      <c r="R29" s="74"/>
      <c r="S29" s="74"/>
      <c r="U29" s="76"/>
      <c r="V29" s="76"/>
      <c r="W29" s="76"/>
      <c r="X29" s="76"/>
      <c r="Y29" s="76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</row>
    <row r="30" spans="1:37" s="63" customFormat="1" ht="15" customHeight="1" x14ac:dyDescent="0.35">
      <c r="A30" s="95" t="s">
        <v>27</v>
      </c>
      <c r="B30" s="103">
        <f ca="1">'FIRE0508b raw'!B30</f>
        <v>12</v>
      </c>
      <c r="C30" s="103">
        <f ca="1">'FIRE0508b raw'!C30</f>
        <v>6</v>
      </c>
      <c r="D30" s="103"/>
      <c r="E30" s="103">
        <f ca="1">'FIRE0508b raw'!E30</f>
        <v>1</v>
      </c>
      <c r="F30" s="103">
        <f ca="1">'FIRE0508b raw'!F30</f>
        <v>3</v>
      </c>
      <c r="G30" s="103"/>
      <c r="H30" s="103">
        <f ca="1">'FIRE0508b raw'!H30</f>
        <v>0</v>
      </c>
      <c r="I30" s="103">
        <f ca="1">'FIRE0508b raw'!I30</f>
        <v>1</v>
      </c>
      <c r="J30" s="103"/>
      <c r="K30" s="103">
        <f ca="1">'FIRE0508b raw'!K30</f>
        <v>0</v>
      </c>
      <c r="L30" s="103">
        <f ca="1">'FIRE0508b raw'!L30</f>
        <v>0</v>
      </c>
      <c r="M30" s="62"/>
      <c r="O30" s="74"/>
      <c r="P30" s="74"/>
      <c r="R30" s="74"/>
      <c r="S30" s="74"/>
      <c r="U30" s="76"/>
      <c r="V30" s="76"/>
      <c r="W30" s="76"/>
      <c r="X30" s="76"/>
      <c r="Y30" s="76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</row>
    <row r="31" spans="1:37" s="63" customFormat="1" ht="15" customHeight="1" x14ac:dyDescent="0.35">
      <c r="A31" s="105" t="s">
        <v>28</v>
      </c>
      <c r="B31" s="103">
        <f ca="1">'FIRE0508b raw'!B31</f>
        <v>0</v>
      </c>
      <c r="C31" s="103">
        <f ca="1">'FIRE0508b raw'!C31</f>
        <v>0</v>
      </c>
      <c r="D31" s="103"/>
      <c r="E31" s="103">
        <f ca="1">'FIRE0508b raw'!E31</f>
        <v>0</v>
      </c>
      <c r="F31" s="103">
        <f ca="1">'FIRE0508b raw'!F31</f>
        <v>0</v>
      </c>
      <c r="G31" s="103"/>
      <c r="H31" s="103">
        <f ca="1">'FIRE0508b raw'!H31</f>
        <v>0</v>
      </c>
      <c r="I31" s="103">
        <f ca="1">'FIRE0508b raw'!I31</f>
        <v>0</v>
      </c>
      <c r="J31" s="103"/>
      <c r="K31" s="103">
        <f ca="1">'FIRE0508b raw'!K31</f>
        <v>0</v>
      </c>
      <c r="L31" s="103">
        <f ca="1">'FIRE0508b raw'!L31</f>
        <v>0</v>
      </c>
      <c r="M31" s="62"/>
      <c r="O31" s="74"/>
      <c r="P31" s="74"/>
      <c r="R31" s="74"/>
      <c r="S31" s="74"/>
      <c r="U31" s="76"/>
      <c r="V31" s="76"/>
      <c r="W31" s="76"/>
      <c r="X31" s="76"/>
      <c r="Y31" s="76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</row>
    <row r="32" spans="1:37" s="63" customFormat="1" ht="15" customHeight="1" x14ac:dyDescent="0.35">
      <c r="A32" s="105" t="s">
        <v>29</v>
      </c>
      <c r="B32" s="103">
        <f ca="1">'FIRE0508b raw'!B32</f>
        <v>23</v>
      </c>
      <c r="C32" s="103">
        <f ca="1">'FIRE0508b raw'!C32</f>
        <v>26</v>
      </c>
      <c r="D32" s="103"/>
      <c r="E32" s="103">
        <f ca="1">'FIRE0508b raw'!E32</f>
        <v>2</v>
      </c>
      <c r="F32" s="103">
        <f ca="1">'FIRE0508b raw'!F32</f>
        <v>1</v>
      </c>
      <c r="G32" s="103"/>
      <c r="H32" s="103">
        <f ca="1">'FIRE0508b raw'!H32</f>
        <v>0</v>
      </c>
      <c r="I32" s="103">
        <f ca="1">'FIRE0508b raw'!I32</f>
        <v>0</v>
      </c>
      <c r="J32" s="103"/>
      <c r="K32" s="103">
        <f ca="1">'FIRE0508b raw'!K32</f>
        <v>0</v>
      </c>
      <c r="L32" s="103">
        <f ca="1">'FIRE0508b raw'!L32</f>
        <v>0</v>
      </c>
      <c r="M32" s="62"/>
      <c r="O32" s="74"/>
      <c r="P32" s="74"/>
      <c r="R32" s="74"/>
      <c r="S32" s="74"/>
      <c r="U32" s="76"/>
      <c r="V32" s="76"/>
      <c r="W32" s="76"/>
      <c r="X32" s="76"/>
      <c r="Y32" s="76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</row>
    <row r="33" spans="1:37" s="63" customFormat="1" ht="15" customHeight="1" x14ac:dyDescent="0.35">
      <c r="A33" s="95" t="s">
        <v>30</v>
      </c>
      <c r="B33" s="103">
        <f ca="1">'FIRE0508b raw'!B33</f>
        <v>16</v>
      </c>
      <c r="C33" s="103">
        <f ca="1">'FIRE0508b raw'!C33</f>
        <v>3</v>
      </c>
      <c r="D33" s="103"/>
      <c r="E33" s="103">
        <f ca="1">'FIRE0508b raw'!E33</f>
        <v>2</v>
      </c>
      <c r="F33" s="103">
        <f ca="1">'FIRE0508b raw'!F33</f>
        <v>0</v>
      </c>
      <c r="G33" s="103"/>
      <c r="H33" s="103">
        <f ca="1">'FIRE0508b raw'!H33</f>
        <v>0</v>
      </c>
      <c r="I33" s="103">
        <f ca="1">'FIRE0508b raw'!I33</f>
        <v>0</v>
      </c>
      <c r="J33" s="103"/>
      <c r="K33" s="103">
        <f ca="1">'FIRE0508b raw'!K33</f>
        <v>0</v>
      </c>
      <c r="L33" s="103">
        <f ca="1">'FIRE0508b raw'!L33</f>
        <v>0</v>
      </c>
      <c r="M33" s="62"/>
      <c r="O33" s="74"/>
      <c r="P33" s="74"/>
      <c r="R33" s="74"/>
      <c r="S33" s="74"/>
      <c r="U33" s="76"/>
      <c r="V33" s="76"/>
      <c r="W33" s="76"/>
      <c r="X33" s="76"/>
      <c r="Y33" s="76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</row>
    <row r="34" spans="1:37" s="63" customFormat="1" ht="15" customHeight="1" x14ac:dyDescent="0.35">
      <c r="A34" s="105" t="s">
        <v>31</v>
      </c>
      <c r="B34" s="103">
        <f ca="1">'FIRE0508b raw'!B34</f>
        <v>9</v>
      </c>
      <c r="C34" s="103">
        <f ca="1">'FIRE0508b raw'!C34</f>
        <v>5</v>
      </c>
      <c r="D34" s="103"/>
      <c r="E34" s="103">
        <f ca="1">'FIRE0508b raw'!E34</f>
        <v>0</v>
      </c>
      <c r="F34" s="103">
        <f ca="1">'FIRE0508b raw'!F34</f>
        <v>1</v>
      </c>
      <c r="G34" s="103"/>
      <c r="H34" s="103">
        <f ca="1">'FIRE0508b raw'!H34</f>
        <v>0</v>
      </c>
      <c r="I34" s="103">
        <f ca="1">'FIRE0508b raw'!I34</f>
        <v>1</v>
      </c>
      <c r="J34" s="103"/>
      <c r="K34" s="103">
        <f ca="1">'FIRE0508b raw'!K34</f>
        <v>0</v>
      </c>
      <c r="L34" s="103">
        <f ca="1">'FIRE0508b raw'!L34</f>
        <v>0</v>
      </c>
      <c r="M34" s="62"/>
      <c r="O34" s="74"/>
      <c r="P34" s="74"/>
      <c r="R34" s="74"/>
      <c r="S34" s="74"/>
      <c r="U34" s="76"/>
      <c r="V34" s="76"/>
      <c r="W34" s="76"/>
      <c r="X34" s="76"/>
      <c r="Y34" s="76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</row>
    <row r="35" spans="1:37" s="63" customFormat="1" ht="15" customHeight="1" x14ac:dyDescent="0.35">
      <c r="A35" s="105" t="s">
        <v>32</v>
      </c>
      <c r="B35" s="103">
        <f ca="1">'FIRE0508b raw'!B35</f>
        <v>10</v>
      </c>
      <c r="C35" s="103">
        <f ca="1">'FIRE0508b raw'!C35</f>
        <v>6</v>
      </c>
      <c r="D35" s="103"/>
      <c r="E35" s="103">
        <f ca="1">'FIRE0508b raw'!E35</f>
        <v>4</v>
      </c>
      <c r="F35" s="103">
        <f ca="1">'FIRE0508b raw'!F35</f>
        <v>2</v>
      </c>
      <c r="G35" s="103"/>
      <c r="H35" s="103">
        <f ca="1">'FIRE0508b raw'!H35</f>
        <v>1</v>
      </c>
      <c r="I35" s="103">
        <f ca="1">'FIRE0508b raw'!I35</f>
        <v>0</v>
      </c>
      <c r="J35" s="103"/>
      <c r="K35" s="103">
        <f ca="1">'FIRE0508b raw'!K35</f>
        <v>0</v>
      </c>
      <c r="L35" s="103">
        <f ca="1">'FIRE0508b raw'!L35</f>
        <v>0</v>
      </c>
      <c r="M35" s="62"/>
      <c r="O35" s="74"/>
      <c r="P35" s="74"/>
      <c r="R35" s="74"/>
      <c r="S35" s="74"/>
      <c r="U35" s="76"/>
      <c r="V35" s="76"/>
      <c r="W35" s="76"/>
      <c r="X35" s="76"/>
      <c r="Y35" s="76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</row>
    <row r="36" spans="1:37" s="63" customFormat="1" ht="15" customHeight="1" x14ac:dyDescent="0.35">
      <c r="A36" s="95" t="s">
        <v>33</v>
      </c>
      <c r="B36" s="103">
        <f ca="1">'FIRE0508b raw'!B36</f>
        <v>17</v>
      </c>
      <c r="C36" s="103">
        <f ca="1">'FIRE0508b raw'!C36</f>
        <v>13</v>
      </c>
      <c r="D36" s="103"/>
      <c r="E36" s="103">
        <f ca="1">'FIRE0508b raw'!E36</f>
        <v>4</v>
      </c>
      <c r="F36" s="103">
        <f ca="1">'FIRE0508b raw'!F36</f>
        <v>4</v>
      </c>
      <c r="G36" s="103"/>
      <c r="H36" s="103">
        <f ca="1">'FIRE0508b raw'!H36</f>
        <v>0</v>
      </c>
      <c r="I36" s="103">
        <f ca="1">'FIRE0508b raw'!I36</f>
        <v>0</v>
      </c>
      <c r="J36" s="103"/>
      <c r="K36" s="103">
        <f ca="1">'FIRE0508b raw'!K36</f>
        <v>0</v>
      </c>
      <c r="L36" s="103">
        <f ca="1">'FIRE0508b raw'!L36</f>
        <v>0</v>
      </c>
      <c r="M36" s="62"/>
      <c r="O36" s="74"/>
      <c r="P36" s="74"/>
      <c r="R36" s="74"/>
      <c r="S36" s="74"/>
      <c r="U36" s="76"/>
      <c r="V36" s="76"/>
      <c r="W36" s="76"/>
      <c r="X36" s="76"/>
      <c r="Y36" s="76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</row>
    <row r="37" spans="1:37" s="63" customFormat="1" ht="15" customHeight="1" x14ac:dyDescent="0.35">
      <c r="A37" s="105" t="s">
        <v>34</v>
      </c>
      <c r="B37" s="103">
        <f ca="1">'FIRE0508b raw'!B37</f>
        <v>13</v>
      </c>
      <c r="C37" s="103">
        <f ca="1">'FIRE0508b raw'!C37</f>
        <v>6</v>
      </c>
      <c r="D37" s="103"/>
      <c r="E37" s="103">
        <f ca="1">'FIRE0508b raw'!E37</f>
        <v>1</v>
      </c>
      <c r="F37" s="103">
        <f ca="1">'FIRE0508b raw'!F37</f>
        <v>0</v>
      </c>
      <c r="G37" s="103"/>
      <c r="H37" s="103">
        <f ca="1">'FIRE0508b raw'!H37</f>
        <v>1</v>
      </c>
      <c r="I37" s="103">
        <f ca="1">'FIRE0508b raw'!I37</f>
        <v>0</v>
      </c>
      <c r="J37" s="103"/>
      <c r="K37" s="103">
        <f ca="1">'FIRE0508b raw'!K37</f>
        <v>0</v>
      </c>
      <c r="L37" s="103">
        <f ca="1">'FIRE0508b raw'!L37</f>
        <v>0</v>
      </c>
      <c r="M37" s="62"/>
      <c r="O37" s="74"/>
      <c r="P37" s="74"/>
      <c r="R37" s="74"/>
      <c r="S37" s="74"/>
      <c r="U37" s="76"/>
      <c r="V37" s="76"/>
      <c r="W37" s="76"/>
      <c r="X37" s="76"/>
      <c r="Y37" s="76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</row>
    <row r="38" spans="1:37" s="63" customFormat="1" ht="15" customHeight="1" x14ac:dyDescent="0.35">
      <c r="A38" s="105" t="s">
        <v>35</v>
      </c>
      <c r="B38" s="103">
        <f ca="1">'FIRE0508b raw'!B38</f>
        <v>13</v>
      </c>
      <c r="C38" s="103">
        <f ca="1">'FIRE0508b raw'!C38</f>
        <v>4</v>
      </c>
      <c r="D38" s="103"/>
      <c r="E38" s="103">
        <f ca="1">'FIRE0508b raw'!E38</f>
        <v>3</v>
      </c>
      <c r="F38" s="103">
        <f ca="1">'FIRE0508b raw'!F38</f>
        <v>1</v>
      </c>
      <c r="G38" s="103"/>
      <c r="H38" s="103">
        <f ca="1">'FIRE0508b raw'!H38</f>
        <v>0</v>
      </c>
      <c r="I38" s="103">
        <f ca="1">'FIRE0508b raw'!I38</f>
        <v>1</v>
      </c>
      <c r="J38" s="103"/>
      <c r="K38" s="103">
        <f ca="1">'FIRE0508b raw'!K38</f>
        <v>0</v>
      </c>
      <c r="L38" s="103">
        <f ca="1">'FIRE0508b raw'!L38</f>
        <v>0</v>
      </c>
      <c r="M38" s="62"/>
      <c r="O38" s="74"/>
      <c r="P38" s="74"/>
      <c r="R38" s="74"/>
      <c r="S38" s="74"/>
      <c r="U38" s="76"/>
      <c r="V38" s="76"/>
      <c r="W38" s="76"/>
      <c r="X38" s="76"/>
      <c r="Y38" s="76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</row>
    <row r="39" spans="1:37" s="63" customFormat="1" ht="15" customHeight="1" x14ac:dyDescent="0.35">
      <c r="A39" s="105" t="s">
        <v>36</v>
      </c>
      <c r="B39" s="103">
        <f ca="1">'FIRE0508b raw'!B39</f>
        <v>2</v>
      </c>
      <c r="C39" s="103">
        <f ca="1">'FIRE0508b raw'!C39</f>
        <v>2</v>
      </c>
      <c r="D39" s="103"/>
      <c r="E39" s="103">
        <f ca="1">'FIRE0508b raw'!E39</f>
        <v>0</v>
      </c>
      <c r="F39" s="103">
        <f ca="1">'FIRE0508b raw'!F39</f>
        <v>0</v>
      </c>
      <c r="G39" s="103"/>
      <c r="H39" s="103">
        <f ca="1">'FIRE0508b raw'!H39</f>
        <v>0</v>
      </c>
      <c r="I39" s="103">
        <f ca="1">'FIRE0508b raw'!I39</f>
        <v>0</v>
      </c>
      <c r="J39" s="103"/>
      <c r="K39" s="103">
        <f ca="1">'FIRE0508b raw'!K39</f>
        <v>0</v>
      </c>
      <c r="L39" s="103">
        <f ca="1">'FIRE0508b raw'!L39</f>
        <v>0</v>
      </c>
      <c r="M39" s="62"/>
      <c r="O39" s="74"/>
      <c r="P39" s="74"/>
      <c r="R39" s="74"/>
      <c r="S39" s="74"/>
      <c r="U39" s="76"/>
      <c r="V39" s="76"/>
      <c r="W39" s="76"/>
      <c r="X39" s="76"/>
      <c r="Y39" s="76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</row>
    <row r="40" spans="1:37" s="63" customFormat="1" ht="15" customHeight="1" x14ac:dyDescent="0.35">
      <c r="A40" s="95" t="s">
        <v>37</v>
      </c>
      <c r="B40" s="103">
        <f ca="1">'FIRE0508b raw'!B40</f>
        <v>7</v>
      </c>
      <c r="C40" s="103">
        <f ca="1">'FIRE0508b raw'!C40</f>
        <v>10</v>
      </c>
      <c r="D40" s="103"/>
      <c r="E40" s="103">
        <f ca="1">'FIRE0508b raw'!E40</f>
        <v>0</v>
      </c>
      <c r="F40" s="103">
        <f ca="1">'FIRE0508b raw'!F40</f>
        <v>4</v>
      </c>
      <c r="G40" s="103"/>
      <c r="H40" s="103">
        <f ca="1">'FIRE0508b raw'!H40</f>
        <v>0</v>
      </c>
      <c r="I40" s="103">
        <f ca="1">'FIRE0508b raw'!I40</f>
        <v>1</v>
      </c>
      <c r="J40" s="103"/>
      <c r="K40" s="103">
        <f ca="1">'FIRE0508b raw'!K40</f>
        <v>0</v>
      </c>
      <c r="L40" s="103">
        <f ca="1">'FIRE0508b raw'!L40</f>
        <v>0</v>
      </c>
      <c r="M40" s="62"/>
      <c r="O40" s="74"/>
      <c r="P40" s="74"/>
      <c r="R40" s="74"/>
      <c r="S40" s="74"/>
      <c r="U40" s="76"/>
      <c r="V40" s="76"/>
      <c r="W40" s="76"/>
      <c r="X40" s="76"/>
      <c r="Y40" s="76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</row>
    <row r="41" spans="1:37" s="63" customFormat="1" ht="15" customHeight="1" x14ac:dyDescent="0.35">
      <c r="A41" s="95" t="s">
        <v>38</v>
      </c>
      <c r="B41" s="103">
        <f ca="1">'FIRE0508b raw'!B41</f>
        <v>7</v>
      </c>
      <c r="C41" s="103">
        <f ca="1">'FIRE0508b raw'!C41</f>
        <v>7</v>
      </c>
      <c r="D41" s="103"/>
      <c r="E41" s="103">
        <f ca="1">'FIRE0508b raw'!E41</f>
        <v>0</v>
      </c>
      <c r="F41" s="103">
        <f ca="1">'FIRE0508b raw'!F41</f>
        <v>0</v>
      </c>
      <c r="G41" s="103"/>
      <c r="H41" s="103">
        <f ca="1">'FIRE0508b raw'!H41</f>
        <v>0</v>
      </c>
      <c r="I41" s="103">
        <f ca="1">'FIRE0508b raw'!I41</f>
        <v>0</v>
      </c>
      <c r="J41" s="103"/>
      <c r="K41" s="103">
        <f ca="1">'FIRE0508b raw'!K41</f>
        <v>0</v>
      </c>
      <c r="L41" s="103">
        <f ca="1">'FIRE0508b raw'!L41</f>
        <v>0</v>
      </c>
      <c r="M41" s="62"/>
      <c r="O41" s="74"/>
      <c r="P41" s="74"/>
      <c r="R41" s="74"/>
      <c r="S41" s="74"/>
      <c r="U41" s="76"/>
      <c r="V41" s="76"/>
      <c r="W41" s="76"/>
      <c r="X41" s="76"/>
      <c r="Y41" s="76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</row>
    <row r="42" spans="1:37" s="63" customFormat="1" ht="15" customHeight="1" x14ac:dyDescent="0.35">
      <c r="A42" s="95" t="s">
        <v>39</v>
      </c>
      <c r="B42" s="103">
        <f ca="1">'FIRE0508b raw'!B42</f>
        <v>6</v>
      </c>
      <c r="C42" s="103">
        <f ca="1">'FIRE0508b raw'!C42</f>
        <v>3</v>
      </c>
      <c r="D42" s="103"/>
      <c r="E42" s="103">
        <f ca="1">'FIRE0508b raw'!E42</f>
        <v>0</v>
      </c>
      <c r="F42" s="103">
        <f ca="1">'FIRE0508b raw'!F42</f>
        <v>0</v>
      </c>
      <c r="G42" s="103"/>
      <c r="H42" s="103">
        <f ca="1">'FIRE0508b raw'!H42</f>
        <v>1</v>
      </c>
      <c r="I42" s="103">
        <f ca="1">'FIRE0508b raw'!I42</f>
        <v>0</v>
      </c>
      <c r="J42" s="103"/>
      <c r="K42" s="103">
        <f ca="1">'FIRE0508b raw'!K42</f>
        <v>0</v>
      </c>
      <c r="L42" s="103">
        <f ca="1">'FIRE0508b raw'!L42</f>
        <v>0</v>
      </c>
      <c r="M42" s="62"/>
      <c r="O42" s="74"/>
      <c r="P42" s="74"/>
      <c r="R42" s="74"/>
      <c r="S42" s="74"/>
      <c r="U42" s="76"/>
      <c r="V42" s="76"/>
      <c r="W42" s="76"/>
      <c r="X42" s="76"/>
      <c r="Y42" s="76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</row>
    <row r="43" spans="1:37" s="63" customFormat="1" ht="15" customHeight="1" x14ac:dyDescent="0.35">
      <c r="A43" s="95" t="s">
        <v>40</v>
      </c>
      <c r="B43" s="103">
        <f ca="1">'FIRE0508b raw'!B43</f>
        <v>18</v>
      </c>
      <c r="C43" s="103">
        <f ca="1">'FIRE0508b raw'!C43</f>
        <v>6</v>
      </c>
      <c r="D43" s="103"/>
      <c r="E43" s="103">
        <f ca="1">'FIRE0508b raw'!E43</f>
        <v>2</v>
      </c>
      <c r="F43" s="103">
        <f ca="1">'FIRE0508b raw'!F43</f>
        <v>0</v>
      </c>
      <c r="G43" s="103"/>
      <c r="H43" s="103">
        <f ca="1">'FIRE0508b raw'!H43</f>
        <v>0</v>
      </c>
      <c r="I43" s="103">
        <f ca="1">'FIRE0508b raw'!I43</f>
        <v>0</v>
      </c>
      <c r="J43" s="103"/>
      <c r="K43" s="103">
        <f ca="1">'FIRE0508b raw'!K43</f>
        <v>0</v>
      </c>
      <c r="L43" s="103">
        <f ca="1">'FIRE0508b raw'!L43</f>
        <v>0</v>
      </c>
      <c r="M43" s="62"/>
      <c r="O43" s="74"/>
      <c r="P43" s="74"/>
      <c r="R43" s="74"/>
      <c r="S43" s="74"/>
      <c r="U43" s="76"/>
      <c r="V43" s="76"/>
      <c r="W43" s="76"/>
      <c r="X43" s="76"/>
      <c r="Y43" s="76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</row>
    <row r="44" spans="1:37" s="63" customFormat="1" ht="15" customHeight="1" x14ac:dyDescent="0.35">
      <c r="A44" s="95" t="s">
        <v>41</v>
      </c>
      <c r="B44" s="103">
        <f ca="1">'FIRE0508b raw'!B44</f>
        <v>7</v>
      </c>
      <c r="C44" s="103">
        <f ca="1">'FIRE0508b raw'!C44</f>
        <v>5</v>
      </c>
      <c r="D44" s="103"/>
      <c r="E44" s="103">
        <f ca="1">'FIRE0508b raw'!E44</f>
        <v>0</v>
      </c>
      <c r="F44" s="103">
        <f ca="1">'FIRE0508b raw'!F44</f>
        <v>0</v>
      </c>
      <c r="G44" s="103"/>
      <c r="H44" s="103">
        <f ca="1">'FIRE0508b raw'!H44</f>
        <v>0</v>
      </c>
      <c r="I44" s="103">
        <f ca="1">'FIRE0508b raw'!I44</f>
        <v>0</v>
      </c>
      <c r="J44" s="103"/>
      <c r="K44" s="103">
        <f ca="1">'FIRE0508b raw'!K44</f>
        <v>0</v>
      </c>
      <c r="L44" s="103">
        <f ca="1">'FIRE0508b raw'!L44</f>
        <v>0</v>
      </c>
      <c r="M44" s="62"/>
      <c r="O44" s="74"/>
      <c r="P44" s="74"/>
      <c r="R44" s="74"/>
      <c r="S44" s="74"/>
      <c r="U44" s="76"/>
      <c r="V44" s="76"/>
      <c r="W44" s="76"/>
      <c r="X44" s="76"/>
      <c r="Y44" s="76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</row>
    <row r="45" spans="1:37" s="63" customFormat="1" ht="15" customHeight="1" x14ac:dyDescent="0.35">
      <c r="A45" s="95" t="s">
        <v>42</v>
      </c>
      <c r="B45" s="103">
        <f ca="1">'FIRE0508b raw'!B45</f>
        <v>12</v>
      </c>
      <c r="C45" s="103">
        <f ca="1">'FIRE0508b raw'!C45</f>
        <v>4</v>
      </c>
      <c r="D45" s="103"/>
      <c r="E45" s="103">
        <f ca="1">'FIRE0508b raw'!E45</f>
        <v>4</v>
      </c>
      <c r="F45" s="103">
        <f ca="1">'FIRE0508b raw'!F45</f>
        <v>3</v>
      </c>
      <c r="G45" s="103"/>
      <c r="H45" s="103">
        <f ca="1">'FIRE0508b raw'!H45</f>
        <v>0</v>
      </c>
      <c r="I45" s="103">
        <f ca="1">'FIRE0508b raw'!I45</f>
        <v>0</v>
      </c>
      <c r="J45" s="103"/>
      <c r="K45" s="103">
        <f ca="1">'FIRE0508b raw'!K45</f>
        <v>0</v>
      </c>
      <c r="L45" s="103">
        <f ca="1">'FIRE0508b raw'!L45</f>
        <v>0</v>
      </c>
      <c r="M45" s="62"/>
      <c r="O45" s="74"/>
      <c r="P45" s="74"/>
      <c r="R45" s="74"/>
      <c r="S45" s="74"/>
      <c r="U45" s="76"/>
      <c r="V45" s="76"/>
      <c r="W45" s="76"/>
      <c r="X45" s="76"/>
      <c r="Y45" s="76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</row>
    <row r="46" spans="1:37" s="63" customFormat="1" ht="15" customHeight="1" x14ac:dyDescent="0.35">
      <c r="A46" s="95" t="s">
        <v>43</v>
      </c>
      <c r="B46" s="103">
        <f ca="1">'FIRE0508b raw'!B46</f>
        <v>7</v>
      </c>
      <c r="C46" s="103">
        <f ca="1">'FIRE0508b raw'!C46</f>
        <v>4</v>
      </c>
      <c r="D46" s="103"/>
      <c r="E46" s="103">
        <f ca="1">'FIRE0508b raw'!E46</f>
        <v>1</v>
      </c>
      <c r="F46" s="103">
        <f ca="1">'FIRE0508b raw'!F46</f>
        <v>0</v>
      </c>
      <c r="G46" s="103"/>
      <c r="H46" s="103">
        <f ca="1">'FIRE0508b raw'!H46</f>
        <v>0</v>
      </c>
      <c r="I46" s="103">
        <f ca="1">'FIRE0508b raw'!I46</f>
        <v>0</v>
      </c>
      <c r="J46" s="103"/>
      <c r="K46" s="103">
        <f ca="1">'FIRE0508b raw'!K46</f>
        <v>0</v>
      </c>
      <c r="L46" s="103">
        <f ca="1">'FIRE0508b raw'!L46</f>
        <v>0</v>
      </c>
      <c r="M46" s="62"/>
      <c r="O46" s="74"/>
      <c r="P46" s="74"/>
      <c r="R46" s="74"/>
      <c r="S46" s="74"/>
      <c r="U46" s="76"/>
      <c r="V46" s="76"/>
      <c r="W46" s="76"/>
      <c r="X46" s="76"/>
      <c r="Y46" s="76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</row>
    <row r="47" spans="1:37" s="63" customFormat="1" ht="15" customHeight="1" x14ac:dyDescent="0.35">
      <c r="A47" s="95" t="s">
        <v>44</v>
      </c>
      <c r="B47" s="103">
        <f ca="1">'FIRE0508b raw'!B47</f>
        <v>15</v>
      </c>
      <c r="C47" s="103">
        <f ca="1">'FIRE0508b raw'!C47</f>
        <v>6</v>
      </c>
      <c r="D47" s="103"/>
      <c r="E47" s="103">
        <f ca="1">'FIRE0508b raw'!E47</f>
        <v>3</v>
      </c>
      <c r="F47" s="103">
        <f ca="1">'FIRE0508b raw'!F47</f>
        <v>0</v>
      </c>
      <c r="G47" s="103"/>
      <c r="H47" s="103">
        <f ca="1">'FIRE0508b raw'!H47</f>
        <v>1</v>
      </c>
      <c r="I47" s="103">
        <f ca="1">'FIRE0508b raw'!I47</f>
        <v>0</v>
      </c>
      <c r="J47" s="103"/>
      <c r="K47" s="103">
        <f ca="1">'FIRE0508b raw'!K47</f>
        <v>0</v>
      </c>
      <c r="L47" s="103">
        <f ca="1">'FIRE0508b raw'!L47</f>
        <v>0</v>
      </c>
      <c r="M47" s="62"/>
      <c r="O47" s="74"/>
      <c r="P47" s="74"/>
      <c r="R47" s="74"/>
      <c r="S47" s="74"/>
      <c r="U47" s="76"/>
      <c r="V47" s="76"/>
      <c r="W47" s="76"/>
      <c r="X47" s="76"/>
      <c r="Y47" s="76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</row>
    <row r="48" spans="1:37" s="63" customFormat="1" ht="15" customHeight="1" x14ac:dyDescent="0.35">
      <c r="A48" s="95" t="s">
        <v>46</v>
      </c>
      <c r="B48" s="103">
        <f ca="1">'FIRE0508b raw'!B48</f>
        <v>0</v>
      </c>
      <c r="C48" s="103">
        <f ca="1">'FIRE0508b raw'!C48</f>
        <v>0</v>
      </c>
      <c r="D48" s="103"/>
      <c r="E48" s="103">
        <f ca="1">'FIRE0508b raw'!E48</f>
        <v>0</v>
      </c>
      <c r="F48" s="103">
        <f ca="1">'FIRE0508b raw'!F48</f>
        <v>0</v>
      </c>
      <c r="G48" s="103"/>
      <c r="H48" s="103">
        <f ca="1">'FIRE0508b raw'!H48</f>
        <v>0</v>
      </c>
      <c r="I48" s="103">
        <f ca="1">'FIRE0508b raw'!I48</f>
        <v>0</v>
      </c>
      <c r="J48" s="103"/>
      <c r="K48" s="103">
        <f ca="1">'FIRE0508b raw'!K48</f>
        <v>0</v>
      </c>
      <c r="L48" s="103">
        <f ca="1">'FIRE0508b raw'!L48</f>
        <v>0</v>
      </c>
      <c r="M48" s="62"/>
      <c r="O48" s="74"/>
      <c r="P48" s="74"/>
      <c r="R48" s="74"/>
      <c r="S48" s="74"/>
      <c r="U48" s="76"/>
      <c r="V48" s="76"/>
      <c r="W48" s="76"/>
      <c r="X48" s="76"/>
      <c r="Y48" s="76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</row>
    <row r="49" spans="1:37" s="63" customFormat="1" ht="15" customHeight="1" x14ac:dyDescent="0.35">
      <c r="A49" s="77" t="s">
        <v>69</v>
      </c>
      <c r="B49" s="102">
        <f ca="1">'FIRE0508b raw'!B49</f>
        <v>302</v>
      </c>
      <c r="C49" s="102">
        <f ca="1">'FIRE0508b raw'!C49</f>
        <v>96</v>
      </c>
      <c r="D49" s="102"/>
      <c r="E49" s="102">
        <f ca="1">'FIRE0508b raw'!E49</f>
        <v>56</v>
      </c>
      <c r="F49" s="102">
        <f ca="1">'FIRE0508b raw'!F49</f>
        <v>11</v>
      </c>
      <c r="G49" s="102"/>
      <c r="H49" s="102">
        <f ca="1">'FIRE0508b raw'!H49</f>
        <v>6</v>
      </c>
      <c r="I49" s="102">
        <f ca="1">'FIRE0508b raw'!I49</f>
        <v>1</v>
      </c>
      <c r="J49" s="102"/>
      <c r="K49" s="102">
        <f ca="1">'FIRE0508b raw'!K49</f>
        <v>0</v>
      </c>
      <c r="L49" s="102">
        <f ca="1">'FIRE0508b raw'!L49</f>
        <v>0</v>
      </c>
      <c r="M49" s="62"/>
      <c r="O49" s="74"/>
      <c r="P49" s="74"/>
      <c r="R49" s="74"/>
      <c r="S49" s="74"/>
      <c r="U49" s="76"/>
      <c r="V49" s="76"/>
      <c r="W49" s="76"/>
      <c r="X49" s="76"/>
      <c r="Y49" s="76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</row>
    <row r="50" spans="1:37" s="63" customFormat="1" ht="15" customHeight="1" x14ac:dyDescent="0.35">
      <c r="A50" s="113" t="s">
        <v>48</v>
      </c>
      <c r="B50" s="103">
        <f ca="1">'FIRE0508b raw'!B50</f>
        <v>46</v>
      </c>
      <c r="C50" s="103">
        <f ca="1">'FIRE0508b raw'!C50</f>
        <v>5</v>
      </c>
      <c r="D50" s="103"/>
      <c r="E50" s="103">
        <f ca="1">'FIRE0508b raw'!E50</f>
        <v>9</v>
      </c>
      <c r="F50" s="103">
        <f ca="1">'FIRE0508b raw'!F50</f>
        <v>0</v>
      </c>
      <c r="G50" s="103"/>
      <c r="H50" s="103">
        <f ca="1">'FIRE0508b raw'!H50</f>
        <v>1</v>
      </c>
      <c r="I50" s="103">
        <f ca="1">'FIRE0508b raw'!I50</f>
        <v>0</v>
      </c>
      <c r="J50" s="103"/>
      <c r="K50" s="103">
        <f ca="1">'FIRE0508b raw'!K50</f>
        <v>0</v>
      </c>
      <c r="L50" s="103">
        <f ca="1">'FIRE0508b raw'!L50</f>
        <v>0</v>
      </c>
      <c r="M50" s="62"/>
      <c r="O50" s="74"/>
      <c r="P50" s="74"/>
      <c r="R50" s="74"/>
      <c r="S50" s="74"/>
      <c r="U50" s="76"/>
      <c r="V50" s="76"/>
      <c r="W50" s="76"/>
      <c r="X50" s="76"/>
      <c r="Y50" s="76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</row>
    <row r="51" spans="1:37" s="63" customFormat="1" ht="15" customHeight="1" x14ac:dyDescent="0.35">
      <c r="A51" s="113" t="s">
        <v>49</v>
      </c>
      <c r="B51" s="103">
        <f ca="1">'FIRE0508b raw'!B51</f>
        <v>19</v>
      </c>
      <c r="C51" s="103">
        <f ca="1">'FIRE0508b raw'!C51</f>
        <v>4</v>
      </c>
      <c r="D51" s="103"/>
      <c r="E51" s="103">
        <f ca="1">'FIRE0508b raw'!E51</f>
        <v>4</v>
      </c>
      <c r="F51" s="103">
        <f ca="1">'FIRE0508b raw'!F51</f>
        <v>1</v>
      </c>
      <c r="G51" s="103"/>
      <c r="H51" s="103">
        <f ca="1">'FIRE0508b raw'!H51</f>
        <v>0</v>
      </c>
      <c r="I51" s="103">
        <f ca="1">'FIRE0508b raw'!I51</f>
        <v>0</v>
      </c>
      <c r="J51" s="103"/>
      <c r="K51" s="103">
        <f ca="1">'FIRE0508b raw'!K51</f>
        <v>0</v>
      </c>
      <c r="L51" s="103">
        <f ca="1">'FIRE0508b raw'!L51</f>
        <v>0</v>
      </c>
      <c r="M51" s="62"/>
      <c r="O51" s="74"/>
      <c r="P51" s="74"/>
      <c r="R51" s="74"/>
      <c r="S51" s="74"/>
      <c r="U51" s="76"/>
      <c r="V51" s="76"/>
      <c r="W51" s="76"/>
      <c r="X51" s="76"/>
      <c r="Y51" s="76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</row>
    <row r="52" spans="1:37" s="63" customFormat="1" ht="15" customHeight="1" x14ac:dyDescent="0.35">
      <c r="A52" s="113" t="s">
        <v>50</v>
      </c>
      <c r="B52" s="103">
        <f ca="1">'FIRE0508b raw'!B52</f>
        <v>47</v>
      </c>
      <c r="C52" s="103">
        <f ca="1">'FIRE0508b raw'!C52</f>
        <v>14</v>
      </c>
      <c r="D52" s="103"/>
      <c r="E52" s="103">
        <f ca="1">'FIRE0508b raw'!E52</f>
        <v>5</v>
      </c>
      <c r="F52" s="103">
        <f ca="1">'FIRE0508b raw'!F52</f>
        <v>1</v>
      </c>
      <c r="G52" s="103"/>
      <c r="H52" s="103">
        <f ca="1">'FIRE0508b raw'!H52</f>
        <v>0</v>
      </c>
      <c r="I52" s="103">
        <f ca="1">'FIRE0508b raw'!I52</f>
        <v>0</v>
      </c>
      <c r="J52" s="103"/>
      <c r="K52" s="103">
        <f ca="1">'FIRE0508b raw'!K52</f>
        <v>0</v>
      </c>
      <c r="L52" s="103">
        <f ca="1">'FIRE0508b raw'!L52</f>
        <v>0</v>
      </c>
      <c r="M52" s="62"/>
      <c r="O52" s="74"/>
      <c r="P52" s="74"/>
      <c r="R52" s="74"/>
      <c r="S52" s="74"/>
      <c r="U52" s="76"/>
      <c r="V52" s="76"/>
      <c r="W52" s="76"/>
      <c r="X52" s="76"/>
      <c r="Y52" s="76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</row>
    <row r="53" spans="1:37" s="63" customFormat="1" ht="15" customHeight="1" x14ac:dyDescent="0.35">
      <c r="A53" s="113" t="s">
        <v>51</v>
      </c>
      <c r="B53" s="103">
        <f ca="1">'FIRE0508b raw'!B53</f>
        <v>11</v>
      </c>
      <c r="C53" s="103">
        <f ca="1">'FIRE0508b raw'!C53</f>
        <v>6</v>
      </c>
      <c r="D53" s="103"/>
      <c r="E53" s="103">
        <f ca="1">'FIRE0508b raw'!E53</f>
        <v>3</v>
      </c>
      <c r="F53" s="103">
        <f ca="1">'FIRE0508b raw'!F53</f>
        <v>0</v>
      </c>
      <c r="G53" s="103"/>
      <c r="H53" s="103">
        <f ca="1">'FIRE0508b raw'!H53</f>
        <v>0</v>
      </c>
      <c r="I53" s="103">
        <f ca="1">'FIRE0508b raw'!I53</f>
        <v>0</v>
      </c>
      <c r="J53" s="103"/>
      <c r="K53" s="103">
        <f ca="1">'FIRE0508b raw'!K53</f>
        <v>0</v>
      </c>
      <c r="L53" s="103">
        <f ca="1">'FIRE0508b raw'!L53</f>
        <v>0</v>
      </c>
      <c r="M53" s="62"/>
      <c r="O53" s="74"/>
      <c r="P53" s="74"/>
      <c r="Q53" s="62"/>
      <c r="R53" s="74"/>
      <c r="S53" s="74"/>
      <c r="U53" s="76"/>
      <c r="V53" s="76"/>
      <c r="W53" s="76"/>
      <c r="X53" s="76"/>
      <c r="Y53" s="76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</row>
    <row r="54" spans="1:37" s="63" customFormat="1" ht="15" customHeight="1" x14ac:dyDescent="0.35">
      <c r="A54" s="113" t="s">
        <v>52</v>
      </c>
      <c r="B54" s="103">
        <f ca="1">'FIRE0508b raw'!B54</f>
        <v>34</v>
      </c>
      <c r="C54" s="103">
        <f ca="1">'FIRE0508b raw'!C54</f>
        <v>11</v>
      </c>
      <c r="D54" s="103"/>
      <c r="E54" s="103">
        <f ca="1">'FIRE0508b raw'!E54</f>
        <v>4</v>
      </c>
      <c r="F54" s="103">
        <f ca="1">'FIRE0508b raw'!F54</f>
        <v>1</v>
      </c>
      <c r="G54" s="103"/>
      <c r="H54" s="103">
        <f ca="1">'FIRE0508b raw'!H54</f>
        <v>1</v>
      </c>
      <c r="I54" s="103">
        <f ca="1">'FIRE0508b raw'!I54</f>
        <v>0</v>
      </c>
      <c r="J54" s="103"/>
      <c r="K54" s="103">
        <f ca="1">'FIRE0508b raw'!K54</f>
        <v>0</v>
      </c>
      <c r="L54" s="103">
        <f ca="1">'FIRE0508b raw'!L54</f>
        <v>0</v>
      </c>
      <c r="M54" s="62"/>
      <c r="O54" s="74"/>
      <c r="P54" s="74"/>
      <c r="Q54" s="62"/>
      <c r="R54" s="74"/>
      <c r="S54" s="74"/>
      <c r="U54" s="76"/>
      <c r="V54" s="76"/>
      <c r="W54" s="76"/>
      <c r="X54" s="76"/>
      <c r="Y54" s="76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</row>
    <row r="55" spans="1:37" s="63" customFormat="1" ht="15" customHeight="1" x14ac:dyDescent="0.35">
      <c r="A55" s="113" t="s">
        <v>53</v>
      </c>
      <c r="B55" s="103">
        <f ca="1">'FIRE0508b raw'!B55</f>
        <v>31</v>
      </c>
      <c r="C55" s="103">
        <f ca="1">'FIRE0508b raw'!C55</f>
        <v>3</v>
      </c>
      <c r="D55" s="103"/>
      <c r="E55" s="103">
        <f ca="1">'FIRE0508b raw'!E55</f>
        <v>0</v>
      </c>
      <c r="F55" s="103">
        <f ca="1">'FIRE0508b raw'!F55</f>
        <v>1</v>
      </c>
      <c r="G55" s="103"/>
      <c r="H55" s="103">
        <f ca="1">'FIRE0508b raw'!H55</f>
        <v>1</v>
      </c>
      <c r="I55" s="103">
        <f ca="1">'FIRE0508b raw'!I55</f>
        <v>0</v>
      </c>
      <c r="J55" s="103"/>
      <c r="K55" s="103">
        <f ca="1">'FIRE0508b raw'!K55</f>
        <v>0</v>
      </c>
      <c r="L55" s="103">
        <f ca="1">'FIRE0508b raw'!L55</f>
        <v>0</v>
      </c>
      <c r="M55" s="62"/>
      <c r="O55" s="74"/>
      <c r="P55" s="74"/>
      <c r="Q55" s="62"/>
      <c r="R55" s="74"/>
      <c r="S55" s="74"/>
      <c r="U55" s="76"/>
      <c r="V55" s="76"/>
      <c r="W55" s="76"/>
      <c r="X55" s="76"/>
      <c r="Y55" s="76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</row>
    <row r="56" spans="1:37" ht="17" thickBot="1" x14ac:dyDescent="0.4">
      <c r="A56" s="106" t="s">
        <v>283</v>
      </c>
      <c r="B56" s="107">
        <f ca="1">'FIRE0508b raw'!B56</f>
        <v>114</v>
      </c>
      <c r="C56" s="107">
        <f ca="1">'FIRE0508b raw'!C56</f>
        <v>53</v>
      </c>
      <c r="D56" s="107"/>
      <c r="E56" s="107">
        <f ca="1">'FIRE0508b raw'!E56</f>
        <v>31</v>
      </c>
      <c r="F56" s="107">
        <f ca="1">'FIRE0508b raw'!F56</f>
        <v>7</v>
      </c>
      <c r="G56" s="107"/>
      <c r="H56" s="107">
        <f ca="1">'FIRE0508b raw'!H56</f>
        <v>3</v>
      </c>
      <c r="I56" s="107">
        <f ca="1">'FIRE0508b raw'!I56</f>
        <v>1</v>
      </c>
      <c r="J56" s="107"/>
      <c r="K56" s="107">
        <f ca="1">'FIRE0508b raw'!K56</f>
        <v>0</v>
      </c>
      <c r="L56" s="107">
        <f ca="1">'FIRE0508b raw'!L56</f>
        <v>0</v>
      </c>
      <c r="O56" s="74"/>
      <c r="P56" s="74"/>
      <c r="R56" s="74"/>
      <c r="S56" s="74"/>
      <c r="T56" s="74"/>
      <c r="U56" s="74"/>
      <c r="V56" s="74"/>
      <c r="W56" s="74"/>
      <c r="X56" s="74"/>
      <c r="Y56" s="74"/>
    </row>
    <row r="57" spans="1:37" s="63" customFormat="1" ht="15" customHeight="1" x14ac:dyDescent="0.3">
      <c r="A57" s="321"/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62"/>
      <c r="N57" s="62"/>
      <c r="O57" s="74"/>
      <c r="P57" s="74"/>
      <c r="Q57" s="62"/>
      <c r="R57" s="74"/>
      <c r="S57" s="74"/>
      <c r="T57" s="74"/>
      <c r="U57" s="74"/>
      <c r="V57" s="74"/>
      <c r="W57" s="74"/>
      <c r="X57" s="74"/>
      <c r="Y57" s="74"/>
    </row>
    <row r="58" spans="1:37" s="63" customFormat="1" ht="15" customHeight="1" x14ac:dyDescent="0.35">
      <c r="A58" s="343" t="s">
        <v>81</v>
      </c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62"/>
      <c r="N58" s="62"/>
      <c r="O58" s="74"/>
      <c r="P58" s="74"/>
      <c r="Q58" s="62"/>
      <c r="R58" s="74"/>
      <c r="S58" s="74"/>
      <c r="T58" s="74"/>
      <c r="U58" s="74"/>
      <c r="V58" s="74"/>
      <c r="W58" s="74"/>
      <c r="X58" s="74"/>
      <c r="Y58" s="74"/>
    </row>
    <row r="59" spans="1:37" s="63" customFormat="1" ht="90" customHeight="1" x14ac:dyDescent="0.35">
      <c r="A59" s="344" t="s">
        <v>82</v>
      </c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62"/>
      <c r="N59" s="62"/>
      <c r="O59" s="74"/>
      <c r="P59" s="74"/>
      <c r="Q59" s="62"/>
      <c r="R59" s="74"/>
      <c r="S59" s="74"/>
      <c r="T59" s="74"/>
      <c r="U59" s="74"/>
      <c r="V59" s="74"/>
      <c r="W59" s="74"/>
      <c r="X59" s="74"/>
      <c r="Y59" s="74"/>
    </row>
    <row r="60" spans="1:37" s="63" customFormat="1" ht="14.5" x14ac:dyDescent="0.35">
      <c r="A60" s="341" t="s">
        <v>286</v>
      </c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62"/>
      <c r="N60" s="62"/>
      <c r="O60" s="74"/>
      <c r="P60" s="74"/>
      <c r="Q60" s="62"/>
      <c r="R60" s="74"/>
      <c r="S60" s="74"/>
      <c r="T60" s="74"/>
      <c r="U60" s="74"/>
      <c r="V60" s="74"/>
      <c r="W60" s="74"/>
      <c r="X60" s="74"/>
      <c r="Y60" s="74"/>
    </row>
    <row r="61" spans="1:37" s="63" customFormat="1" ht="14.5" x14ac:dyDescent="0.35">
      <c r="A61" s="341" t="s">
        <v>285</v>
      </c>
      <c r="B61" s="341"/>
      <c r="C61" s="341"/>
      <c r="D61" s="341"/>
      <c r="E61" s="341"/>
      <c r="F61" s="341"/>
      <c r="G61" s="341"/>
      <c r="H61" s="341"/>
      <c r="I61" s="341"/>
      <c r="J61" s="341"/>
      <c r="K61" s="341"/>
      <c r="L61" s="341"/>
      <c r="M61" s="62"/>
      <c r="N61" s="62"/>
      <c r="O61" s="74"/>
      <c r="P61" s="74"/>
      <c r="Q61" s="62"/>
      <c r="R61" s="74"/>
      <c r="S61" s="74"/>
      <c r="T61" s="74"/>
      <c r="U61" s="74"/>
      <c r="V61" s="74"/>
      <c r="W61" s="74"/>
      <c r="X61" s="74"/>
      <c r="Y61" s="74"/>
    </row>
    <row r="62" spans="1:37" s="63" customFormat="1" ht="28.5" customHeight="1" x14ac:dyDescent="0.35">
      <c r="A62" s="341" t="s">
        <v>284</v>
      </c>
      <c r="B62" s="341"/>
      <c r="C62" s="341"/>
      <c r="D62" s="341"/>
      <c r="E62" s="341"/>
      <c r="F62" s="341"/>
      <c r="G62" s="341"/>
      <c r="H62" s="341"/>
      <c r="I62" s="341"/>
      <c r="J62" s="341"/>
      <c r="K62" s="341"/>
      <c r="L62" s="341"/>
      <c r="M62" s="62"/>
      <c r="N62" s="62"/>
      <c r="O62" s="74"/>
      <c r="P62" s="74"/>
      <c r="Q62" s="62"/>
      <c r="R62" s="74"/>
      <c r="S62" s="74"/>
      <c r="T62" s="74"/>
      <c r="U62" s="74"/>
      <c r="V62" s="74"/>
      <c r="W62" s="74"/>
      <c r="X62" s="74"/>
      <c r="Y62" s="74"/>
    </row>
    <row r="63" spans="1:37" s="63" customFormat="1" ht="15" customHeight="1" x14ac:dyDescent="0.35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62"/>
      <c r="N63" s="62"/>
      <c r="O63" s="74"/>
      <c r="P63" s="74"/>
      <c r="Q63" s="62"/>
      <c r="R63" s="74"/>
      <c r="S63" s="74"/>
      <c r="T63" s="74"/>
      <c r="U63" s="74"/>
      <c r="V63" s="74"/>
      <c r="W63" s="74"/>
      <c r="X63" s="74"/>
      <c r="Y63" s="74"/>
    </row>
    <row r="64" spans="1:37" s="63" customFormat="1" ht="15" customHeight="1" x14ac:dyDescent="0.35">
      <c r="A64" s="95" t="s">
        <v>83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Q64" s="62"/>
    </row>
    <row r="65" spans="1:17" s="63" customFormat="1" ht="15" customHeight="1" x14ac:dyDescent="0.35">
      <c r="A65" s="345" t="s">
        <v>84</v>
      </c>
      <c r="B65" s="345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Q65" s="62"/>
    </row>
    <row r="66" spans="1:17" s="63" customFormat="1" ht="15" customHeight="1" x14ac:dyDescent="0.35">
      <c r="A66" s="109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Q66" s="62"/>
    </row>
    <row r="67" spans="1:17" s="63" customFormat="1" ht="14.5" x14ac:dyDescent="0.35">
      <c r="A67" s="118" t="s">
        <v>85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Q67" s="62"/>
    </row>
    <row r="68" spans="1:17" ht="14.5" x14ac:dyDescent="0.35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</row>
    <row r="69" spans="1:17" s="63" customFormat="1" ht="14.65" customHeight="1" x14ac:dyDescent="0.35">
      <c r="A69" s="95" t="s">
        <v>86</v>
      </c>
      <c r="B69" s="112"/>
      <c r="C69" s="112"/>
      <c r="D69" s="112"/>
      <c r="E69" s="112"/>
      <c r="F69" s="112"/>
      <c r="H69" s="95"/>
      <c r="I69" s="95"/>
      <c r="J69" s="340" t="s">
        <v>278</v>
      </c>
      <c r="K69" s="340"/>
      <c r="L69" s="340"/>
      <c r="Q69" s="62"/>
    </row>
    <row r="70" spans="1:17" s="63" customFormat="1" ht="14.5" x14ac:dyDescent="0.35">
      <c r="A70" s="109" t="s">
        <v>152</v>
      </c>
      <c r="B70" s="95"/>
      <c r="C70" s="95"/>
      <c r="D70" s="95"/>
      <c r="E70" s="95"/>
      <c r="F70" s="95"/>
      <c r="H70" s="95"/>
      <c r="I70" s="95"/>
      <c r="J70" s="95"/>
      <c r="K70" s="339" t="s">
        <v>279</v>
      </c>
      <c r="L70" s="339"/>
      <c r="Q70" s="62"/>
    </row>
    <row r="77" spans="1:17" x14ac:dyDescent="0.3">
      <c r="O77" s="62" t="s">
        <v>70</v>
      </c>
      <c r="P77" s="63"/>
    </row>
    <row r="78" spans="1:17" x14ac:dyDescent="0.3">
      <c r="O78" s="62" t="s">
        <v>71</v>
      </c>
    </row>
    <row r="79" spans="1:17" x14ac:dyDescent="0.3">
      <c r="O79" s="62" t="s">
        <v>72</v>
      </c>
    </row>
    <row r="80" spans="1:17" x14ac:dyDescent="0.3">
      <c r="O80" s="62" t="s">
        <v>73</v>
      </c>
    </row>
    <row r="81" spans="15:15" x14ac:dyDescent="0.3">
      <c r="O81" s="62" t="s">
        <v>74</v>
      </c>
    </row>
    <row r="82" spans="15:15" x14ac:dyDescent="0.3">
      <c r="O82" s="62" t="s">
        <v>75</v>
      </c>
    </row>
    <row r="83" spans="15:15" x14ac:dyDescent="0.3">
      <c r="O83" s="62" t="s">
        <v>76</v>
      </c>
    </row>
    <row r="84" spans="15:15" x14ac:dyDescent="0.3">
      <c r="O84" s="62" t="s">
        <v>123</v>
      </c>
    </row>
    <row r="85" spans="15:15" x14ac:dyDescent="0.3">
      <c r="O85" s="62" t="s">
        <v>149</v>
      </c>
    </row>
    <row r="86" spans="15:15" x14ac:dyDescent="0.3">
      <c r="O86" s="62" t="s">
        <v>277</v>
      </c>
    </row>
  </sheetData>
  <mergeCells count="15">
    <mergeCell ref="A62:L62"/>
    <mergeCell ref="K70:L70"/>
    <mergeCell ref="A65:B65"/>
    <mergeCell ref="J69:L69"/>
    <mergeCell ref="A61:L61"/>
    <mergeCell ref="A57:L57"/>
    <mergeCell ref="A58:L58"/>
    <mergeCell ref="A60:L60"/>
    <mergeCell ref="A1:L1"/>
    <mergeCell ref="B6:C7"/>
    <mergeCell ref="E6:I6"/>
    <mergeCell ref="K6:L7"/>
    <mergeCell ref="E7:F7"/>
    <mergeCell ref="H7:I7"/>
    <mergeCell ref="A59:L59"/>
  </mergeCells>
  <dataValidations count="1">
    <dataValidation type="list" allowBlank="1" showInputMessage="1" showErrorMessage="1" sqref="A4" xr:uid="{00000000-0002-0000-2900-000000000000}">
      <formula1>$O$77:$O$86</formula1>
    </dataValidation>
  </dataValidations>
  <hyperlinks>
    <hyperlink ref="A65" r:id="rId1" xr:uid="{00000000-0004-0000-2900-000000000000}"/>
    <hyperlink ref="A70" r:id="rId2" xr:uid="{39FE62DD-897B-466F-B0B7-6652F4DF0BE6}"/>
    <hyperlink ref="J69" r:id="rId3" display="Updated alongside Fire and rescue workforce and pensions statistics" xr:uid="{9B8A2C20-A4D1-43B8-ABC1-B3BA2F2B6819}"/>
    <hyperlink ref="K70:L70" r:id="rId4" display="Next Update: Autumn 2020" xr:uid="{6C8D5E3F-69B2-445D-BCF5-AABB0190BBF1}"/>
  </hyperlinks>
  <pageMargins left="0.7" right="0.7" top="0.75" bottom="0.75" header="0.3" footer="0.3"/>
  <pageSetup paperSize="9" orientation="portrait"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AF86"/>
  <sheetViews>
    <sheetView workbookViewId="0">
      <pane ySplit="8" topLeftCell="A9" activePane="bottomLeft" state="frozen"/>
      <selection activeCell="B22" sqref="B22"/>
      <selection pane="bottomLeft" activeCell="A4" sqref="A4"/>
    </sheetView>
  </sheetViews>
  <sheetFormatPr defaultColWidth="9.26953125" defaultRowHeight="13" x14ac:dyDescent="0.3"/>
  <cols>
    <col min="1" max="1" width="65.7265625" style="62" customWidth="1"/>
    <col min="2" max="2" width="16.7265625" style="62" customWidth="1"/>
    <col min="3" max="3" width="8.7265625" style="62" customWidth="1"/>
    <col min="4" max="5" width="16.7265625" style="62" customWidth="1"/>
    <col min="6" max="6" width="8.7265625" style="62" customWidth="1"/>
    <col min="7" max="7" width="16.7265625" style="62" customWidth="1"/>
    <col min="8" max="9" width="9.26953125" style="62" customWidth="1"/>
    <col min="10" max="10" width="9.26953125" style="62" hidden="1" customWidth="1"/>
    <col min="11" max="11" width="9.26953125" style="62" customWidth="1"/>
    <col min="12" max="12" width="10" style="62" bestFit="1" customWidth="1"/>
    <col min="13" max="13" width="11.7265625" style="62" customWidth="1"/>
    <col min="14" max="18" width="9.26953125" style="62"/>
    <col min="19" max="19" width="11" style="62" customWidth="1"/>
    <col min="20" max="16384" width="9.26953125" style="62"/>
  </cols>
  <sheetData>
    <row r="1" spans="1:32" s="61" customFormat="1" ht="33" customHeight="1" x14ac:dyDescent="0.5">
      <c r="A1" s="325" t="s">
        <v>119</v>
      </c>
      <c r="B1" s="325"/>
      <c r="C1" s="325"/>
      <c r="D1" s="325"/>
      <c r="E1" s="325"/>
      <c r="F1" s="325"/>
      <c r="G1" s="325"/>
      <c r="H1" s="59"/>
      <c r="I1" s="59"/>
      <c r="J1" s="60"/>
      <c r="K1" s="60"/>
    </row>
    <row r="2" spans="1:32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32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2"/>
      <c r="I3" s="62"/>
      <c r="J3" s="62"/>
      <c r="K3" s="62"/>
    </row>
    <row r="4" spans="1:32" s="63" customFormat="1" ht="15" customHeight="1" x14ac:dyDescent="0.3">
      <c r="A4" s="280" t="s">
        <v>277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32" s="63" customFormat="1" ht="15" thickBot="1" x14ac:dyDescent="0.4">
      <c r="A5" s="95"/>
      <c r="B5" s="115"/>
      <c r="C5" s="115"/>
      <c r="D5" s="285">
        <f>IF(OR($A$4="2017-18",$A$4="2018-19"),7,3)</f>
        <v>7</v>
      </c>
      <c r="E5" s="115"/>
      <c r="F5" s="115"/>
      <c r="G5" s="115"/>
      <c r="H5" s="95"/>
      <c r="I5" s="95"/>
      <c r="J5" s="119"/>
      <c r="K5" s="119"/>
      <c r="L5" s="105"/>
      <c r="M5" s="119"/>
      <c r="N5" s="68"/>
      <c r="P5" s="68"/>
      <c r="Q5" s="68"/>
      <c r="R5" s="68"/>
      <c r="S5" s="68"/>
      <c r="T5" s="68"/>
      <c r="W5" s="69"/>
    </row>
    <row r="6" spans="1:32" s="63" customFormat="1" ht="17" thickBot="1" x14ac:dyDescent="0.4">
      <c r="A6" s="95"/>
      <c r="B6" s="331" t="s">
        <v>1</v>
      </c>
      <c r="C6" s="96"/>
      <c r="D6" s="342" t="s">
        <v>79</v>
      </c>
      <c r="E6" s="342"/>
      <c r="F6" s="97"/>
      <c r="G6" s="331" t="s">
        <v>117</v>
      </c>
      <c r="H6" s="95"/>
      <c r="I6" s="95"/>
      <c r="J6" s="119"/>
      <c r="K6" s="119"/>
      <c r="L6" s="105"/>
      <c r="M6" s="119"/>
      <c r="N6" s="68"/>
      <c r="P6" s="68"/>
      <c r="Q6" s="68"/>
      <c r="R6" s="68"/>
      <c r="S6" s="68"/>
      <c r="T6" s="68"/>
      <c r="W6" s="69"/>
    </row>
    <row r="7" spans="1:32" s="72" customFormat="1" ht="31.5" thickBot="1" x14ac:dyDescent="0.4">
      <c r="A7" s="98" t="s">
        <v>67</v>
      </c>
      <c r="B7" s="332"/>
      <c r="C7" s="99"/>
      <c r="D7" s="100" t="str">
        <f>_xlfn.CONCAT("Number of 'over ",IF($D$5=7,"7","3")," day' injuries'")</f>
        <v>Number of 'over 7 day' injuries'</v>
      </c>
      <c r="E7" s="100" t="s">
        <v>80</v>
      </c>
      <c r="F7" s="99"/>
      <c r="G7" s="332"/>
      <c r="H7" s="120"/>
      <c r="I7" s="120"/>
      <c r="J7" s="120"/>
      <c r="K7" s="120"/>
      <c r="L7" s="95"/>
      <c r="M7" s="120"/>
    </row>
    <row r="8" spans="1:32" s="63" customFormat="1" ht="15" customHeight="1" x14ac:dyDescent="0.35">
      <c r="A8" s="77" t="s">
        <v>6</v>
      </c>
      <c r="B8" s="73">
        <f ca="1">'FIRE0508c raw'!B8</f>
        <v>966</v>
      </c>
      <c r="C8" s="73"/>
      <c r="D8" s="73">
        <f ca="1">'FIRE0508c raw'!D8</f>
        <v>137</v>
      </c>
      <c r="E8" s="73">
        <f ca="1">'FIRE0508c raw'!E8</f>
        <v>21</v>
      </c>
      <c r="F8" s="73"/>
      <c r="G8" s="73">
        <f ca="1">'FIRE0508c raw'!G8</f>
        <v>0</v>
      </c>
      <c r="H8" s="95"/>
      <c r="I8" s="105"/>
      <c r="J8" s="110"/>
      <c r="K8" s="110"/>
      <c r="L8" s="105"/>
      <c r="M8" s="110"/>
      <c r="N8" s="74"/>
      <c r="P8" s="76"/>
      <c r="Q8" s="76"/>
      <c r="R8" s="76"/>
      <c r="S8" s="76"/>
      <c r="T8" s="76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s="63" customFormat="1" ht="15" customHeight="1" x14ac:dyDescent="0.35">
      <c r="A9" s="101" t="s">
        <v>68</v>
      </c>
      <c r="B9" s="73">
        <f ca="1">'FIRE0508c raw'!B9</f>
        <v>714</v>
      </c>
      <c r="C9" s="73"/>
      <c r="D9" s="73">
        <f ca="1">'FIRE0508c raw'!D9</f>
        <v>107</v>
      </c>
      <c r="E9" s="73">
        <f ca="1">'FIRE0508c raw'!E9</f>
        <v>19</v>
      </c>
      <c r="F9" s="73"/>
      <c r="G9" s="73">
        <f ca="1">'FIRE0508c raw'!G9</f>
        <v>0</v>
      </c>
      <c r="H9" s="95"/>
      <c r="I9" s="105"/>
      <c r="J9" s="110"/>
      <c r="K9" s="110"/>
      <c r="L9" s="105"/>
      <c r="M9" s="110"/>
      <c r="N9" s="74"/>
      <c r="P9" s="76"/>
      <c r="Q9" s="76"/>
      <c r="R9" s="76"/>
      <c r="S9" s="76"/>
      <c r="T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s="63" customFormat="1" ht="15" customHeight="1" x14ac:dyDescent="0.35">
      <c r="A10" s="95" t="s">
        <v>8</v>
      </c>
      <c r="B10" s="281">
        <f ca="1">'FIRE0508c raw'!B10</f>
        <v>19</v>
      </c>
      <c r="C10" s="281"/>
      <c r="D10" s="281">
        <f ca="1">'FIRE0508c raw'!D10</f>
        <v>4</v>
      </c>
      <c r="E10" s="281">
        <f ca="1">'FIRE0508c raw'!E10</f>
        <v>0</v>
      </c>
      <c r="F10" s="281"/>
      <c r="G10" s="281">
        <f ca="1">'FIRE0508c raw'!G10</f>
        <v>0</v>
      </c>
      <c r="H10" s="95"/>
      <c r="I10" s="105"/>
      <c r="J10" s="110"/>
      <c r="K10" s="110"/>
      <c r="L10" s="105"/>
      <c r="M10" s="110"/>
      <c r="N10" s="74"/>
      <c r="P10" s="76"/>
      <c r="Q10" s="76"/>
      <c r="R10" s="76"/>
      <c r="S10" s="76"/>
      <c r="T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s="63" customFormat="1" ht="15" customHeight="1" x14ac:dyDescent="0.35">
      <c r="A11" s="95" t="s">
        <v>9</v>
      </c>
      <c r="B11" s="281">
        <f ca="1">'FIRE0508c raw'!B11</f>
        <v>27</v>
      </c>
      <c r="C11" s="281"/>
      <c r="D11" s="281">
        <f ca="1">'FIRE0508c raw'!D11</f>
        <v>4</v>
      </c>
      <c r="E11" s="281">
        <f ca="1">'FIRE0508c raw'!E11</f>
        <v>1</v>
      </c>
      <c r="F11" s="281"/>
      <c r="G11" s="281">
        <f ca="1">'FIRE0508c raw'!G11</f>
        <v>0</v>
      </c>
      <c r="H11" s="95"/>
      <c r="I11" s="105"/>
      <c r="J11" s="110"/>
      <c r="K11" s="110"/>
      <c r="L11" s="105"/>
      <c r="M11" s="110"/>
      <c r="N11" s="74"/>
      <c r="P11" s="76"/>
      <c r="Q11" s="76"/>
      <c r="R11" s="76"/>
      <c r="S11" s="76"/>
      <c r="T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63" customFormat="1" ht="15" customHeight="1" x14ac:dyDescent="0.35">
      <c r="A12" s="95" t="s">
        <v>10</v>
      </c>
      <c r="B12" s="281">
        <f ca="1">'FIRE0508c raw'!B12</f>
        <v>18</v>
      </c>
      <c r="C12" s="281"/>
      <c r="D12" s="281">
        <f ca="1">'FIRE0508c raw'!D12</f>
        <v>2</v>
      </c>
      <c r="E12" s="281">
        <f ca="1">'FIRE0508c raw'!E12</f>
        <v>1</v>
      </c>
      <c r="F12" s="281"/>
      <c r="G12" s="281">
        <f ca="1">'FIRE0508c raw'!G12</f>
        <v>0</v>
      </c>
      <c r="H12" s="95"/>
      <c r="I12" s="105"/>
      <c r="J12" s="110"/>
      <c r="K12" s="110"/>
      <c r="L12" s="105"/>
      <c r="M12" s="110"/>
      <c r="N12" s="74"/>
      <c r="P12" s="76"/>
      <c r="Q12" s="76"/>
      <c r="R12" s="76"/>
      <c r="S12" s="76"/>
      <c r="T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63" customFormat="1" ht="15" customHeight="1" x14ac:dyDescent="0.35">
      <c r="A13" s="95" t="s">
        <v>11</v>
      </c>
      <c r="B13" s="281">
        <f ca="1">'FIRE0508c raw'!B13</f>
        <v>19</v>
      </c>
      <c r="C13" s="281"/>
      <c r="D13" s="281">
        <f ca="1">'FIRE0508c raw'!D13</f>
        <v>5</v>
      </c>
      <c r="E13" s="281">
        <f ca="1">'FIRE0508c raw'!E13</f>
        <v>0</v>
      </c>
      <c r="F13" s="281"/>
      <c r="G13" s="281">
        <f ca="1">'FIRE0508c raw'!G13</f>
        <v>0</v>
      </c>
      <c r="H13" s="95"/>
      <c r="I13" s="105"/>
      <c r="J13" s="110"/>
      <c r="K13" s="110"/>
      <c r="L13" s="105"/>
      <c r="M13" s="110"/>
      <c r="N13" s="74"/>
      <c r="P13" s="76"/>
      <c r="Q13" s="76"/>
      <c r="R13" s="76"/>
      <c r="S13" s="76"/>
      <c r="T13" s="76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63" customFormat="1" ht="15" customHeight="1" x14ac:dyDescent="0.35">
      <c r="A14" s="95" t="s">
        <v>12</v>
      </c>
      <c r="B14" s="281">
        <f ca="1">'FIRE0508c raw'!B14</f>
        <v>19</v>
      </c>
      <c r="C14" s="281"/>
      <c r="D14" s="281">
        <f ca="1">'FIRE0508c raw'!D14</f>
        <v>2</v>
      </c>
      <c r="E14" s="281">
        <f ca="1">'FIRE0508c raw'!E14</f>
        <v>0</v>
      </c>
      <c r="F14" s="281"/>
      <c r="G14" s="281">
        <f ca="1">'FIRE0508c raw'!G14</f>
        <v>0</v>
      </c>
      <c r="H14" s="95"/>
      <c r="I14" s="105"/>
      <c r="J14" s="110"/>
      <c r="K14" s="110"/>
      <c r="L14" s="105"/>
      <c r="M14" s="110"/>
      <c r="N14" s="74"/>
      <c r="P14" s="76"/>
      <c r="Q14" s="76"/>
      <c r="R14" s="76"/>
      <c r="S14" s="76"/>
      <c r="T14" s="76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63" customFormat="1" ht="15" customHeight="1" x14ac:dyDescent="0.35">
      <c r="A15" s="95" t="s">
        <v>13</v>
      </c>
      <c r="B15" s="281">
        <f ca="1">'FIRE0508c raw'!B15</f>
        <v>7</v>
      </c>
      <c r="C15" s="281"/>
      <c r="D15" s="281">
        <f ca="1">'FIRE0508c raw'!D15</f>
        <v>0</v>
      </c>
      <c r="E15" s="281">
        <f ca="1">'FIRE0508c raw'!E15</f>
        <v>1</v>
      </c>
      <c r="F15" s="281"/>
      <c r="G15" s="281">
        <f ca="1">'FIRE0508c raw'!G15</f>
        <v>0</v>
      </c>
      <c r="H15" s="95"/>
      <c r="I15" s="105"/>
      <c r="J15" s="110"/>
      <c r="K15" s="110"/>
      <c r="L15" s="105"/>
      <c r="M15" s="110"/>
      <c r="N15" s="74"/>
      <c r="P15" s="76"/>
      <c r="Q15" s="76"/>
      <c r="R15" s="76"/>
      <c r="S15" s="76"/>
      <c r="T15" s="76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 s="63" customFormat="1" ht="15" customHeight="1" x14ac:dyDescent="0.35">
      <c r="A16" s="95" t="s">
        <v>14</v>
      </c>
      <c r="B16" s="281">
        <f ca="1">'FIRE0508c raw'!B16</f>
        <v>4</v>
      </c>
      <c r="C16" s="281"/>
      <c r="D16" s="281">
        <f ca="1">'FIRE0508c raw'!D16</f>
        <v>1</v>
      </c>
      <c r="E16" s="281">
        <f ca="1">'FIRE0508c raw'!E16</f>
        <v>1</v>
      </c>
      <c r="F16" s="281"/>
      <c r="G16" s="281">
        <f ca="1">'FIRE0508c raw'!G16</f>
        <v>0</v>
      </c>
      <c r="H16" s="95"/>
      <c r="I16" s="105"/>
      <c r="J16" s="110"/>
      <c r="K16" s="110"/>
      <c r="L16" s="105"/>
      <c r="M16" s="110"/>
      <c r="N16" s="74"/>
      <c r="P16" s="76"/>
      <c r="Q16" s="76"/>
      <c r="R16" s="76"/>
      <c r="S16" s="76"/>
      <c r="T16" s="76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 s="63" customFormat="1" ht="15" customHeight="1" x14ac:dyDescent="0.35">
      <c r="A17" s="95" t="s">
        <v>15</v>
      </c>
      <c r="B17" s="281">
        <f ca="1">'FIRE0508c raw'!B17</f>
        <v>22</v>
      </c>
      <c r="C17" s="281"/>
      <c r="D17" s="281">
        <f ca="1">'FIRE0508c raw'!D17</f>
        <v>2</v>
      </c>
      <c r="E17" s="281">
        <f ca="1">'FIRE0508c raw'!E17</f>
        <v>2</v>
      </c>
      <c r="F17" s="281"/>
      <c r="G17" s="281">
        <f ca="1">'FIRE0508c raw'!G17</f>
        <v>0</v>
      </c>
      <c r="H17" s="95"/>
      <c r="I17" s="105"/>
      <c r="J17" s="110"/>
      <c r="K17" s="110"/>
      <c r="L17" s="105"/>
      <c r="M17" s="110"/>
      <c r="N17" s="74"/>
      <c r="P17" s="76"/>
      <c r="Q17" s="76"/>
      <c r="R17" s="76"/>
      <c r="S17" s="76"/>
      <c r="T17" s="76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 s="63" customFormat="1" ht="15" customHeight="1" x14ac:dyDescent="0.35">
      <c r="A18" s="104" t="s">
        <v>16</v>
      </c>
      <c r="B18" s="281">
        <f ca="1">'FIRE0508c raw'!B18</f>
        <v>12</v>
      </c>
      <c r="C18" s="281"/>
      <c r="D18" s="281">
        <f ca="1">'FIRE0508c raw'!D18</f>
        <v>1</v>
      </c>
      <c r="E18" s="281">
        <f ca="1">'FIRE0508c raw'!E18</f>
        <v>0</v>
      </c>
      <c r="F18" s="281"/>
      <c r="G18" s="281">
        <f ca="1">'FIRE0508c raw'!G18</f>
        <v>0</v>
      </c>
      <c r="H18" s="95"/>
      <c r="I18" s="105"/>
      <c r="J18" s="110"/>
      <c r="K18" s="110"/>
      <c r="L18" s="105"/>
      <c r="M18" s="110"/>
      <c r="N18" s="74"/>
      <c r="P18" s="76"/>
      <c r="Q18" s="76"/>
      <c r="R18" s="76"/>
      <c r="S18" s="76"/>
      <c r="T18" s="76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 s="63" customFormat="1" ht="15" customHeight="1" x14ac:dyDescent="0.35">
      <c r="A19" s="104" t="s">
        <v>17</v>
      </c>
      <c r="B19" s="281">
        <f ca="1">'FIRE0508c raw'!B19</f>
        <v>9</v>
      </c>
      <c r="C19" s="281"/>
      <c r="D19" s="281">
        <f ca="1">'FIRE0508c raw'!D19</f>
        <v>1</v>
      </c>
      <c r="E19" s="281">
        <f ca="1">'FIRE0508c raw'!E19</f>
        <v>1</v>
      </c>
      <c r="F19" s="281"/>
      <c r="G19" s="281">
        <f ca="1">'FIRE0508c raw'!G19</f>
        <v>0</v>
      </c>
      <c r="H19" s="95"/>
      <c r="I19" s="105"/>
      <c r="J19" s="110"/>
      <c r="K19" s="110"/>
      <c r="L19" s="105"/>
      <c r="M19" s="110"/>
      <c r="N19" s="74"/>
      <c r="P19" s="76"/>
      <c r="Q19" s="76"/>
      <c r="R19" s="76"/>
      <c r="S19" s="76"/>
      <c r="T19" s="76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 s="63" customFormat="1" ht="15" customHeight="1" x14ac:dyDescent="0.35">
      <c r="A20" s="95" t="s">
        <v>18</v>
      </c>
      <c r="B20" s="281">
        <f ca="1">'FIRE0508c raw'!B20</f>
        <v>30</v>
      </c>
      <c r="C20" s="281"/>
      <c r="D20" s="281">
        <f ca="1">'FIRE0508c raw'!D20</f>
        <v>5</v>
      </c>
      <c r="E20" s="281">
        <f ca="1">'FIRE0508c raw'!E20</f>
        <v>0</v>
      </c>
      <c r="F20" s="281"/>
      <c r="G20" s="281">
        <f ca="1">'FIRE0508c raw'!G20</f>
        <v>0</v>
      </c>
      <c r="H20" s="95"/>
      <c r="I20" s="105"/>
      <c r="J20" s="110"/>
      <c r="K20" s="110"/>
      <c r="L20" s="105"/>
      <c r="M20" s="110"/>
      <c r="N20" s="74"/>
      <c r="P20" s="76"/>
      <c r="Q20" s="76"/>
      <c r="R20" s="76"/>
      <c r="S20" s="76"/>
      <c r="T20" s="76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 s="63" customFormat="1" ht="15" customHeight="1" x14ac:dyDescent="0.35">
      <c r="A21" s="95" t="s">
        <v>122</v>
      </c>
      <c r="B21" s="281">
        <f ca="1">'FIRE0508c raw'!B21</f>
        <v>28</v>
      </c>
      <c r="C21" s="281"/>
      <c r="D21" s="281">
        <f ca="1">'FIRE0508c raw'!D21</f>
        <v>5</v>
      </c>
      <c r="E21" s="281">
        <f ca="1">'FIRE0508c raw'!E21</f>
        <v>0</v>
      </c>
      <c r="F21" s="281"/>
      <c r="G21" s="281">
        <f ca="1">'FIRE0508c raw'!G21</f>
        <v>0</v>
      </c>
      <c r="H21" s="95"/>
      <c r="I21" s="105"/>
      <c r="J21" s="110"/>
      <c r="K21" s="110"/>
      <c r="L21" s="105"/>
      <c r="M21" s="110"/>
      <c r="N21" s="74"/>
      <c r="P21" s="76"/>
      <c r="Q21" s="76"/>
      <c r="R21" s="76"/>
      <c r="S21" s="76"/>
      <c r="T21" s="76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 s="63" customFormat="1" ht="15" customHeight="1" x14ac:dyDescent="0.35">
      <c r="A22" s="95" t="s">
        <v>20</v>
      </c>
      <c r="B22" s="281">
        <f ca="1">'FIRE0508c raw'!B22</f>
        <v>4</v>
      </c>
      <c r="C22" s="281"/>
      <c r="D22" s="281">
        <f ca="1">'FIRE0508c raw'!D22</f>
        <v>1</v>
      </c>
      <c r="E22" s="281">
        <f ca="1">'FIRE0508c raw'!E22</f>
        <v>0</v>
      </c>
      <c r="F22" s="281"/>
      <c r="G22" s="281">
        <f ca="1">'FIRE0508c raw'!G22</f>
        <v>0</v>
      </c>
      <c r="H22" s="95"/>
      <c r="I22" s="105"/>
      <c r="J22" s="110"/>
      <c r="K22" s="110"/>
      <c r="L22" s="105"/>
      <c r="M22" s="110"/>
      <c r="N22" s="74"/>
      <c r="P22" s="76"/>
      <c r="Q22" s="76"/>
      <c r="R22" s="76"/>
      <c r="S22" s="76"/>
      <c r="T22" s="76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s="63" customFormat="1" ht="15" customHeight="1" x14ac:dyDescent="0.35">
      <c r="A23" s="95" t="s">
        <v>21</v>
      </c>
      <c r="B23" s="281">
        <f ca="1">'FIRE0508c raw'!B23</f>
        <v>19</v>
      </c>
      <c r="C23" s="281"/>
      <c r="D23" s="281">
        <f ca="1">'FIRE0508c raw'!D23</f>
        <v>0</v>
      </c>
      <c r="E23" s="281">
        <f ca="1">'FIRE0508c raw'!E23</f>
        <v>0</v>
      </c>
      <c r="F23" s="281"/>
      <c r="G23" s="281">
        <f ca="1">'FIRE0508c raw'!G23</f>
        <v>0</v>
      </c>
      <c r="H23" s="95"/>
      <c r="I23" s="105"/>
      <c r="J23" s="110"/>
      <c r="K23" s="110"/>
      <c r="L23" s="105"/>
      <c r="M23" s="110"/>
      <c r="N23" s="74"/>
      <c r="P23" s="76"/>
      <c r="Q23" s="76"/>
      <c r="R23" s="76"/>
      <c r="S23" s="76"/>
      <c r="T23" s="76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s="63" customFormat="1" ht="15" customHeight="1" x14ac:dyDescent="0.35">
      <c r="A24" s="95" t="s">
        <v>22</v>
      </c>
      <c r="B24" s="281">
        <f ca="1">'FIRE0508c raw'!B24</f>
        <v>35</v>
      </c>
      <c r="C24" s="281"/>
      <c r="D24" s="281">
        <f ca="1">'FIRE0508c raw'!D24</f>
        <v>9</v>
      </c>
      <c r="E24" s="281">
        <f ca="1">'FIRE0508c raw'!E24</f>
        <v>1</v>
      </c>
      <c r="F24" s="281"/>
      <c r="G24" s="281">
        <f ca="1">'FIRE0508c raw'!G24</f>
        <v>0</v>
      </c>
      <c r="H24" s="95"/>
      <c r="I24" s="105"/>
      <c r="J24" s="110"/>
      <c r="K24" s="110"/>
      <c r="L24" s="105"/>
      <c r="M24" s="110"/>
      <c r="N24" s="74"/>
      <c r="P24" s="76"/>
      <c r="Q24" s="76"/>
      <c r="R24" s="76"/>
      <c r="S24" s="76"/>
      <c r="T24" s="76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s="63" customFormat="1" ht="15" customHeight="1" x14ac:dyDescent="0.35">
      <c r="A25" s="95" t="s">
        <v>23</v>
      </c>
      <c r="B25" s="281">
        <f ca="1">'FIRE0508c raw'!B25</f>
        <v>14</v>
      </c>
      <c r="C25" s="281"/>
      <c r="D25" s="281">
        <f ca="1">'FIRE0508c raw'!D25</f>
        <v>0</v>
      </c>
      <c r="E25" s="281">
        <f ca="1">'FIRE0508c raw'!E25</f>
        <v>2</v>
      </c>
      <c r="F25" s="281"/>
      <c r="G25" s="281">
        <f ca="1">'FIRE0508c raw'!G25</f>
        <v>0</v>
      </c>
      <c r="H25" s="95"/>
      <c r="I25" s="105"/>
      <c r="J25" s="110"/>
      <c r="K25" s="110"/>
      <c r="L25" s="105"/>
      <c r="M25" s="110"/>
      <c r="N25" s="74"/>
      <c r="P25" s="76"/>
      <c r="Q25" s="76"/>
      <c r="R25" s="76"/>
      <c r="S25" s="76"/>
      <c r="T25" s="76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s="63" customFormat="1" ht="15" customHeight="1" x14ac:dyDescent="0.35">
      <c r="A26" s="95" t="s">
        <v>24</v>
      </c>
      <c r="B26" s="281">
        <f ca="1">'FIRE0508c raw'!B26</f>
        <v>25</v>
      </c>
      <c r="C26" s="281"/>
      <c r="D26" s="281">
        <f ca="1">'FIRE0508c raw'!D26</f>
        <v>4</v>
      </c>
      <c r="E26" s="281">
        <f ca="1">'FIRE0508c raw'!E26</f>
        <v>1</v>
      </c>
      <c r="F26" s="281"/>
      <c r="G26" s="281">
        <f ca="1">'FIRE0508c raw'!G26</f>
        <v>0</v>
      </c>
      <c r="H26" s="95"/>
      <c r="I26" s="105"/>
      <c r="J26" s="110"/>
      <c r="K26" s="110"/>
      <c r="L26" s="105"/>
      <c r="M26" s="110"/>
      <c r="N26" s="74"/>
      <c r="P26" s="76"/>
      <c r="Q26" s="76"/>
      <c r="R26" s="76"/>
      <c r="S26" s="76"/>
      <c r="T26" s="76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s="63" customFormat="1" ht="15" customHeight="1" x14ac:dyDescent="0.35">
      <c r="A27" s="95" t="s">
        <v>25</v>
      </c>
      <c r="B27" s="281">
        <f ca="1">'FIRE0508c raw'!B27</f>
        <v>51</v>
      </c>
      <c r="C27" s="281"/>
      <c r="D27" s="281">
        <f ca="1">'FIRE0508c raw'!D27</f>
        <v>7</v>
      </c>
      <c r="E27" s="281">
        <f ca="1">'FIRE0508c raw'!E27</f>
        <v>1</v>
      </c>
      <c r="F27" s="281"/>
      <c r="G27" s="281">
        <f ca="1">'FIRE0508c raw'!G27</f>
        <v>0</v>
      </c>
      <c r="H27" s="95"/>
      <c r="I27" s="105"/>
      <c r="J27" s="110"/>
      <c r="K27" s="110"/>
      <c r="L27" s="105"/>
      <c r="M27" s="110"/>
      <c r="N27" s="74"/>
      <c r="P27" s="76"/>
      <c r="Q27" s="76"/>
      <c r="R27" s="76"/>
      <c r="S27" s="76"/>
      <c r="T27" s="76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s="63" customFormat="1" ht="15" customHeight="1" x14ac:dyDescent="0.35">
      <c r="A28" s="95" t="s">
        <v>26</v>
      </c>
      <c r="B28" s="281">
        <f ca="1">'FIRE0508c raw'!B28</f>
        <v>22</v>
      </c>
      <c r="C28" s="281"/>
      <c r="D28" s="281">
        <f ca="1">'FIRE0508c raw'!D28</f>
        <v>8</v>
      </c>
      <c r="E28" s="281">
        <f ca="1">'FIRE0508c raw'!E28</f>
        <v>1</v>
      </c>
      <c r="F28" s="281"/>
      <c r="G28" s="281">
        <f ca="1">'FIRE0508c raw'!G28</f>
        <v>0</v>
      </c>
      <c r="H28" s="95"/>
      <c r="I28" s="105"/>
      <c r="J28" s="110"/>
      <c r="K28" s="110"/>
      <c r="L28" s="105"/>
      <c r="M28" s="110"/>
      <c r="N28" s="74"/>
      <c r="P28" s="76"/>
      <c r="Q28" s="76"/>
      <c r="R28" s="76"/>
      <c r="S28" s="76"/>
      <c r="T28" s="76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s="63" customFormat="1" ht="15" customHeight="1" x14ac:dyDescent="0.35">
      <c r="A29" s="95" t="s">
        <v>27</v>
      </c>
      <c r="B29" s="281">
        <f ca="1">'FIRE0508c raw'!B29</f>
        <v>51</v>
      </c>
      <c r="C29" s="281"/>
      <c r="D29" s="281">
        <f ca="1">'FIRE0508c raw'!D29</f>
        <v>5</v>
      </c>
      <c r="E29" s="281">
        <f ca="1">'FIRE0508c raw'!E29</f>
        <v>1</v>
      </c>
      <c r="F29" s="281"/>
      <c r="G29" s="281">
        <f ca="1">'FIRE0508c raw'!G29</f>
        <v>0</v>
      </c>
      <c r="H29" s="95"/>
      <c r="I29" s="105"/>
      <c r="J29" s="110"/>
      <c r="K29" s="110"/>
      <c r="L29" s="105"/>
      <c r="M29" s="110"/>
      <c r="N29" s="74"/>
      <c r="P29" s="76"/>
      <c r="Q29" s="76"/>
      <c r="R29" s="76"/>
      <c r="S29" s="76"/>
      <c r="T29" s="76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s="63" customFormat="1" ht="15" customHeight="1" x14ac:dyDescent="0.35">
      <c r="A30" s="105" t="s">
        <v>28</v>
      </c>
      <c r="B30" s="281">
        <f ca="1">'FIRE0508c raw'!B30</f>
        <v>3</v>
      </c>
      <c r="C30" s="281"/>
      <c r="D30" s="281">
        <f ca="1">'FIRE0508c raw'!D30</f>
        <v>0</v>
      </c>
      <c r="E30" s="281">
        <f ca="1">'FIRE0508c raw'!E30</f>
        <v>0</v>
      </c>
      <c r="F30" s="281"/>
      <c r="G30" s="281">
        <f ca="1">'FIRE0508c raw'!G30</f>
        <v>0</v>
      </c>
      <c r="H30" s="95"/>
      <c r="I30" s="105"/>
      <c r="J30" s="110"/>
      <c r="K30" s="110"/>
      <c r="L30" s="105"/>
      <c r="M30" s="110"/>
      <c r="N30" s="74"/>
      <c r="P30" s="76"/>
      <c r="Q30" s="76"/>
      <c r="R30" s="76"/>
      <c r="S30" s="76"/>
      <c r="T30" s="76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s="63" customFormat="1" ht="15" customHeight="1" x14ac:dyDescent="0.35">
      <c r="A31" s="105" t="s">
        <v>29</v>
      </c>
      <c r="B31" s="281">
        <f ca="1">'FIRE0508c raw'!B31</f>
        <v>16</v>
      </c>
      <c r="C31" s="281"/>
      <c r="D31" s="281">
        <f ca="1">'FIRE0508c raw'!D31</f>
        <v>0</v>
      </c>
      <c r="E31" s="281">
        <f ca="1">'FIRE0508c raw'!E31</f>
        <v>0</v>
      </c>
      <c r="F31" s="281"/>
      <c r="G31" s="281">
        <f ca="1">'FIRE0508c raw'!G31</f>
        <v>0</v>
      </c>
      <c r="H31" s="95"/>
      <c r="I31" s="105"/>
      <c r="J31" s="110"/>
      <c r="K31" s="110"/>
      <c r="L31" s="105"/>
      <c r="M31" s="110"/>
      <c r="N31" s="74"/>
      <c r="P31" s="76"/>
      <c r="Q31" s="76"/>
      <c r="R31" s="76"/>
      <c r="S31" s="76"/>
      <c r="T31" s="76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s="63" customFormat="1" ht="15" customHeight="1" x14ac:dyDescent="0.35">
      <c r="A32" s="95" t="s">
        <v>30</v>
      </c>
      <c r="B32" s="281">
        <f ca="1">'FIRE0508c raw'!B32</f>
        <v>18</v>
      </c>
      <c r="C32" s="281"/>
      <c r="D32" s="281">
        <f ca="1">'FIRE0508c raw'!D32</f>
        <v>4</v>
      </c>
      <c r="E32" s="281">
        <f ca="1">'FIRE0508c raw'!E32</f>
        <v>0</v>
      </c>
      <c r="F32" s="281"/>
      <c r="G32" s="281">
        <f ca="1">'FIRE0508c raw'!G32</f>
        <v>0</v>
      </c>
      <c r="H32" s="95"/>
      <c r="I32" s="105"/>
      <c r="J32" s="110"/>
      <c r="K32" s="110"/>
      <c r="L32" s="105"/>
      <c r="M32" s="110"/>
      <c r="N32" s="74"/>
      <c r="P32" s="76"/>
      <c r="Q32" s="76"/>
      <c r="R32" s="76"/>
      <c r="S32" s="76"/>
      <c r="T32" s="76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s="63" customFormat="1" ht="15" customHeight="1" x14ac:dyDescent="0.35">
      <c r="A33" s="105" t="s">
        <v>31</v>
      </c>
      <c r="B33" s="281">
        <f ca="1">'FIRE0508c raw'!B33</f>
        <v>14</v>
      </c>
      <c r="C33" s="281"/>
      <c r="D33" s="281">
        <f ca="1">'FIRE0508c raw'!D33</f>
        <v>4</v>
      </c>
      <c r="E33" s="281">
        <f ca="1">'FIRE0508c raw'!E33</f>
        <v>0</v>
      </c>
      <c r="F33" s="281"/>
      <c r="G33" s="281">
        <f ca="1">'FIRE0508c raw'!G33</f>
        <v>0</v>
      </c>
      <c r="H33" s="95"/>
      <c r="I33" s="105"/>
      <c r="J33" s="110"/>
      <c r="K33" s="110"/>
      <c r="L33" s="105"/>
      <c r="M33" s="110"/>
      <c r="N33" s="74"/>
      <c r="P33" s="76"/>
      <c r="Q33" s="76"/>
      <c r="R33" s="76"/>
      <c r="S33" s="76"/>
      <c r="T33" s="76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s="63" customFormat="1" ht="15" customHeight="1" x14ac:dyDescent="0.35">
      <c r="A34" s="105" t="s">
        <v>32</v>
      </c>
      <c r="B34" s="281">
        <f ca="1">'FIRE0508c raw'!B34</f>
        <v>22</v>
      </c>
      <c r="C34" s="281"/>
      <c r="D34" s="281">
        <f ca="1">'FIRE0508c raw'!D34</f>
        <v>1</v>
      </c>
      <c r="E34" s="281">
        <f ca="1">'FIRE0508c raw'!E34</f>
        <v>2</v>
      </c>
      <c r="F34" s="281"/>
      <c r="G34" s="281">
        <f ca="1">'FIRE0508c raw'!G34</f>
        <v>0</v>
      </c>
      <c r="H34" s="95"/>
      <c r="I34" s="105"/>
      <c r="J34" s="110"/>
      <c r="K34" s="110"/>
      <c r="L34" s="105"/>
      <c r="M34" s="110"/>
      <c r="N34" s="74"/>
      <c r="P34" s="76"/>
      <c r="Q34" s="76"/>
      <c r="R34" s="76"/>
      <c r="S34" s="76"/>
      <c r="T34" s="76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s="63" customFormat="1" ht="15" customHeight="1" x14ac:dyDescent="0.35">
      <c r="A35" s="95" t="s">
        <v>33</v>
      </c>
      <c r="B35" s="281">
        <f ca="1">'FIRE0508c raw'!B35</f>
        <v>26</v>
      </c>
      <c r="C35" s="281"/>
      <c r="D35" s="281">
        <f ca="1">'FIRE0508c raw'!D35</f>
        <v>2</v>
      </c>
      <c r="E35" s="281">
        <f ca="1">'FIRE0508c raw'!E35</f>
        <v>0</v>
      </c>
      <c r="F35" s="281"/>
      <c r="G35" s="281">
        <f ca="1">'FIRE0508c raw'!G35</f>
        <v>0</v>
      </c>
      <c r="H35" s="95"/>
      <c r="I35" s="105"/>
      <c r="J35" s="110"/>
      <c r="K35" s="110"/>
      <c r="L35" s="105"/>
      <c r="M35" s="110"/>
      <c r="N35" s="74"/>
      <c r="P35" s="76"/>
      <c r="Q35" s="76"/>
      <c r="R35" s="76"/>
      <c r="S35" s="76"/>
      <c r="T35" s="76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s="63" customFormat="1" ht="15" customHeight="1" x14ac:dyDescent="0.35">
      <c r="A36" s="105" t="s">
        <v>34</v>
      </c>
      <c r="B36" s="281">
        <f ca="1">'FIRE0508c raw'!B36</f>
        <v>34</v>
      </c>
      <c r="C36" s="281"/>
      <c r="D36" s="281">
        <f ca="1">'FIRE0508c raw'!D36</f>
        <v>8</v>
      </c>
      <c r="E36" s="281">
        <f ca="1">'FIRE0508c raw'!E36</f>
        <v>1</v>
      </c>
      <c r="F36" s="281"/>
      <c r="G36" s="281">
        <f ca="1">'FIRE0508c raw'!G36</f>
        <v>0</v>
      </c>
      <c r="H36" s="95"/>
      <c r="I36" s="105"/>
      <c r="J36" s="110"/>
      <c r="K36" s="110"/>
      <c r="L36" s="105"/>
      <c r="M36" s="110"/>
      <c r="N36" s="74"/>
      <c r="P36" s="76"/>
      <c r="Q36" s="76"/>
      <c r="R36" s="76"/>
      <c r="S36" s="76"/>
      <c r="T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s="63" customFormat="1" ht="15" customHeight="1" x14ac:dyDescent="0.35">
      <c r="A37" s="105" t="s">
        <v>35</v>
      </c>
      <c r="B37" s="281">
        <f ca="1">'FIRE0508c raw'!B37</f>
        <v>20</v>
      </c>
      <c r="C37" s="281"/>
      <c r="D37" s="281">
        <f ca="1">'FIRE0508c raw'!D37</f>
        <v>1</v>
      </c>
      <c r="E37" s="281">
        <f ca="1">'FIRE0508c raw'!E37</f>
        <v>0</v>
      </c>
      <c r="F37" s="281"/>
      <c r="G37" s="281">
        <f ca="1">'FIRE0508c raw'!G37</f>
        <v>0</v>
      </c>
      <c r="H37" s="95"/>
      <c r="I37" s="105"/>
      <c r="J37" s="110"/>
      <c r="K37" s="110"/>
      <c r="L37" s="105"/>
      <c r="M37" s="110"/>
      <c r="N37" s="74"/>
      <c r="P37" s="76"/>
      <c r="Q37" s="76"/>
      <c r="R37" s="76"/>
      <c r="S37" s="76"/>
      <c r="T37" s="76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s="63" customFormat="1" ht="15" customHeight="1" x14ac:dyDescent="0.35">
      <c r="A38" s="105" t="s">
        <v>36</v>
      </c>
      <c r="B38" s="281">
        <f ca="1">'FIRE0508c raw'!B38</f>
        <v>7</v>
      </c>
      <c r="C38" s="281"/>
      <c r="D38" s="281">
        <f ca="1">'FIRE0508c raw'!D38</f>
        <v>2</v>
      </c>
      <c r="E38" s="281">
        <f ca="1">'FIRE0508c raw'!E38</f>
        <v>0</v>
      </c>
      <c r="F38" s="281"/>
      <c r="G38" s="281">
        <f ca="1">'FIRE0508c raw'!G38</f>
        <v>0</v>
      </c>
      <c r="H38" s="95"/>
      <c r="I38" s="105"/>
      <c r="J38" s="110"/>
      <c r="K38" s="110"/>
      <c r="L38" s="105"/>
      <c r="M38" s="110"/>
      <c r="N38" s="74"/>
      <c r="P38" s="76"/>
      <c r="Q38" s="76"/>
      <c r="R38" s="76"/>
      <c r="S38" s="76"/>
      <c r="T38" s="76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s="63" customFormat="1" ht="15" customHeight="1" x14ac:dyDescent="0.35">
      <c r="A39" s="95" t="s">
        <v>37</v>
      </c>
      <c r="B39" s="281">
        <f ca="1">'FIRE0508c raw'!B39</f>
        <v>18</v>
      </c>
      <c r="C39" s="281"/>
      <c r="D39" s="281">
        <f ca="1">'FIRE0508c raw'!D39</f>
        <v>2</v>
      </c>
      <c r="E39" s="281">
        <f ca="1">'FIRE0508c raw'!E39</f>
        <v>0</v>
      </c>
      <c r="F39" s="281"/>
      <c r="G39" s="281">
        <f ca="1">'FIRE0508c raw'!G39</f>
        <v>0</v>
      </c>
      <c r="H39" s="95"/>
      <c r="I39" s="105"/>
      <c r="J39" s="110"/>
      <c r="K39" s="110"/>
      <c r="L39" s="105"/>
      <c r="M39" s="110"/>
      <c r="N39" s="74"/>
      <c r="P39" s="76"/>
      <c r="Q39" s="76"/>
      <c r="R39" s="76"/>
      <c r="S39" s="76"/>
      <c r="T39" s="76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s="63" customFormat="1" ht="15" customHeight="1" x14ac:dyDescent="0.35">
      <c r="A40" s="95" t="s">
        <v>38</v>
      </c>
      <c r="B40" s="281">
        <f ca="1">'FIRE0508c raw'!B40</f>
        <v>22</v>
      </c>
      <c r="C40" s="281"/>
      <c r="D40" s="281">
        <f ca="1">'FIRE0508c raw'!D40</f>
        <v>3</v>
      </c>
      <c r="E40" s="281">
        <f ca="1">'FIRE0508c raw'!E40</f>
        <v>2</v>
      </c>
      <c r="F40" s="281"/>
      <c r="G40" s="281">
        <f ca="1">'FIRE0508c raw'!G40</f>
        <v>0</v>
      </c>
      <c r="H40" s="95"/>
      <c r="I40" s="105"/>
      <c r="J40" s="110"/>
      <c r="K40" s="110"/>
      <c r="L40" s="105"/>
      <c r="M40" s="110"/>
      <c r="N40" s="74"/>
      <c r="P40" s="76"/>
      <c r="Q40" s="76"/>
      <c r="R40" s="76"/>
      <c r="S40" s="76"/>
      <c r="T40" s="76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s="63" customFormat="1" ht="15" customHeight="1" x14ac:dyDescent="0.35">
      <c r="A41" s="95" t="s">
        <v>39</v>
      </c>
      <c r="B41" s="281">
        <f ca="1">'FIRE0508c raw'!B41</f>
        <v>6</v>
      </c>
      <c r="C41" s="281"/>
      <c r="D41" s="281">
        <f ca="1">'FIRE0508c raw'!D41</f>
        <v>0</v>
      </c>
      <c r="E41" s="281">
        <f ca="1">'FIRE0508c raw'!E41</f>
        <v>0</v>
      </c>
      <c r="F41" s="281"/>
      <c r="G41" s="281">
        <f ca="1">'FIRE0508c raw'!G41</f>
        <v>0</v>
      </c>
      <c r="H41" s="95"/>
      <c r="I41" s="105"/>
      <c r="J41" s="110"/>
      <c r="K41" s="110"/>
      <c r="L41" s="105"/>
      <c r="M41" s="110"/>
      <c r="N41" s="74"/>
      <c r="P41" s="76"/>
      <c r="Q41" s="76"/>
      <c r="R41" s="76"/>
      <c r="S41" s="76"/>
      <c r="T41" s="76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s="63" customFormat="1" ht="15" customHeight="1" x14ac:dyDescent="0.35">
      <c r="A42" s="95" t="s">
        <v>40</v>
      </c>
      <c r="B42" s="281">
        <f ca="1">'FIRE0508c raw'!B42</f>
        <v>18</v>
      </c>
      <c r="C42" s="281"/>
      <c r="D42" s="281">
        <f ca="1">'FIRE0508c raw'!D42</f>
        <v>4</v>
      </c>
      <c r="E42" s="281">
        <f ca="1">'FIRE0508c raw'!E42</f>
        <v>0</v>
      </c>
      <c r="F42" s="281"/>
      <c r="G42" s="281">
        <f ca="1">'FIRE0508c raw'!G42</f>
        <v>0</v>
      </c>
      <c r="H42" s="95"/>
      <c r="I42" s="105"/>
      <c r="J42" s="110"/>
      <c r="K42" s="110"/>
      <c r="L42" s="105"/>
      <c r="M42" s="110"/>
      <c r="N42" s="74"/>
      <c r="P42" s="76"/>
      <c r="Q42" s="76"/>
      <c r="R42" s="76"/>
      <c r="S42" s="76"/>
      <c r="T42" s="76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s="63" customFormat="1" ht="15" customHeight="1" x14ac:dyDescent="0.35">
      <c r="A43" s="95" t="s">
        <v>41</v>
      </c>
      <c r="B43" s="281">
        <f ca="1">'FIRE0508c raw'!B43</f>
        <v>13</v>
      </c>
      <c r="C43" s="281"/>
      <c r="D43" s="281">
        <f ca="1">'FIRE0508c raw'!D43</f>
        <v>2</v>
      </c>
      <c r="E43" s="281">
        <f ca="1">'FIRE0508c raw'!E43</f>
        <v>0</v>
      </c>
      <c r="F43" s="281"/>
      <c r="G43" s="281">
        <f ca="1">'FIRE0508c raw'!G43</f>
        <v>0</v>
      </c>
      <c r="H43" s="95"/>
      <c r="I43" s="105"/>
      <c r="J43" s="110"/>
      <c r="K43" s="110"/>
      <c r="L43" s="105"/>
      <c r="M43" s="110"/>
      <c r="N43" s="74"/>
      <c r="P43" s="76"/>
      <c r="Q43" s="76"/>
      <c r="R43" s="76"/>
      <c r="S43" s="76"/>
      <c r="T43" s="76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 s="63" customFormat="1" ht="15" customHeight="1" x14ac:dyDescent="0.35">
      <c r="A44" s="95" t="s">
        <v>42</v>
      </c>
      <c r="B44" s="281">
        <f ca="1">'FIRE0508c raw'!B44</f>
        <v>17</v>
      </c>
      <c r="C44" s="281"/>
      <c r="D44" s="281">
        <f ca="1">'FIRE0508c raw'!D44</f>
        <v>6</v>
      </c>
      <c r="E44" s="281">
        <f ca="1">'FIRE0508c raw'!E44</f>
        <v>0</v>
      </c>
      <c r="F44" s="281"/>
      <c r="G44" s="281">
        <f ca="1">'FIRE0508c raw'!G44</f>
        <v>0</v>
      </c>
      <c r="H44" s="95"/>
      <c r="I44" s="105"/>
      <c r="J44" s="110"/>
      <c r="K44" s="110"/>
      <c r="L44" s="105"/>
      <c r="M44" s="110"/>
      <c r="N44" s="74"/>
      <c r="P44" s="76"/>
      <c r="Q44" s="76"/>
      <c r="R44" s="76"/>
      <c r="S44" s="76"/>
      <c r="T44" s="7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 s="63" customFormat="1" ht="15" customHeight="1" x14ac:dyDescent="0.35">
      <c r="A45" s="95" t="s">
        <v>43</v>
      </c>
      <c r="B45" s="281">
        <f ca="1">'FIRE0508c raw'!B45</f>
        <v>10</v>
      </c>
      <c r="C45" s="281"/>
      <c r="D45" s="281">
        <f ca="1">'FIRE0508c raw'!D45</f>
        <v>0</v>
      </c>
      <c r="E45" s="281">
        <f ca="1">'FIRE0508c raw'!E45</f>
        <v>0</v>
      </c>
      <c r="F45" s="281"/>
      <c r="G45" s="281">
        <f ca="1">'FIRE0508c raw'!G45</f>
        <v>0</v>
      </c>
      <c r="H45" s="95"/>
      <c r="I45" s="105"/>
      <c r="J45" s="110"/>
      <c r="K45" s="110"/>
      <c r="L45" s="105"/>
      <c r="M45" s="110"/>
      <c r="N45" s="74"/>
      <c r="P45" s="76"/>
      <c r="Q45" s="76"/>
      <c r="R45" s="76"/>
      <c r="S45" s="76"/>
      <c r="T45" s="7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 s="63" customFormat="1" ht="15" customHeight="1" x14ac:dyDescent="0.35">
      <c r="A46" s="95" t="s">
        <v>44</v>
      </c>
      <c r="B46" s="281">
        <f ca="1">'FIRE0508c raw'!B46</f>
        <v>15</v>
      </c>
      <c r="C46" s="281"/>
      <c r="D46" s="281">
        <f ca="1">'FIRE0508c raw'!D46</f>
        <v>2</v>
      </c>
      <c r="E46" s="281">
        <f ca="1">'FIRE0508c raw'!E46</f>
        <v>0</v>
      </c>
      <c r="F46" s="281"/>
      <c r="G46" s="281">
        <f ca="1">'FIRE0508c raw'!G46</f>
        <v>0</v>
      </c>
      <c r="H46" s="95"/>
      <c r="I46" s="105"/>
      <c r="J46" s="110"/>
      <c r="K46" s="110"/>
      <c r="L46" s="105"/>
      <c r="M46" s="110"/>
      <c r="N46" s="74"/>
      <c r="P46" s="76"/>
      <c r="Q46" s="76"/>
      <c r="R46" s="76"/>
      <c r="S46" s="76"/>
      <c r="T46" s="76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 s="63" customFormat="1" ht="15" customHeight="1" x14ac:dyDescent="0.35">
      <c r="A47" s="95" t="s">
        <v>46</v>
      </c>
      <c r="B47" s="281">
        <f ca="1">'FIRE0508c raw'!B47</f>
        <v>0</v>
      </c>
      <c r="C47" s="281"/>
      <c r="D47" s="281">
        <f ca="1">'FIRE0508c raw'!D47</f>
        <v>0</v>
      </c>
      <c r="E47" s="281">
        <f ca="1">'FIRE0508c raw'!E47</f>
        <v>0</v>
      </c>
      <c r="F47" s="281"/>
      <c r="G47" s="281">
        <f ca="1">'FIRE0508c raw'!G47</f>
        <v>0</v>
      </c>
      <c r="H47" s="95"/>
      <c r="I47" s="105"/>
      <c r="J47" s="110"/>
      <c r="K47" s="110"/>
      <c r="L47" s="105"/>
      <c r="M47" s="110"/>
      <c r="N47" s="74"/>
      <c r="P47" s="76"/>
      <c r="Q47" s="76"/>
      <c r="R47" s="76"/>
      <c r="S47" s="76"/>
      <c r="T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 s="63" customFormat="1" ht="15" customHeight="1" x14ac:dyDescent="0.35">
      <c r="A48" s="101" t="s">
        <v>69</v>
      </c>
      <c r="B48" s="73">
        <f ca="1">'FIRE0508c raw'!B48</f>
        <v>252</v>
      </c>
      <c r="C48" s="73"/>
      <c r="D48" s="73">
        <f ca="1">'FIRE0508c raw'!D48</f>
        <v>30</v>
      </c>
      <c r="E48" s="73">
        <f ca="1">'FIRE0508c raw'!E48</f>
        <v>2</v>
      </c>
      <c r="F48" s="73"/>
      <c r="G48" s="73">
        <f ca="1">'FIRE0508c raw'!G48</f>
        <v>0</v>
      </c>
      <c r="H48" s="95"/>
      <c r="I48" s="105"/>
      <c r="J48" s="110"/>
      <c r="K48" s="110"/>
      <c r="L48" s="105"/>
      <c r="M48" s="110"/>
      <c r="N48" s="74"/>
      <c r="P48" s="76"/>
      <c r="Q48" s="76"/>
      <c r="R48" s="76"/>
      <c r="S48" s="76"/>
      <c r="T48" s="76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 s="63" customFormat="1" ht="15" customHeight="1" x14ac:dyDescent="0.35">
      <c r="A49" s="95" t="s">
        <v>48</v>
      </c>
      <c r="B49" s="281">
        <f ca="1">'FIRE0508c raw'!B49</f>
        <v>26</v>
      </c>
      <c r="C49" s="281"/>
      <c r="D49" s="281">
        <f ca="1">'FIRE0508c raw'!D49</f>
        <v>3</v>
      </c>
      <c r="E49" s="281">
        <f ca="1">'FIRE0508c raw'!E49</f>
        <v>0</v>
      </c>
      <c r="F49" s="281"/>
      <c r="G49" s="281">
        <f ca="1">'FIRE0508c raw'!G49</f>
        <v>0</v>
      </c>
      <c r="H49" s="95"/>
      <c r="I49" s="105"/>
      <c r="J49" s="110"/>
      <c r="K49" s="110"/>
      <c r="L49" s="105"/>
      <c r="M49" s="110"/>
      <c r="N49" s="74"/>
      <c r="P49" s="76"/>
      <c r="Q49" s="76"/>
      <c r="R49" s="76"/>
      <c r="S49" s="76"/>
      <c r="T49" s="76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 s="63" customFormat="1" ht="15" customHeight="1" x14ac:dyDescent="0.35">
      <c r="A50" s="95" t="s">
        <v>49</v>
      </c>
      <c r="B50" s="281">
        <f ca="1">'FIRE0508c raw'!B50</f>
        <v>8</v>
      </c>
      <c r="C50" s="281"/>
      <c r="D50" s="281">
        <f ca="1">'FIRE0508c raw'!D50</f>
        <v>1</v>
      </c>
      <c r="E50" s="281">
        <f ca="1">'FIRE0508c raw'!E50</f>
        <v>0</v>
      </c>
      <c r="F50" s="281"/>
      <c r="G50" s="281">
        <f ca="1">'FIRE0508c raw'!G50</f>
        <v>0</v>
      </c>
      <c r="H50" s="95"/>
      <c r="I50" s="105"/>
      <c r="J50" s="110"/>
      <c r="K50" s="110"/>
      <c r="L50" s="105"/>
      <c r="M50" s="110"/>
      <c r="N50" s="74"/>
      <c r="P50" s="76"/>
      <c r="Q50" s="76"/>
      <c r="R50" s="76"/>
      <c r="S50" s="76"/>
      <c r="T50" s="76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 s="63" customFormat="1" ht="15" customHeight="1" x14ac:dyDescent="0.35">
      <c r="A51" s="95" t="s">
        <v>50</v>
      </c>
      <c r="B51" s="281">
        <f ca="1">'FIRE0508c raw'!B51</f>
        <v>34</v>
      </c>
      <c r="C51" s="281"/>
      <c r="D51" s="281">
        <f ca="1">'FIRE0508c raw'!D51</f>
        <v>1</v>
      </c>
      <c r="E51" s="281">
        <f ca="1">'FIRE0508c raw'!E51</f>
        <v>0</v>
      </c>
      <c r="F51" s="281"/>
      <c r="G51" s="281">
        <f ca="1">'FIRE0508c raw'!G51</f>
        <v>0</v>
      </c>
      <c r="H51" s="95"/>
      <c r="I51" s="105"/>
      <c r="J51" s="110"/>
      <c r="K51" s="110"/>
      <c r="L51" s="105"/>
      <c r="M51" s="110"/>
      <c r="N51" s="74"/>
      <c r="P51" s="76"/>
      <c r="Q51" s="76"/>
      <c r="R51" s="76"/>
      <c r="S51" s="76"/>
      <c r="T51" s="76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 s="63" customFormat="1" ht="15" customHeight="1" x14ac:dyDescent="0.35">
      <c r="A52" s="113" t="s">
        <v>51</v>
      </c>
      <c r="B52" s="281">
        <f ca="1">'FIRE0508c raw'!B52</f>
        <v>9</v>
      </c>
      <c r="C52" s="281"/>
      <c r="D52" s="281">
        <f ca="1">'FIRE0508c raw'!D52</f>
        <v>1</v>
      </c>
      <c r="E52" s="281">
        <f ca="1">'FIRE0508c raw'!E52</f>
        <v>0</v>
      </c>
      <c r="F52" s="281"/>
      <c r="G52" s="281">
        <f ca="1">'FIRE0508c raw'!G52</f>
        <v>0</v>
      </c>
      <c r="H52" s="95"/>
      <c r="I52" s="105"/>
      <c r="J52" s="110"/>
      <c r="K52" s="110"/>
      <c r="L52" s="105"/>
      <c r="M52" s="110"/>
      <c r="N52" s="74"/>
      <c r="P52" s="76"/>
      <c r="Q52" s="76"/>
      <c r="R52" s="76"/>
      <c r="S52" s="76"/>
      <c r="T52" s="76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 s="63" customFormat="1" ht="15" customHeight="1" x14ac:dyDescent="0.35">
      <c r="A53" s="113" t="s">
        <v>52</v>
      </c>
      <c r="B53" s="281">
        <f ca="1">'FIRE0508c raw'!B53</f>
        <v>35</v>
      </c>
      <c r="C53" s="281"/>
      <c r="D53" s="281">
        <f ca="1">'FIRE0508c raw'!D53</f>
        <v>2</v>
      </c>
      <c r="E53" s="281">
        <f ca="1">'FIRE0508c raw'!E53</f>
        <v>1</v>
      </c>
      <c r="F53" s="281"/>
      <c r="G53" s="281">
        <f ca="1">'FIRE0508c raw'!G53</f>
        <v>0</v>
      </c>
      <c r="H53" s="95"/>
      <c r="I53" s="105"/>
      <c r="J53" s="110"/>
      <c r="K53" s="110"/>
      <c r="L53" s="95"/>
      <c r="M53" s="110"/>
      <c r="N53" s="74"/>
      <c r="P53" s="76"/>
      <c r="Q53" s="76"/>
      <c r="R53" s="76"/>
      <c r="S53" s="76"/>
      <c r="T53" s="76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 s="63" customFormat="1" ht="15" customHeight="1" x14ac:dyDescent="0.35">
      <c r="A54" s="113" t="s">
        <v>53</v>
      </c>
      <c r="B54" s="281">
        <f ca="1">'FIRE0508c raw'!B54</f>
        <v>48</v>
      </c>
      <c r="C54" s="281"/>
      <c r="D54" s="281">
        <f ca="1">'FIRE0508c raw'!D54</f>
        <v>4</v>
      </c>
      <c r="E54" s="281">
        <f ca="1">'FIRE0508c raw'!E54</f>
        <v>1</v>
      </c>
      <c r="F54" s="281"/>
      <c r="G54" s="281">
        <f ca="1">'FIRE0508c raw'!G54</f>
        <v>0</v>
      </c>
      <c r="H54" s="95"/>
      <c r="I54" s="105"/>
      <c r="J54" s="110"/>
      <c r="K54" s="110"/>
      <c r="L54" s="95"/>
      <c r="M54" s="110"/>
      <c r="N54" s="74"/>
      <c r="P54" s="76"/>
      <c r="Q54" s="76"/>
      <c r="R54" s="76"/>
      <c r="S54" s="76"/>
      <c r="T54" s="76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s="63" customFormat="1" ht="15" customHeight="1" thickBot="1" x14ac:dyDescent="0.4">
      <c r="A55" s="106" t="s">
        <v>54</v>
      </c>
      <c r="B55" s="282">
        <f ca="1">'FIRE0508c raw'!B55</f>
        <v>92</v>
      </c>
      <c r="C55" s="282"/>
      <c r="D55" s="282">
        <f ca="1">'FIRE0508c raw'!D55</f>
        <v>18</v>
      </c>
      <c r="E55" s="282">
        <f ca="1">'FIRE0508c raw'!E55</f>
        <v>0</v>
      </c>
      <c r="F55" s="282"/>
      <c r="G55" s="282">
        <f ca="1">'FIRE0508c raw'!G55</f>
        <v>0</v>
      </c>
      <c r="H55" s="95"/>
      <c r="I55" s="105"/>
      <c r="J55" s="110"/>
      <c r="K55" s="110"/>
      <c r="L55" s="95"/>
      <c r="M55" s="110"/>
      <c r="N55" s="74"/>
      <c r="P55" s="76"/>
      <c r="Q55" s="76"/>
      <c r="R55" s="76"/>
      <c r="S55" s="76"/>
      <c r="T55" s="76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ht="14.5" x14ac:dyDescent="0.35">
      <c r="A56" s="95"/>
      <c r="B56" s="95"/>
      <c r="C56" s="95"/>
      <c r="D56" s="95"/>
      <c r="E56" s="95"/>
      <c r="F56" s="95"/>
      <c r="G56" s="95"/>
      <c r="H56" s="95"/>
      <c r="I56" s="95"/>
      <c r="J56" s="110"/>
      <c r="K56" s="110"/>
      <c r="L56" s="95"/>
      <c r="M56" s="110"/>
      <c r="N56" s="74"/>
      <c r="O56" s="74"/>
      <c r="P56" s="74"/>
      <c r="Q56" s="74"/>
      <c r="R56" s="74"/>
      <c r="S56" s="74"/>
      <c r="T56" s="74"/>
    </row>
    <row r="57" spans="1:32" s="63" customFormat="1" ht="15" customHeight="1" x14ac:dyDescent="0.35">
      <c r="A57" s="341" t="s">
        <v>81</v>
      </c>
      <c r="B57" s="341"/>
      <c r="C57" s="341"/>
      <c r="D57" s="341"/>
      <c r="E57" s="341"/>
      <c r="F57" s="341"/>
      <c r="G57" s="341"/>
      <c r="H57" s="95"/>
      <c r="I57" s="95"/>
      <c r="J57" s="110"/>
      <c r="K57" s="110"/>
      <c r="L57" s="95"/>
      <c r="M57" s="110"/>
      <c r="N57" s="74"/>
      <c r="O57" s="74"/>
      <c r="P57" s="74"/>
      <c r="Q57" s="74"/>
      <c r="R57" s="74"/>
      <c r="S57" s="74"/>
      <c r="T57" s="74"/>
    </row>
    <row r="58" spans="1:32" s="63" customFormat="1" ht="90" customHeight="1" x14ac:dyDescent="0.35">
      <c r="A58" s="341" t="s">
        <v>82</v>
      </c>
      <c r="B58" s="341"/>
      <c r="C58" s="341"/>
      <c r="D58" s="341"/>
      <c r="E58" s="341"/>
      <c r="F58" s="341"/>
      <c r="G58" s="341"/>
      <c r="H58" s="95"/>
      <c r="I58" s="95"/>
      <c r="J58" s="110"/>
      <c r="K58" s="110"/>
      <c r="L58" s="95"/>
      <c r="M58" s="110"/>
      <c r="N58" s="74"/>
      <c r="O58" s="74"/>
      <c r="P58" s="74"/>
      <c r="Q58" s="74"/>
      <c r="R58" s="74"/>
      <c r="S58" s="74"/>
      <c r="T58" s="74"/>
    </row>
    <row r="59" spans="1:32" s="63" customFormat="1" ht="15" customHeight="1" x14ac:dyDescent="0.35">
      <c r="A59" s="108"/>
      <c r="B59" s="95"/>
      <c r="C59" s="95"/>
      <c r="D59" s="95"/>
      <c r="E59" s="95"/>
      <c r="F59" s="95"/>
      <c r="G59" s="95"/>
      <c r="H59" s="95"/>
      <c r="I59" s="95"/>
      <c r="J59" s="110"/>
      <c r="K59" s="110"/>
      <c r="L59" s="95"/>
      <c r="M59" s="110"/>
      <c r="N59" s="74"/>
      <c r="O59" s="74"/>
      <c r="P59" s="74"/>
      <c r="Q59" s="74"/>
      <c r="R59" s="74"/>
      <c r="S59" s="74"/>
      <c r="T59" s="74"/>
    </row>
    <row r="60" spans="1:32" s="63" customFormat="1" ht="14.5" x14ac:dyDescent="0.35">
      <c r="A60" s="95" t="s">
        <v>83</v>
      </c>
      <c r="B60" s="112"/>
      <c r="C60" s="112"/>
      <c r="D60" s="112"/>
      <c r="E60" s="112"/>
      <c r="F60" s="112"/>
      <c r="G60" s="112"/>
      <c r="H60" s="95"/>
      <c r="I60" s="95"/>
      <c r="J60" s="110"/>
      <c r="K60" s="110"/>
      <c r="L60" s="95"/>
      <c r="M60" s="110"/>
      <c r="N60" s="74"/>
      <c r="O60" s="74"/>
      <c r="P60" s="74"/>
      <c r="Q60" s="74"/>
      <c r="R60" s="74"/>
      <c r="S60" s="74"/>
      <c r="T60" s="74"/>
    </row>
    <row r="61" spans="1:32" s="63" customFormat="1" ht="15" customHeight="1" x14ac:dyDescent="0.35">
      <c r="A61" s="109" t="s">
        <v>84</v>
      </c>
      <c r="B61" s="111"/>
      <c r="C61" s="111"/>
      <c r="D61" s="111"/>
      <c r="E61" s="111"/>
      <c r="F61" s="111"/>
      <c r="G61" s="111"/>
      <c r="H61" s="95"/>
      <c r="I61" s="95"/>
      <c r="J61" s="110"/>
      <c r="K61" s="110"/>
      <c r="L61" s="95"/>
      <c r="M61" s="110"/>
      <c r="N61" s="74"/>
      <c r="O61" s="74"/>
      <c r="P61" s="74"/>
      <c r="Q61" s="74"/>
      <c r="R61" s="74"/>
      <c r="S61" s="74"/>
      <c r="T61" s="74"/>
    </row>
    <row r="62" spans="1:32" s="63" customFormat="1" ht="15" customHeight="1" x14ac:dyDescent="0.35">
      <c r="A62" s="109"/>
      <c r="B62" s="112"/>
      <c r="C62" s="112"/>
      <c r="D62" s="112"/>
      <c r="E62" s="112"/>
      <c r="F62" s="112"/>
      <c r="G62" s="112"/>
      <c r="H62" s="105"/>
      <c r="I62" s="105"/>
      <c r="J62" s="105"/>
      <c r="K62" s="105"/>
      <c r="L62" s="95"/>
      <c r="M62" s="105"/>
    </row>
    <row r="63" spans="1:32" s="63" customFormat="1" ht="15" customHeight="1" x14ac:dyDescent="0.35">
      <c r="A63" s="111" t="s">
        <v>85</v>
      </c>
      <c r="B63" s="112"/>
      <c r="C63" s="112"/>
      <c r="D63" s="112"/>
      <c r="E63" s="112"/>
      <c r="F63" s="112"/>
      <c r="G63" s="112"/>
      <c r="H63" s="105"/>
      <c r="I63" s="105"/>
      <c r="J63" s="105"/>
      <c r="K63" s="105"/>
      <c r="L63" s="95"/>
      <c r="M63" s="105"/>
    </row>
    <row r="64" spans="1:32" s="63" customFormat="1" ht="15" customHeight="1" x14ac:dyDescent="0.35">
      <c r="A64" s="95"/>
      <c r="B64" s="112"/>
      <c r="C64" s="112"/>
      <c r="D64" s="112"/>
      <c r="E64" s="112"/>
      <c r="F64" s="112"/>
      <c r="G64" s="112"/>
      <c r="H64" s="105"/>
      <c r="I64" s="105"/>
      <c r="J64" s="105"/>
      <c r="K64" s="105"/>
      <c r="L64" s="95"/>
      <c r="M64" s="105"/>
    </row>
    <row r="65" spans="1:13" s="63" customFormat="1" ht="14.65" customHeight="1" x14ac:dyDescent="0.35">
      <c r="A65" s="95" t="s">
        <v>86</v>
      </c>
      <c r="B65" s="112"/>
      <c r="C65" s="112"/>
      <c r="D65" s="112"/>
      <c r="E65" s="340" t="s">
        <v>278</v>
      </c>
      <c r="F65" s="340"/>
      <c r="G65" s="340"/>
      <c r="H65" s="277"/>
      <c r="I65" s="105"/>
      <c r="J65" s="105"/>
      <c r="K65" s="105"/>
      <c r="L65" s="95"/>
      <c r="M65" s="105"/>
    </row>
    <row r="66" spans="1:13" ht="14.5" x14ac:dyDescent="0.35">
      <c r="A66" s="109" t="s">
        <v>152</v>
      </c>
      <c r="B66" s="95"/>
      <c r="C66" s="95"/>
      <c r="D66" s="95"/>
      <c r="E66" s="95"/>
      <c r="F66" s="339" t="s">
        <v>279</v>
      </c>
      <c r="G66" s="339"/>
      <c r="H66" s="278"/>
      <c r="I66" s="95"/>
      <c r="J66" s="95"/>
      <c r="K66" s="95"/>
      <c r="L66" s="95"/>
      <c r="M66" s="95"/>
    </row>
    <row r="67" spans="1:13" s="63" customFormat="1" ht="14.5" x14ac:dyDescent="0.35">
      <c r="A67" s="95"/>
      <c r="B67" s="95"/>
      <c r="C67" s="95"/>
      <c r="D67" s="95"/>
      <c r="E67" s="95"/>
      <c r="F67" s="95"/>
      <c r="G67" s="95"/>
      <c r="H67" s="105"/>
      <c r="I67" s="105"/>
      <c r="J67" s="105"/>
      <c r="K67" s="105"/>
      <c r="L67" s="95"/>
      <c r="M67" s="105"/>
    </row>
    <row r="68" spans="1:13" s="63" customFormat="1" ht="14.5" x14ac:dyDescent="0.35">
      <c r="A68" s="109"/>
      <c r="B68" s="95"/>
      <c r="C68" s="95"/>
      <c r="D68" s="95"/>
      <c r="E68" s="95"/>
      <c r="F68" s="95"/>
      <c r="G68" s="95"/>
      <c r="H68" s="105"/>
      <c r="I68" s="105"/>
      <c r="J68" s="105"/>
      <c r="K68" s="105"/>
      <c r="L68" s="95"/>
      <c r="M68" s="105"/>
    </row>
    <row r="69" spans="1:13" ht="14.5" x14ac:dyDescent="0.35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</row>
    <row r="70" spans="1:13" ht="14.5" x14ac:dyDescent="0.35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4.5" x14ac:dyDescent="0.35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</row>
    <row r="72" spans="1:13" ht="14.5" x14ac:dyDescent="0.35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</row>
    <row r="73" spans="1:13" ht="14.5" x14ac:dyDescent="0.35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</row>
    <row r="74" spans="1:13" ht="14.5" x14ac:dyDescent="0.35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</row>
    <row r="75" spans="1:13" ht="14.5" x14ac:dyDescent="0.35">
      <c r="A75" s="95"/>
      <c r="B75" s="95"/>
      <c r="C75" s="95"/>
      <c r="D75" s="95"/>
      <c r="E75" s="95"/>
      <c r="F75" s="95"/>
      <c r="G75" s="95"/>
      <c r="H75" s="95"/>
      <c r="I75" s="95"/>
      <c r="J75" s="95" t="s">
        <v>70</v>
      </c>
      <c r="K75" s="105"/>
      <c r="L75" s="95"/>
      <c r="M75" s="95"/>
    </row>
    <row r="76" spans="1:13" ht="14.5" x14ac:dyDescent="0.35">
      <c r="A76" s="95"/>
      <c r="B76" s="95"/>
      <c r="C76" s="95"/>
      <c r="D76" s="95"/>
      <c r="E76" s="95"/>
      <c r="F76" s="95"/>
      <c r="G76" s="95"/>
      <c r="H76" s="95"/>
      <c r="I76" s="95"/>
      <c r="J76" s="95" t="s">
        <v>71</v>
      </c>
      <c r="K76" s="95"/>
      <c r="L76" s="95"/>
      <c r="M76" s="95"/>
    </row>
    <row r="77" spans="1:13" ht="14.5" x14ac:dyDescent="0.35">
      <c r="A77" s="95"/>
      <c r="B77" s="95"/>
      <c r="C77" s="95"/>
      <c r="D77" s="95"/>
      <c r="E77" s="95"/>
      <c r="F77" s="95"/>
      <c r="G77" s="95"/>
      <c r="H77" s="95"/>
      <c r="I77" s="95"/>
      <c r="J77" s="95" t="s">
        <v>72</v>
      </c>
      <c r="K77" s="95"/>
      <c r="L77" s="95"/>
      <c r="M77" s="95"/>
    </row>
    <row r="78" spans="1:13" ht="14.5" x14ac:dyDescent="0.35">
      <c r="A78" s="95"/>
      <c r="B78" s="95"/>
      <c r="C78" s="95"/>
      <c r="D78" s="95"/>
      <c r="E78" s="95"/>
      <c r="F78" s="95"/>
      <c r="G78" s="95"/>
      <c r="H78" s="95"/>
      <c r="I78" s="95"/>
      <c r="J78" s="95" t="s">
        <v>73</v>
      </c>
      <c r="K78" s="95"/>
      <c r="L78" s="95"/>
      <c r="M78" s="95"/>
    </row>
    <row r="79" spans="1:13" ht="14.5" x14ac:dyDescent="0.35">
      <c r="A79" s="95"/>
      <c r="B79" s="95"/>
      <c r="C79" s="95"/>
      <c r="D79" s="95"/>
      <c r="E79" s="95"/>
      <c r="F79" s="95"/>
      <c r="G79" s="95"/>
      <c r="H79" s="95"/>
      <c r="I79" s="95"/>
      <c r="J79" s="95" t="s">
        <v>74</v>
      </c>
      <c r="K79" s="95"/>
      <c r="L79" s="95"/>
      <c r="M79" s="95"/>
    </row>
    <row r="80" spans="1:13" ht="14.5" x14ac:dyDescent="0.35">
      <c r="A80" s="95"/>
      <c r="B80" s="95"/>
      <c r="C80" s="95"/>
      <c r="D80" s="95"/>
      <c r="E80" s="95"/>
      <c r="F80" s="95"/>
      <c r="G80" s="95"/>
      <c r="H80" s="95"/>
      <c r="I80" s="95"/>
      <c r="J80" s="95" t="s">
        <v>75</v>
      </c>
      <c r="K80" s="95"/>
      <c r="L80" s="95"/>
      <c r="M80" s="95"/>
    </row>
    <row r="81" spans="1:13" ht="14.5" x14ac:dyDescent="0.35">
      <c r="A81" s="95"/>
      <c r="B81" s="95"/>
      <c r="C81" s="95"/>
      <c r="D81" s="95"/>
      <c r="E81" s="95"/>
      <c r="F81" s="95"/>
      <c r="G81" s="95"/>
      <c r="H81" s="95"/>
      <c r="I81" s="95"/>
      <c r="J81" s="95" t="s">
        <v>76</v>
      </c>
      <c r="K81" s="95"/>
      <c r="L81" s="95"/>
      <c r="M81" s="95"/>
    </row>
    <row r="82" spans="1:13" ht="14.5" x14ac:dyDescent="0.35">
      <c r="A82" s="95"/>
      <c r="B82" s="95"/>
      <c r="C82" s="95"/>
      <c r="D82" s="95"/>
      <c r="E82" s="95"/>
      <c r="F82" s="95"/>
      <c r="G82" s="95"/>
      <c r="H82" s="95"/>
      <c r="I82" s="95"/>
      <c r="J82" s="95" t="s">
        <v>123</v>
      </c>
      <c r="K82" s="95"/>
      <c r="L82" s="95"/>
      <c r="M82" s="95"/>
    </row>
    <row r="83" spans="1:13" ht="14.5" x14ac:dyDescent="0.35">
      <c r="A83" s="95"/>
      <c r="B83" s="95"/>
      <c r="C83" s="95"/>
      <c r="D83" s="95"/>
      <c r="E83" s="95"/>
      <c r="F83" s="95"/>
      <c r="G83" s="95"/>
      <c r="H83" s="95"/>
      <c r="I83" s="95"/>
      <c r="J83" s="95" t="s">
        <v>149</v>
      </c>
      <c r="K83" s="95"/>
      <c r="L83" s="95"/>
      <c r="M83" s="95"/>
    </row>
    <row r="84" spans="1:13" ht="14.5" x14ac:dyDescent="0.35">
      <c r="A84" s="95"/>
      <c r="B84" s="95"/>
      <c r="C84" s="95"/>
      <c r="D84" s="95"/>
      <c r="E84" s="95"/>
      <c r="F84" s="95"/>
      <c r="G84" s="95"/>
      <c r="H84" s="95"/>
      <c r="I84" s="95"/>
      <c r="J84" s="95" t="s">
        <v>277</v>
      </c>
      <c r="K84" s="95"/>
      <c r="L84" s="95"/>
      <c r="M84" s="95"/>
    </row>
    <row r="85" spans="1:13" ht="14.5" x14ac:dyDescent="0.35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</row>
    <row r="86" spans="1:13" ht="14.5" x14ac:dyDescent="0.3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</row>
  </sheetData>
  <mergeCells count="8">
    <mergeCell ref="E65:G65"/>
    <mergeCell ref="F66:G66"/>
    <mergeCell ref="A58:G58"/>
    <mergeCell ref="A1:G1"/>
    <mergeCell ref="B6:B7"/>
    <mergeCell ref="D6:E6"/>
    <mergeCell ref="G6:G7"/>
    <mergeCell ref="A57:G57"/>
  </mergeCells>
  <dataValidations count="1">
    <dataValidation type="list" allowBlank="1" showInputMessage="1" showErrorMessage="1" sqref="A4" xr:uid="{00000000-0002-0000-2A00-000000000000}">
      <formula1>$J$75:$J$84</formula1>
    </dataValidation>
  </dataValidations>
  <hyperlinks>
    <hyperlink ref="A61" r:id="rId1" xr:uid="{00000000-0004-0000-2A00-000000000000}"/>
    <hyperlink ref="A66" r:id="rId2" xr:uid="{37C7558F-FD27-4D6B-A8FA-40D2213459BB}"/>
    <hyperlink ref="E65" r:id="rId3" display="Updated alongside Fire and rescue workforce and pensions statistics" xr:uid="{A5E03C0F-D355-4CA1-A983-F1919033D384}"/>
    <hyperlink ref="F66:G66" r:id="rId4" display="Next Update: Autumn 2020" xr:uid="{24275177-70B7-4AE0-82CE-93F4DE83DC10}"/>
  </hyperlinks>
  <pageMargins left="0.7" right="0.7" top="0.75" bottom="0.75" header="0.3" footer="0.3"/>
  <pageSetup paperSize="9" orientation="portrait"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AF137"/>
  <sheetViews>
    <sheetView workbookViewId="0">
      <pane ySplit="8" topLeftCell="A9" activePane="bottomLeft" state="frozen"/>
      <selection sqref="A1:G1"/>
      <selection pane="bottomLeft" activeCell="A4" sqref="A4"/>
    </sheetView>
  </sheetViews>
  <sheetFormatPr defaultColWidth="9.26953125" defaultRowHeight="13" x14ac:dyDescent="0.3"/>
  <cols>
    <col min="1" max="1" width="65.7265625" style="62" customWidth="1"/>
    <col min="2" max="2" width="17.7265625" style="62" customWidth="1"/>
    <col min="3" max="3" width="5.7265625" style="62" customWidth="1"/>
    <col min="4" max="5" width="17.7265625" style="62" customWidth="1"/>
    <col min="6" max="6" width="5.7265625" style="62" customWidth="1"/>
    <col min="7" max="7" width="17.7265625" style="62" customWidth="1"/>
    <col min="8" max="9" width="9.26953125" style="62" customWidth="1"/>
    <col min="10" max="10" width="9.26953125" style="62" hidden="1" customWidth="1"/>
    <col min="11" max="11" width="9.26953125" style="62" customWidth="1"/>
    <col min="12" max="12" width="10" style="62" customWidth="1"/>
    <col min="13" max="13" width="11.7265625" style="62" customWidth="1"/>
    <col min="14" max="18" width="9.26953125" style="62"/>
    <col min="19" max="19" width="11" style="62" customWidth="1"/>
    <col min="20" max="16384" width="9.26953125" style="62"/>
  </cols>
  <sheetData>
    <row r="1" spans="1:32" s="61" customFormat="1" ht="33" customHeight="1" x14ac:dyDescent="0.5">
      <c r="A1" s="325" t="s">
        <v>118</v>
      </c>
      <c r="B1" s="325"/>
      <c r="C1" s="325"/>
      <c r="D1" s="325"/>
      <c r="E1" s="325"/>
      <c r="F1" s="325"/>
      <c r="G1" s="325"/>
      <c r="H1" s="59"/>
      <c r="I1" s="59"/>
      <c r="J1" s="60"/>
      <c r="K1" s="60"/>
    </row>
    <row r="2" spans="1:32" s="63" customFormat="1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32" s="63" customFormat="1" ht="15" customHeight="1" x14ac:dyDescent="0.3">
      <c r="A3" s="64" t="s">
        <v>66</v>
      </c>
      <c r="B3" s="65"/>
      <c r="C3" s="65"/>
      <c r="D3" s="65"/>
      <c r="E3" s="65"/>
      <c r="F3" s="65"/>
      <c r="G3" s="65"/>
      <c r="H3" s="62"/>
      <c r="I3" s="62"/>
      <c r="J3" s="62"/>
      <c r="K3" s="62"/>
    </row>
    <row r="4" spans="1:32" s="63" customFormat="1" ht="15" customHeight="1" x14ac:dyDescent="0.3">
      <c r="A4" s="280" t="s">
        <v>277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32" s="63" customFormat="1" ht="15" thickBot="1" x14ac:dyDescent="0.4">
      <c r="A5" s="95"/>
      <c r="B5" s="115"/>
      <c r="C5" s="115"/>
      <c r="D5" s="285">
        <f>IF(OR($A$4="2017-18",$A$4="2018-19"),7,3)</f>
        <v>7</v>
      </c>
      <c r="E5" s="115"/>
      <c r="F5" s="115"/>
      <c r="G5" s="115"/>
      <c r="H5" s="95"/>
      <c r="I5" s="95"/>
      <c r="J5" s="119"/>
      <c r="K5" s="119"/>
      <c r="L5" s="105"/>
      <c r="M5" s="119"/>
      <c r="N5" s="119"/>
      <c r="O5" s="105"/>
      <c r="P5" s="119"/>
      <c r="Q5" s="68"/>
      <c r="R5" s="68"/>
      <c r="S5" s="68"/>
      <c r="T5" s="68"/>
      <c r="W5" s="69"/>
    </row>
    <row r="6" spans="1:32" s="63" customFormat="1" ht="17" thickBot="1" x14ac:dyDescent="0.4">
      <c r="A6" s="95"/>
      <c r="B6" s="331" t="s">
        <v>1</v>
      </c>
      <c r="C6" s="96"/>
      <c r="D6" s="342" t="s">
        <v>79</v>
      </c>
      <c r="E6" s="342"/>
      <c r="F6" s="97"/>
      <c r="G6" s="331" t="s">
        <v>117</v>
      </c>
      <c r="H6" s="95"/>
      <c r="I6" s="95"/>
      <c r="J6" s="119"/>
      <c r="K6" s="119"/>
      <c r="L6" s="105"/>
      <c r="M6" s="119"/>
      <c r="N6" s="119"/>
      <c r="O6" s="105"/>
      <c r="P6" s="119"/>
      <c r="Q6" s="68"/>
      <c r="R6" s="68"/>
      <c r="S6" s="68"/>
      <c r="T6" s="68"/>
      <c r="W6" s="69"/>
    </row>
    <row r="7" spans="1:32" s="72" customFormat="1" ht="31.5" thickBot="1" x14ac:dyDescent="0.4">
      <c r="A7" s="98" t="s">
        <v>67</v>
      </c>
      <c r="B7" s="332"/>
      <c r="C7" s="99"/>
      <c r="D7" s="100" t="str">
        <f>_xlfn.CONCAT("Number of 'over ",IF($D$5=7,"7","3")," day' injuries'")</f>
        <v>Number of 'over 7 day' injuries'</v>
      </c>
      <c r="E7" s="100" t="s">
        <v>80</v>
      </c>
      <c r="F7" s="99"/>
      <c r="G7" s="332"/>
      <c r="H7" s="120"/>
      <c r="I7" s="120"/>
      <c r="J7" s="120"/>
      <c r="K7" s="120"/>
      <c r="L7" s="95"/>
      <c r="M7" s="120"/>
      <c r="N7" s="120"/>
      <c r="O7" s="120"/>
      <c r="P7" s="120"/>
    </row>
    <row r="8" spans="1:32" s="63" customFormat="1" ht="15" customHeight="1" x14ac:dyDescent="0.35">
      <c r="A8" s="77" t="s">
        <v>6</v>
      </c>
      <c r="B8" s="73">
        <f ca="1">'FIRE0508d raw'!B8</f>
        <v>551</v>
      </c>
      <c r="C8" s="73"/>
      <c r="D8" s="73">
        <f ca="1">'FIRE0508d raw'!D8</f>
        <v>39</v>
      </c>
      <c r="E8" s="73">
        <f ca="1">'FIRE0508d raw'!E8</f>
        <v>5</v>
      </c>
      <c r="F8" s="73"/>
      <c r="G8" s="73">
        <f ca="1">'FIRE0508d raw'!G8</f>
        <v>0</v>
      </c>
      <c r="H8" s="95"/>
      <c r="I8" s="105"/>
      <c r="J8" s="110"/>
      <c r="K8" s="110"/>
      <c r="L8" s="105"/>
      <c r="M8" s="110"/>
      <c r="N8" s="110"/>
      <c r="O8" s="105"/>
      <c r="P8" s="121"/>
      <c r="Q8" s="76"/>
      <c r="R8" s="76"/>
      <c r="S8" s="76"/>
      <c r="T8" s="76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</row>
    <row r="9" spans="1:32" s="63" customFormat="1" ht="15" customHeight="1" x14ac:dyDescent="0.35">
      <c r="A9" s="101" t="s">
        <v>68</v>
      </c>
      <c r="B9" s="73">
        <f ca="1">'FIRE0508d raw'!B9</f>
        <v>344</v>
      </c>
      <c r="C9" s="73"/>
      <c r="D9" s="73">
        <f ca="1">'FIRE0508d raw'!D9</f>
        <v>23</v>
      </c>
      <c r="E9" s="73">
        <f ca="1">'FIRE0508d raw'!E9</f>
        <v>2</v>
      </c>
      <c r="F9" s="73"/>
      <c r="G9" s="73">
        <f ca="1">'FIRE0508d raw'!G9</f>
        <v>0</v>
      </c>
      <c r="H9" s="95"/>
      <c r="I9" s="105"/>
      <c r="J9" s="110"/>
      <c r="K9" s="110"/>
      <c r="L9" s="105"/>
      <c r="M9" s="110"/>
      <c r="N9" s="110"/>
      <c r="O9" s="105"/>
      <c r="P9" s="121"/>
      <c r="Q9" s="76"/>
      <c r="R9" s="76"/>
      <c r="S9" s="76"/>
      <c r="T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s="63" customFormat="1" ht="15" customHeight="1" x14ac:dyDescent="0.35">
      <c r="A10" s="95" t="s">
        <v>8</v>
      </c>
      <c r="B10" s="281">
        <f ca="1">'FIRE0508d raw'!B10</f>
        <v>20</v>
      </c>
      <c r="C10" s="281"/>
      <c r="D10" s="281">
        <f ca="1">'FIRE0508d raw'!D10</f>
        <v>0</v>
      </c>
      <c r="E10" s="281">
        <f ca="1">'FIRE0508d raw'!E10</f>
        <v>0</v>
      </c>
      <c r="F10" s="281"/>
      <c r="G10" s="281">
        <f ca="1">'FIRE0508d raw'!G10</f>
        <v>0</v>
      </c>
      <c r="H10" s="95"/>
      <c r="I10" s="105"/>
      <c r="J10" s="110"/>
      <c r="K10" s="110"/>
      <c r="L10" s="105"/>
      <c r="M10" s="110"/>
      <c r="N10" s="110"/>
      <c r="O10" s="105"/>
      <c r="P10" s="121"/>
      <c r="Q10" s="76"/>
      <c r="R10" s="76"/>
      <c r="S10" s="76"/>
      <c r="T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s="63" customFormat="1" ht="15" customHeight="1" x14ac:dyDescent="0.35">
      <c r="A11" s="95" t="s">
        <v>9</v>
      </c>
      <c r="B11" s="281">
        <f ca="1">'FIRE0508d raw'!B11</f>
        <v>10</v>
      </c>
      <c r="C11" s="281"/>
      <c r="D11" s="281">
        <f ca="1">'FIRE0508d raw'!D11</f>
        <v>0</v>
      </c>
      <c r="E11" s="281">
        <f ca="1">'FIRE0508d raw'!E11</f>
        <v>0</v>
      </c>
      <c r="F11" s="281"/>
      <c r="G11" s="281">
        <f ca="1">'FIRE0508d raw'!G11</f>
        <v>0</v>
      </c>
      <c r="H11" s="95"/>
      <c r="I11" s="105"/>
      <c r="J11" s="110"/>
      <c r="K11" s="110"/>
      <c r="L11" s="105"/>
      <c r="M11" s="110"/>
      <c r="N11" s="110"/>
      <c r="O11" s="105"/>
      <c r="P11" s="121"/>
      <c r="Q11" s="76"/>
      <c r="R11" s="76"/>
      <c r="S11" s="76"/>
      <c r="T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32" s="63" customFormat="1" ht="15" customHeight="1" x14ac:dyDescent="0.35">
      <c r="A12" s="95" t="s">
        <v>10</v>
      </c>
      <c r="B12" s="281">
        <f ca="1">'FIRE0508d raw'!B12</f>
        <v>12</v>
      </c>
      <c r="C12" s="281"/>
      <c r="D12" s="281">
        <f ca="1">'FIRE0508d raw'!D12</f>
        <v>0</v>
      </c>
      <c r="E12" s="281">
        <f ca="1">'FIRE0508d raw'!E12</f>
        <v>0</v>
      </c>
      <c r="F12" s="281"/>
      <c r="G12" s="281">
        <f ca="1">'FIRE0508d raw'!G12</f>
        <v>0</v>
      </c>
      <c r="H12" s="95"/>
      <c r="I12" s="105"/>
      <c r="J12" s="110"/>
      <c r="K12" s="110"/>
      <c r="L12" s="105"/>
      <c r="M12" s="110"/>
      <c r="N12" s="110"/>
      <c r="O12" s="105"/>
      <c r="P12" s="121"/>
      <c r="Q12" s="76"/>
      <c r="R12" s="76"/>
      <c r="S12" s="76"/>
      <c r="T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63" customFormat="1" ht="15" customHeight="1" x14ac:dyDescent="0.35">
      <c r="A13" s="95" t="s">
        <v>11</v>
      </c>
      <c r="B13" s="281">
        <f ca="1">'FIRE0508d raw'!B13</f>
        <v>10</v>
      </c>
      <c r="C13" s="281"/>
      <c r="D13" s="281">
        <f ca="1">'FIRE0508d raw'!D13</f>
        <v>1</v>
      </c>
      <c r="E13" s="281">
        <f ca="1">'FIRE0508d raw'!E13</f>
        <v>0</v>
      </c>
      <c r="F13" s="281"/>
      <c r="G13" s="281">
        <f ca="1">'FIRE0508d raw'!G13</f>
        <v>0</v>
      </c>
      <c r="H13" s="95"/>
      <c r="I13" s="105"/>
      <c r="J13" s="110"/>
      <c r="K13" s="110"/>
      <c r="L13" s="105"/>
      <c r="M13" s="110"/>
      <c r="N13" s="110"/>
      <c r="O13" s="105"/>
      <c r="P13" s="121"/>
      <c r="Q13" s="76"/>
      <c r="R13" s="76"/>
      <c r="S13" s="76"/>
      <c r="T13" s="76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63" customFormat="1" ht="15" customHeight="1" x14ac:dyDescent="0.35">
      <c r="A14" s="95" t="s">
        <v>12</v>
      </c>
      <c r="B14" s="281">
        <f ca="1">'FIRE0508d raw'!B14</f>
        <v>15</v>
      </c>
      <c r="C14" s="281"/>
      <c r="D14" s="281">
        <f ca="1">'FIRE0508d raw'!D14</f>
        <v>0</v>
      </c>
      <c r="E14" s="281">
        <f ca="1">'FIRE0508d raw'!E14</f>
        <v>0</v>
      </c>
      <c r="F14" s="281"/>
      <c r="G14" s="281">
        <f ca="1">'FIRE0508d raw'!G14</f>
        <v>0</v>
      </c>
      <c r="H14" s="95"/>
      <c r="I14" s="105"/>
      <c r="J14" s="110"/>
      <c r="K14" s="110"/>
      <c r="L14" s="105"/>
      <c r="M14" s="110"/>
      <c r="N14" s="110"/>
      <c r="O14" s="105"/>
      <c r="P14" s="121"/>
      <c r="Q14" s="76"/>
      <c r="R14" s="76"/>
      <c r="S14" s="76"/>
      <c r="T14" s="76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63" customFormat="1" ht="15" customHeight="1" x14ac:dyDescent="0.35">
      <c r="A15" s="95" t="s">
        <v>13</v>
      </c>
      <c r="B15" s="281">
        <f ca="1">'FIRE0508d raw'!B15</f>
        <v>16</v>
      </c>
      <c r="C15" s="281"/>
      <c r="D15" s="281">
        <f ca="1">'FIRE0508d raw'!D15</f>
        <v>0</v>
      </c>
      <c r="E15" s="281">
        <f ca="1">'FIRE0508d raw'!E15</f>
        <v>1</v>
      </c>
      <c r="F15" s="281"/>
      <c r="G15" s="281">
        <f ca="1">'FIRE0508d raw'!G15</f>
        <v>0</v>
      </c>
      <c r="H15" s="95"/>
      <c r="I15" s="105"/>
      <c r="J15" s="110"/>
      <c r="K15" s="110"/>
      <c r="L15" s="105"/>
      <c r="M15" s="110"/>
      <c r="N15" s="110"/>
      <c r="O15" s="105"/>
      <c r="P15" s="121"/>
      <c r="Q15" s="76"/>
      <c r="R15" s="76"/>
      <c r="S15" s="76"/>
      <c r="T15" s="76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 s="63" customFormat="1" ht="15" customHeight="1" x14ac:dyDescent="0.35">
      <c r="A16" s="95" t="s">
        <v>14</v>
      </c>
      <c r="B16" s="281">
        <f ca="1">'FIRE0508d raw'!B16</f>
        <v>5</v>
      </c>
      <c r="C16" s="281"/>
      <c r="D16" s="281">
        <f ca="1">'FIRE0508d raw'!D16</f>
        <v>0</v>
      </c>
      <c r="E16" s="281">
        <f ca="1">'FIRE0508d raw'!E16</f>
        <v>0</v>
      </c>
      <c r="F16" s="281"/>
      <c r="G16" s="281">
        <f ca="1">'FIRE0508d raw'!G16</f>
        <v>0</v>
      </c>
      <c r="H16" s="95"/>
      <c r="I16" s="105"/>
      <c r="J16" s="110"/>
      <c r="K16" s="110"/>
      <c r="L16" s="105"/>
      <c r="M16" s="110"/>
      <c r="N16" s="110"/>
      <c r="O16" s="105"/>
      <c r="P16" s="121"/>
      <c r="Q16" s="76"/>
      <c r="R16" s="76"/>
      <c r="S16" s="76"/>
      <c r="T16" s="76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 s="63" customFormat="1" ht="15" customHeight="1" x14ac:dyDescent="0.35">
      <c r="A17" s="95" t="s">
        <v>15</v>
      </c>
      <c r="B17" s="281">
        <f ca="1">'FIRE0508d raw'!B17</f>
        <v>11</v>
      </c>
      <c r="C17" s="281"/>
      <c r="D17" s="281">
        <f ca="1">'FIRE0508d raw'!D17</f>
        <v>1</v>
      </c>
      <c r="E17" s="281">
        <f ca="1">'FIRE0508d raw'!E17</f>
        <v>1</v>
      </c>
      <c r="F17" s="281"/>
      <c r="G17" s="281">
        <f ca="1">'FIRE0508d raw'!G17</f>
        <v>0</v>
      </c>
      <c r="H17" s="95"/>
      <c r="I17" s="105"/>
      <c r="J17" s="110"/>
      <c r="K17" s="110"/>
      <c r="L17" s="105"/>
      <c r="M17" s="110"/>
      <c r="N17" s="110"/>
      <c r="O17" s="105"/>
      <c r="P17" s="121"/>
      <c r="Q17" s="76"/>
      <c r="R17" s="76"/>
      <c r="S17" s="76"/>
      <c r="T17" s="76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 s="63" customFormat="1" ht="15" customHeight="1" x14ac:dyDescent="0.35">
      <c r="A18" s="104" t="s">
        <v>16</v>
      </c>
      <c r="B18" s="281">
        <f ca="1">'FIRE0508d raw'!B18</f>
        <v>6</v>
      </c>
      <c r="C18" s="281"/>
      <c r="D18" s="281">
        <f ca="1">'FIRE0508d raw'!D18</f>
        <v>0</v>
      </c>
      <c r="E18" s="281">
        <f ca="1">'FIRE0508d raw'!E18</f>
        <v>0</v>
      </c>
      <c r="F18" s="281"/>
      <c r="G18" s="281">
        <f ca="1">'FIRE0508d raw'!G18</f>
        <v>0</v>
      </c>
      <c r="H18" s="95"/>
      <c r="I18" s="105"/>
      <c r="J18" s="110"/>
      <c r="K18" s="110"/>
      <c r="L18" s="105"/>
      <c r="M18" s="110"/>
      <c r="N18" s="110"/>
      <c r="O18" s="105"/>
      <c r="P18" s="121"/>
      <c r="Q18" s="76"/>
      <c r="R18" s="76"/>
      <c r="S18" s="76"/>
      <c r="T18" s="76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 s="63" customFormat="1" ht="15" customHeight="1" x14ac:dyDescent="0.35">
      <c r="A19" s="104" t="s">
        <v>17</v>
      </c>
      <c r="B19" s="281">
        <f ca="1">'FIRE0508d raw'!B19</f>
        <v>10</v>
      </c>
      <c r="C19" s="281"/>
      <c r="D19" s="281">
        <f ca="1">'FIRE0508d raw'!D19</f>
        <v>1</v>
      </c>
      <c r="E19" s="281">
        <f ca="1">'FIRE0508d raw'!E19</f>
        <v>0</v>
      </c>
      <c r="F19" s="281"/>
      <c r="G19" s="281">
        <f ca="1">'FIRE0508d raw'!G19</f>
        <v>0</v>
      </c>
      <c r="H19" s="95"/>
      <c r="I19" s="105"/>
      <c r="J19" s="110"/>
      <c r="K19" s="110"/>
      <c r="L19" s="105"/>
      <c r="M19" s="110"/>
      <c r="N19" s="110"/>
      <c r="O19" s="105"/>
      <c r="P19" s="121"/>
      <c r="Q19" s="76"/>
      <c r="R19" s="76"/>
      <c r="S19" s="76"/>
      <c r="T19" s="76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 s="63" customFormat="1" ht="15" customHeight="1" x14ac:dyDescent="0.35">
      <c r="A20" s="95" t="s">
        <v>18</v>
      </c>
      <c r="B20" s="281">
        <f ca="1">'FIRE0508d raw'!B20</f>
        <v>4</v>
      </c>
      <c r="C20" s="281"/>
      <c r="D20" s="281">
        <f ca="1">'FIRE0508d raw'!D20</f>
        <v>1</v>
      </c>
      <c r="E20" s="281">
        <f ca="1">'FIRE0508d raw'!E20</f>
        <v>0</v>
      </c>
      <c r="F20" s="281"/>
      <c r="G20" s="281">
        <f ca="1">'FIRE0508d raw'!G20</f>
        <v>0</v>
      </c>
      <c r="H20" s="95"/>
      <c r="I20" s="105"/>
      <c r="J20" s="110"/>
      <c r="K20" s="110"/>
      <c r="L20" s="105"/>
      <c r="M20" s="110"/>
      <c r="N20" s="110"/>
      <c r="O20" s="105"/>
      <c r="P20" s="121"/>
      <c r="Q20" s="76"/>
      <c r="R20" s="76"/>
      <c r="S20" s="76"/>
      <c r="T20" s="76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 s="63" customFormat="1" ht="15" customHeight="1" x14ac:dyDescent="0.35">
      <c r="A21" s="95" t="s">
        <v>122</v>
      </c>
      <c r="B21" s="281">
        <f ca="1">'FIRE0508d raw'!B21</f>
        <v>10</v>
      </c>
      <c r="C21" s="281"/>
      <c r="D21" s="281">
        <f ca="1">'FIRE0508d raw'!D21</f>
        <v>0</v>
      </c>
      <c r="E21" s="281">
        <f ca="1">'FIRE0508d raw'!E21</f>
        <v>0</v>
      </c>
      <c r="F21" s="281"/>
      <c r="G21" s="281">
        <f ca="1">'FIRE0508d raw'!G21</f>
        <v>0</v>
      </c>
      <c r="H21" s="95"/>
      <c r="I21" s="105"/>
      <c r="J21" s="110"/>
      <c r="K21" s="110"/>
      <c r="L21" s="105"/>
      <c r="M21" s="110"/>
      <c r="N21" s="110"/>
      <c r="O21" s="105"/>
      <c r="P21" s="121"/>
      <c r="Q21" s="76"/>
      <c r="R21" s="76"/>
      <c r="S21" s="76"/>
      <c r="T21" s="76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 s="63" customFormat="1" ht="15" customHeight="1" x14ac:dyDescent="0.35">
      <c r="A22" s="95" t="s">
        <v>20</v>
      </c>
      <c r="B22" s="281">
        <f ca="1">'FIRE0508d raw'!B22</f>
        <v>5</v>
      </c>
      <c r="C22" s="281"/>
      <c r="D22" s="281">
        <f ca="1">'FIRE0508d raw'!D22</f>
        <v>0</v>
      </c>
      <c r="E22" s="281">
        <f ca="1">'FIRE0508d raw'!E22</f>
        <v>0</v>
      </c>
      <c r="F22" s="281"/>
      <c r="G22" s="281">
        <f ca="1">'FIRE0508d raw'!G22</f>
        <v>0</v>
      </c>
      <c r="H22" s="95"/>
      <c r="I22" s="105"/>
      <c r="J22" s="110"/>
      <c r="K22" s="110"/>
      <c r="L22" s="105"/>
      <c r="M22" s="110"/>
      <c r="N22" s="110"/>
      <c r="O22" s="105"/>
      <c r="P22" s="121"/>
      <c r="Q22" s="76"/>
      <c r="R22" s="76"/>
      <c r="S22" s="76"/>
      <c r="T22" s="76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s="63" customFormat="1" ht="15" customHeight="1" x14ac:dyDescent="0.35">
      <c r="A23" s="95" t="s">
        <v>21</v>
      </c>
      <c r="B23" s="281">
        <f ca="1">'FIRE0508d raw'!B23</f>
        <v>12</v>
      </c>
      <c r="C23" s="281"/>
      <c r="D23" s="281">
        <f ca="1">'FIRE0508d raw'!D23</f>
        <v>3</v>
      </c>
      <c r="E23" s="281">
        <f ca="1">'FIRE0508d raw'!E23</f>
        <v>0</v>
      </c>
      <c r="F23" s="281"/>
      <c r="G23" s="281">
        <f ca="1">'FIRE0508d raw'!G23</f>
        <v>0</v>
      </c>
      <c r="H23" s="95"/>
      <c r="I23" s="105"/>
      <c r="J23" s="110"/>
      <c r="K23" s="110"/>
      <c r="L23" s="105"/>
      <c r="M23" s="110"/>
      <c r="N23" s="110"/>
      <c r="O23" s="105"/>
      <c r="P23" s="121"/>
      <c r="Q23" s="76"/>
      <c r="R23" s="76"/>
      <c r="S23" s="76"/>
      <c r="T23" s="76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s="63" customFormat="1" ht="15" customHeight="1" x14ac:dyDescent="0.35">
      <c r="A24" s="95" t="s">
        <v>22</v>
      </c>
      <c r="B24" s="281">
        <f ca="1">'FIRE0508d raw'!B24</f>
        <v>20</v>
      </c>
      <c r="C24" s="281"/>
      <c r="D24" s="281">
        <f ca="1">'FIRE0508d raw'!D24</f>
        <v>1</v>
      </c>
      <c r="E24" s="281">
        <f ca="1">'FIRE0508d raw'!E24</f>
        <v>0</v>
      </c>
      <c r="F24" s="281"/>
      <c r="G24" s="281">
        <f ca="1">'FIRE0508d raw'!G24</f>
        <v>0</v>
      </c>
      <c r="H24" s="95"/>
      <c r="I24" s="105"/>
      <c r="J24" s="110"/>
      <c r="K24" s="110"/>
      <c r="L24" s="105"/>
      <c r="M24" s="110"/>
      <c r="N24" s="110"/>
      <c r="O24" s="105"/>
      <c r="P24" s="121"/>
      <c r="Q24" s="76"/>
      <c r="R24" s="76"/>
      <c r="S24" s="76"/>
      <c r="T24" s="76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s="63" customFormat="1" ht="15" customHeight="1" x14ac:dyDescent="0.35">
      <c r="A25" s="95" t="s">
        <v>23</v>
      </c>
      <c r="B25" s="281">
        <f ca="1">'FIRE0508d raw'!B25</f>
        <v>9</v>
      </c>
      <c r="C25" s="281"/>
      <c r="D25" s="281">
        <f ca="1">'FIRE0508d raw'!D25</f>
        <v>0</v>
      </c>
      <c r="E25" s="281">
        <f ca="1">'FIRE0508d raw'!E25</f>
        <v>0</v>
      </c>
      <c r="F25" s="281"/>
      <c r="G25" s="281">
        <f ca="1">'FIRE0508d raw'!G25</f>
        <v>0</v>
      </c>
      <c r="H25" s="95"/>
      <c r="I25" s="105"/>
      <c r="J25" s="110"/>
      <c r="K25" s="110"/>
      <c r="L25" s="105"/>
      <c r="M25" s="110"/>
      <c r="N25" s="110"/>
      <c r="O25" s="105"/>
      <c r="P25" s="121"/>
      <c r="Q25" s="76"/>
      <c r="R25" s="76"/>
      <c r="S25" s="76"/>
      <c r="T25" s="76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s="63" customFormat="1" ht="15" customHeight="1" x14ac:dyDescent="0.35">
      <c r="A26" s="95" t="s">
        <v>24</v>
      </c>
      <c r="B26" s="281">
        <f ca="1">'FIRE0508d raw'!B26</f>
        <v>4</v>
      </c>
      <c r="C26" s="281"/>
      <c r="D26" s="281">
        <f ca="1">'FIRE0508d raw'!D26</f>
        <v>2</v>
      </c>
      <c r="E26" s="281">
        <f ca="1">'FIRE0508d raw'!E26</f>
        <v>0</v>
      </c>
      <c r="F26" s="281"/>
      <c r="G26" s="281">
        <f ca="1">'FIRE0508d raw'!G26</f>
        <v>0</v>
      </c>
      <c r="H26" s="95"/>
      <c r="I26" s="105"/>
      <c r="J26" s="110"/>
      <c r="K26" s="110"/>
      <c r="L26" s="105"/>
      <c r="M26" s="110"/>
      <c r="N26" s="110"/>
      <c r="O26" s="105"/>
      <c r="P26" s="121"/>
      <c r="Q26" s="76"/>
      <c r="R26" s="76"/>
      <c r="S26" s="76"/>
      <c r="T26" s="76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s="63" customFormat="1" ht="15" customHeight="1" x14ac:dyDescent="0.35">
      <c r="A27" s="95" t="s">
        <v>25</v>
      </c>
      <c r="B27" s="281">
        <f ca="1">'FIRE0508d raw'!B27</f>
        <v>8</v>
      </c>
      <c r="C27" s="281"/>
      <c r="D27" s="281">
        <f ca="1">'FIRE0508d raw'!D27</f>
        <v>0</v>
      </c>
      <c r="E27" s="281">
        <f ca="1">'FIRE0508d raw'!E27</f>
        <v>0</v>
      </c>
      <c r="F27" s="281"/>
      <c r="G27" s="281">
        <f ca="1">'FIRE0508d raw'!G27</f>
        <v>0</v>
      </c>
      <c r="H27" s="95"/>
      <c r="I27" s="105"/>
      <c r="J27" s="110"/>
      <c r="K27" s="110"/>
      <c r="L27" s="105"/>
      <c r="M27" s="110"/>
      <c r="N27" s="110"/>
      <c r="O27" s="105"/>
      <c r="P27" s="121"/>
      <c r="Q27" s="76"/>
      <c r="R27" s="76"/>
      <c r="S27" s="76"/>
      <c r="T27" s="76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s="63" customFormat="1" ht="15" customHeight="1" x14ac:dyDescent="0.35">
      <c r="A28" s="95" t="s">
        <v>26</v>
      </c>
      <c r="B28" s="281">
        <f ca="1">'FIRE0508d raw'!B28</f>
        <v>4</v>
      </c>
      <c r="C28" s="281"/>
      <c r="D28" s="281">
        <f ca="1">'FIRE0508d raw'!D28</f>
        <v>0</v>
      </c>
      <c r="E28" s="281">
        <f ca="1">'FIRE0508d raw'!E28</f>
        <v>0</v>
      </c>
      <c r="F28" s="281"/>
      <c r="G28" s="281">
        <f ca="1">'FIRE0508d raw'!G28</f>
        <v>0</v>
      </c>
      <c r="H28" s="95"/>
      <c r="I28" s="105"/>
      <c r="J28" s="110"/>
      <c r="K28" s="110"/>
      <c r="L28" s="105"/>
      <c r="M28" s="110"/>
      <c r="N28" s="110"/>
      <c r="O28" s="105"/>
      <c r="P28" s="121"/>
      <c r="Q28" s="76"/>
      <c r="R28" s="76"/>
      <c r="S28" s="76"/>
      <c r="T28" s="76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s="63" customFormat="1" ht="15" customHeight="1" x14ac:dyDescent="0.35">
      <c r="A29" s="95" t="s">
        <v>27</v>
      </c>
      <c r="B29" s="281">
        <f ca="1">'FIRE0508d raw'!B29</f>
        <v>11</v>
      </c>
      <c r="C29" s="281"/>
      <c r="D29" s="281">
        <f ca="1">'FIRE0508d raw'!D29</f>
        <v>1</v>
      </c>
      <c r="E29" s="281">
        <f ca="1">'FIRE0508d raw'!E29</f>
        <v>0</v>
      </c>
      <c r="F29" s="281"/>
      <c r="G29" s="281">
        <f ca="1">'FIRE0508d raw'!G29</f>
        <v>0</v>
      </c>
      <c r="H29" s="95"/>
      <c r="I29" s="105"/>
      <c r="J29" s="110"/>
      <c r="K29" s="110"/>
      <c r="L29" s="105"/>
      <c r="M29" s="110"/>
      <c r="N29" s="110"/>
      <c r="O29" s="105"/>
      <c r="P29" s="121"/>
      <c r="Q29" s="76"/>
      <c r="R29" s="76"/>
      <c r="S29" s="76"/>
      <c r="T29" s="76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s="63" customFormat="1" ht="15" customHeight="1" x14ac:dyDescent="0.35">
      <c r="A30" s="105" t="s">
        <v>28</v>
      </c>
      <c r="B30" s="281">
        <f ca="1">'FIRE0508d raw'!B30</f>
        <v>2</v>
      </c>
      <c r="C30" s="281"/>
      <c r="D30" s="281">
        <f ca="1">'FIRE0508d raw'!D30</f>
        <v>0</v>
      </c>
      <c r="E30" s="281">
        <f ca="1">'FIRE0508d raw'!E30</f>
        <v>0</v>
      </c>
      <c r="F30" s="281"/>
      <c r="G30" s="281">
        <f ca="1">'FIRE0508d raw'!G30</f>
        <v>0</v>
      </c>
      <c r="H30" s="95"/>
      <c r="I30" s="105"/>
      <c r="J30" s="110"/>
      <c r="K30" s="110"/>
      <c r="L30" s="105"/>
      <c r="M30" s="110"/>
      <c r="N30" s="110"/>
      <c r="O30" s="105"/>
      <c r="P30" s="121"/>
      <c r="Q30" s="76"/>
      <c r="R30" s="76"/>
      <c r="S30" s="76"/>
      <c r="T30" s="76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s="63" customFormat="1" ht="15" customHeight="1" x14ac:dyDescent="0.35">
      <c r="A31" s="105" t="s">
        <v>29</v>
      </c>
      <c r="B31" s="281">
        <f ca="1">'FIRE0508d raw'!B31</f>
        <v>16</v>
      </c>
      <c r="C31" s="281"/>
      <c r="D31" s="281">
        <f ca="1">'FIRE0508d raw'!D31</f>
        <v>2</v>
      </c>
      <c r="E31" s="281">
        <f ca="1">'FIRE0508d raw'!E31</f>
        <v>0</v>
      </c>
      <c r="F31" s="281"/>
      <c r="G31" s="281">
        <f ca="1">'FIRE0508d raw'!G31</f>
        <v>0</v>
      </c>
      <c r="H31" s="95"/>
      <c r="I31" s="105"/>
      <c r="J31" s="110"/>
      <c r="K31" s="110"/>
      <c r="L31" s="105"/>
      <c r="M31" s="110"/>
      <c r="N31" s="110"/>
      <c r="O31" s="105"/>
      <c r="P31" s="121"/>
      <c r="Q31" s="76"/>
      <c r="R31" s="76"/>
      <c r="S31" s="76"/>
      <c r="T31" s="76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s="63" customFormat="1" ht="15" customHeight="1" x14ac:dyDescent="0.35">
      <c r="A32" s="95" t="s">
        <v>30</v>
      </c>
      <c r="B32" s="281">
        <f ca="1">'FIRE0508d raw'!B32</f>
        <v>15</v>
      </c>
      <c r="C32" s="281"/>
      <c r="D32" s="281">
        <f ca="1">'FIRE0508d raw'!D32</f>
        <v>1</v>
      </c>
      <c r="E32" s="281">
        <f ca="1">'FIRE0508d raw'!E32</f>
        <v>0</v>
      </c>
      <c r="F32" s="281"/>
      <c r="G32" s="281">
        <f ca="1">'FIRE0508d raw'!G32</f>
        <v>0</v>
      </c>
      <c r="H32" s="95"/>
      <c r="I32" s="105"/>
      <c r="J32" s="110"/>
      <c r="K32" s="110"/>
      <c r="L32" s="105"/>
      <c r="M32" s="110"/>
      <c r="N32" s="110"/>
      <c r="O32" s="105"/>
      <c r="P32" s="121"/>
      <c r="Q32" s="76"/>
      <c r="R32" s="76"/>
      <c r="S32" s="76"/>
      <c r="T32" s="76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s="63" customFormat="1" ht="15" customHeight="1" x14ac:dyDescent="0.35">
      <c r="A33" s="105" t="s">
        <v>31</v>
      </c>
      <c r="B33" s="281">
        <f ca="1">'FIRE0508d raw'!B33</f>
        <v>17</v>
      </c>
      <c r="C33" s="281"/>
      <c r="D33" s="281">
        <f ca="1">'FIRE0508d raw'!D33</f>
        <v>0</v>
      </c>
      <c r="E33" s="281">
        <f ca="1">'FIRE0508d raw'!E33</f>
        <v>0</v>
      </c>
      <c r="F33" s="281"/>
      <c r="G33" s="281">
        <f ca="1">'FIRE0508d raw'!G33</f>
        <v>0</v>
      </c>
      <c r="H33" s="95"/>
      <c r="I33" s="105"/>
      <c r="J33" s="110"/>
      <c r="K33" s="110"/>
      <c r="L33" s="105"/>
      <c r="M33" s="110"/>
      <c r="N33" s="110"/>
      <c r="O33" s="105"/>
      <c r="P33" s="121"/>
      <c r="Q33" s="76"/>
      <c r="R33" s="76"/>
      <c r="S33" s="76"/>
      <c r="T33" s="76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s="63" customFormat="1" ht="15" customHeight="1" x14ac:dyDescent="0.35">
      <c r="A34" s="105" t="s">
        <v>32</v>
      </c>
      <c r="B34" s="281">
        <f ca="1">'FIRE0508d raw'!B34</f>
        <v>8</v>
      </c>
      <c r="C34" s="281"/>
      <c r="D34" s="281">
        <f ca="1">'FIRE0508d raw'!D34</f>
        <v>0</v>
      </c>
      <c r="E34" s="281">
        <f ca="1">'FIRE0508d raw'!E34</f>
        <v>0</v>
      </c>
      <c r="F34" s="281"/>
      <c r="G34" s="281">
        <f ca="1">'FIRE0508d raw'!G34</f>
        <v>0</v>
      </c>
      <c r="H34" s="95"/>
      <c r="I34" s="105"/>
      <c r="J34" s="110"/>
      <c r="K34" s="110"/>
      <c r="L34" s="105"/>
      <c r="M34" s="110"/>
      <c r="N34" s="110"/>
      <c r="O34" s="105"/>
      <c r="P34" s="121"/>
      <c r="Q34" s="76"/>
      <c r="R34" s="76"/>
      <c r="S34" s="76"/>
      <c r="T34" s="76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s="63" customFormat="1" ht="15" customHeight="1" x14ac:dyDescent="0.35">
      <c r="A35" s="95" t="s">
        <v>33</v>
      </c>
      <c r="B35" s="281">
        <f ca="1">'FIRE0508d raw'!B35</f>
        <v>4</v>
      </c>
      <c r="C35" s="281"/>
      <c r="D35" s="281">
        <f ca="1">'FIRE0508d raw'!D35</f>
        <v>0</v>
      </c>
      <c r="E35" s="281">
        <f ca="1">'FIRE0508d raw'!E35</f>
        <v>0</v>
      </c>
      <c r="F35" s="281"/>
      <c r="G35" s="281">
        <f ca="1">'FIRE0508d raw'!G35</f>
        <v>0</v>
      </c>
      <c r="H35" s="95"/>
      <c r="I35" s="105"/>
      <c r="J35" s="110"/>
      <c r="K35" s="110"/>
      <c r="L35" s="105"/>
      <c r="M35" s="110"/>
      <c r="N35" s="110"/>
      <c r="O35" s="105"/>
      <c r="P35" s="121"/>
      <c r="Q35" s="76"/>
      <c r="R35" s="76"/>
      <c r="S35" s="76"/>
      <c r="T35" s="76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s="63" customFormat="1" ht="15" customHeight="1" x14ac:dyDescent="0.35">
      <c r="A36" s="105" t="s">
        <v>34</v>
      </c>
      <c r="B36" s="281">
        <f ca="1">'FIRE0508d raw'!B36</f>
        <v>6</v>
      </c>
      <c r="C36" s="281"/>
      <c r="D36" s="281">
        <f ca="1">'FIRE0508d raw'!D36</f>
        <v>0</v>
      </c>
      <c r="E36" s="281">
        <f ca="1">'FIRE0508d raw'!E36</f>
        <v>0</v>
      </c>
      <c r="F36" s="281"/>
      <c r="G36" s="281">
        <f ca="1">'FIRE0508d raw'!G36</f>
        <v>0</v>
      </c>
      <c r="H36" s="95"/>
      <c r="I36" s="105"/>
      <c r="J36" s="110"/>
      <c r="K36" s="110"/>
      <c r="L36" s="105"/>
      <c r="M36" s="110"/>
      <c r="N36" s="110"/>
      <c r="O36" s="105"/>
      <c r="P36" s="121"/>
      <c r="Q36" s="76"/>
      <c r="R36" s="76"/>
      <c r="S36" s="76"/>
      <c r="T36" s="76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s="63" customFormat="1" ht="15" customHeight="1" x14ac:dyDescent="0.35">
      <c r="A37" s="105" t="s">
        <v>35</v>
      </c>
      <c r="B37" s="281">
        <f ca="1">'FIRE0508d raw'!B37</f>
        <v>13</v>
      </c>
      <c r="C37" s="281"/>
      <c r="D37" s="281">
        <f ca="1">'FIRE0508d raw'!D37</f>
        <v>0</v>
      </c>
      <c r="E37" s="281">
        <f ca="1">'FIRE0508d raw'!E37</f>
        <v>0</v>
      </c>
      <c r="F37" s="281"/>
      <c r="G37" s="281">
        <f ca="1">'FIRE0508d raw'!G37</f>
        <v>0</v>
      </c>
      <c r="H37" s="95"/>
      <c r="I37" s="105"/>
      <c r="J37" s="110"/>
      <c r="K37" s="110"/>
      <c r="L37" s="105"/>
      <c r="M37" s="110"/>
      <c r="N37" s="110"/>
      <c r="O37" s="105"/>
      <c r="P37" s="121"/>
      <c r="Q37" s="76"/>
      <c r="R37" s="76"/>
      <c r="S37" s="76"/>
      <c r="T37" s="76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s="63" customFormat="1" ht="15" customHeight="1" x14ac:dyDescent="0.35">
      <c r="A38" s="105" t="s">
        <v>36</v>
      </c>
      <c r="B38" s="281">
        <f ca="1">'FIRE0508d raw'!B38</f>
        <v>6</v>
      </c>
      <c r="C38" s="281"/>
      <c r="D38" s="281">
        <f ca="1">'FIRE0508d raw'!D38</f>
        <v>1</v>
      </c>
      <c r="E38" s="281">
        <f ca="1">'FIRE0508d raw'!E38</f>
        <v>0</v>
      </c>
      <c r="F38" s="281"/>
      <c r="G38" s="281">
        <f ca="1">'FIRE0508d raw'!G38</f>
        <v>0</v>
      </c>
      <c r="H38" s="95"/>
      <c r="I38" s="105"/>
      <c r="J38" s="110"/>
      <c r="K38" s="110"/>
      <c r="L38" s="105"/>
      <c r="M38" s="110"/>
      <c r="N38" s="110"/>
      <c r="O38" s="105"/>
      <c r="P38" s="121"/>
      <c r="Q38" s="76"/>
      <c r="R38" s="76"/>
      <c r="S38" s="76"/>
      <c r="T38" s="76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s="63" customFormat="1" ht="15" customHeight="1" x14ac:dyDescent="0.35">
      <c r="A39" s="95" t="s">
        <v>37</v>
      </c>
      <c r="B39" s="281">
        <f ca="1">'FIRE0508d raw'!B39</f>
        <v>4</v>
      </c>
      <c r="C39" s="281"/>
      <c r="D39" s="281">
        <f ca="1">'FIRE0508d raw'!D39</f>
        <v>0</v>
      </c>
      <c r="E39" s="281">
        <f ca="1">'FIRE0508d raw'!E39</f>
        <v>0</v>
      </c>
      <c r="F39" s="281"/>
      <c r="G39" s="281">
        <f ca="1">'FIRE0508d raw'!G39</f>
        <v>0</v>
      </c>
      <c r="H39" s="95"/>
      <c r="I39" s="105"/>
      <c r="J39" s="110"/>
      <c r="K39" s="110"/>
      <c r="L39" s="105"/>
      <c r="M39" s="110"/>
      <c r="N39" s="110"/>
      <c r="O39" s="105"/>
      <c r="P39" s="121"/>
      <c r="Q39" s="76"/>
      <c r="R39" s="76"/>
      <c r="S39" s="76"/>
      <c r="T39" s="76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s="63" customFormat="1" ht="15" customHeight="1" x14ac:dyDescent="0.35">
      <c r="A40" s="95" t="s">
        <v>38</v>
      </c>
      <c r="B40" s="281">
        <f ca="1">'FIRE0508d raw'!B40</f>
        <v>3</v>
      </c>
      <c r="C40" s="281"/>
      <c r="D40" s="281">
        <f ca="1">'FIRE0508d raw'!D40</f>
        <v>0</v>
      </c>
      <c r="E40" s="281">
        <f ca="1">'FIRE0508d raw'!E40</f>
        <v>0</v>
      </c>
      <c r="F40" s="281"/>
      <c r="G40" s="281">
        <f ca="1">'FIRE0508d raw'!G40</f>
        <v>0</v>
      </c>
      <c r="H40" s="95"/>
      <c r="I40" s="105"/>
      <c r="J40" s="110"/>
      <c r="K40" s="110"/>
      <c r="L40" s="105"/>
      <c r="M40" s="110"/>
      <c r="N40" s="110"/>
      <c r="O40" s="105"/>
      <c r="P40" s="121"/>
      <c r="Q40" s="76"/>
      <c r="R40" s="76"/>
      <c r="S40" s="76"/>
      <c r="T40" s="76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s="63" customFormat="1" ht="15" customHeight="1" x14ac:dyDescent="0.35">
      <c r="A41" s="95" t="s">
        <v>39</v>
      </c>
      <c r="B41" s="281">
        <f ca="1">'FIRE0508d raw'!B41</f>
        <v>15</v>
      </c>
      <c r="C41" s="281"/>
      <c r="D41" s="281">
        <f ca="1">'FIRE0508d raw'!D41</f>
        <v>1</v>
      </c>
      <c r="E41" s="281">
        <f ca="1">'FIRE0508d raw'!E41</f>
        <v>0</v>
      </c>
      <c r="F41" s="281"/>
      <c r="G41" s="281">
        <f ca="1">'FIRE0508d raw'!G41</f>
        <v>0</v>
      </c>
      <c r="H41" s="95"/>
      <c r="I41" s="105"/>
      <c r="J41" s="110"/>
      <c r="K41" s="110"/>
      <c r="L41" s="105"/>
      <c r="M41" s="110"/>
      <c r="N41" s="110"/>
      <c r="O41" s="105"/>
      <c r="P41" s="121"/>
      <c r="Q41" s="76"/>
      <c r="R41" s="76"/>
      <c r="S41" s="76"/>
      <c r="T41" s="76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s="63" customFormat="1" ht="15" customHeight="1" x14ac:dyDescent="0.35">
      <c r="A42" s="95" t="s">
        <v>40</v>
      </c>
      <c r="B42" s="281">
        <f ca="1">'FIRE0508d raw'!B42</f>
        <v>11</v>
      </c>
      <c r="C42" s="281"/>
      <c r="D42" s="281">
        <f ca="1">'FIRE0508d raw'!D42</f>
        <v>0</v>
      </c>
      <c r="E42" s="281">
        <f ca="1">'FIRE0508d raw'!E42</f>
        <v>0</v>
      </c>
      <c r="F42" s="281"/>
      <c r="G42" s="281">
        <f ca="1">'FIRE0508d raw'!G42</f>
        <v>0</v>
      </c>
      <c r="H42" s="95"/>
      <c r="I42" s="105"/>
      <c r="J42" s="110"/>
      <c r="K42" s="110"/>
      <c r="L42" s="105"/>
      <c r="M42" s="110"/>
      <c r="N42" s="110"/>
      <c r="O42" s="105"/>
      <c r="P42" s="121"/>
      <c r="Q42" s="76"/>
      <c r="R42" s="76"/>
      <c r="S42" s="76"/>
      <c r="T42" s="76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s="63" customFormat="1" ht="15" customHeight="1" x14ac:dyDescent="0.35">
      <c r="A43" s="95" t="s">
        <v>41</v>
      </c>
      <c r="B43" s="281">
        <f ca="1">'FIRE0508d raw'!B43</f>
        <v>3</v>
      </c>
      <c r="C43" s="281"/>
      <c r="D43" s="281">
        <f ca="1">'FIRE0508d raw'!D43</f>
        <v>1</v>
      </c>
      <c r="E43" s="281">
        <f ca="1">'FIRE0508d raw'!E43</f>
        <v>0</v>
      </c>
      <c r="F43" s="281"/>
      <c r="G43" s="281">
        <f ca="1">'FIRE0508d raw'!G43</f>
        <v>0</v>
      </c>
      <c r="H43" s="95"/>
      <c r="I43" s="105"/>
      <c r="J43" s="110"/>
      <c r="K43" s="110"/>
      <c r="L43" s="105"/>
      <c r="M43" s="110"/>
      <c r="N43" s="110"/>
      <c r="O43" s="105"/>
      <c r="P43" s="121"/>
      <c r="Q43" s="76"/>
      <c r="R43" s="76"/>
      <c r="S43" s="76"/>
      <c r="T43" s="76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 s="63" customFormat="1" ht="15" customHeight="1" x14ac:dyDescent="0.35">
      <c r="A44" s="95" t="s">
        <v>42</v>
      </c>
      <c r="B44" s="281">
        <f ca="1">'FIRE0508d raw'!B44</f>
        <v>13</v>
      </c>
      <c r="C44" s="281"/>
      <c r="D44" s="281">
        <f ca="1">'FIRE0508d raw'!D44</f>
        <v>3</v>
      </c>
      <c r="E44" s="281">
        <f ca="1">'FIRE0508d raw'!E44</f>
        <v>0</v>
      </c>
      <c r="F44" s="281"/>
      <c r="G44" s="281">
        <f ca="1">'FIRE0508d raw'!G44</f>
        <v>0</v>
      </c>
      <c r="H44" s="95"/>
      <c r="I44" s="105"/>
      <c r="J44" s="110"/>
      <c r="K44" s="110"/>
      <c r="L44" s="105"/>
      <c r="M44" s="110"/>
      <c r="N44" s="110"/>
      <c r="O44" s="105"/>
      <c r="P44" s="121"/>
      <c r="Q44" s="76"/>
      <c r="R44" s="76"/>
      <c r="S44" s="76"/>
      <c r="T44" s="7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 s="63" customFormat="1" ht="15" customHeight="1" x14ac:dyDescent="0.35">
      <c r="A45" s="95" t="s">
        <v>43</v>
      </c>
      <c r="B45" s="281">
        <f ca="1">'FIRE0508d raw'!B45</f>
        <v>4</v>
      </c>
      <c r="C45" s="281"/>
      <c r="D45" s="281">
        <f ca="1">'FIRE0508d raw'!D45</f>
        <v>1</v>
      </c>
      <c r="E45" s="281">
        <f ca="1">'FIRE0508d raw'!E45</f>
        <v>0</v>
      </c>
      <c r="F45" s="281"/>
      <c r="G45" s="281">
        <f ca="1">'FIRE0508d raw'!G45</f>
        <v>0</v>
      </c>
      <c r="H45" s="95"/>
      <c r="I45" s="105"/>
      <c r="J45" s="110"/>
      <c r="K45" s="110"/>
      <c r="L45" s="105"/>
      <c r="M45" s="110"/>
      <c r="N45" s="110"/>
      <c r="O45" s="105"/>
      <c r="P45" s="121"/>
      <c r="Q45" s="76"/>
      <c r="R45" s="76"/>
      <c r="S45" s="76"/>
      <c r="T45" s="7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 s="63" customFormat="1" ht="15" customHeight="1" x14ac:dyDescent="0.35">
      <c r="A46" s="95" t="s">
        <v>44</v>
      </c>
      <c r="B46" s="281">
        <f ca="1">'FIRE0508d raw'!B46</f>
        <v>2</v>
      </c>
      <c r="C46" s="281"/>
      <c r="D46" s="281">
        <f ca="1">'FIRE0508d raw'!D46</f>
        <v>2</v>
      </c>
      <c r="E46" s="281">
        <f ca="1">'FIRE0508d raw'!E46</f>
        <v>0</v>
      </c>
      <c r="F46" s="281"/>
      <c r="G46" s="281">
        <f ca="1">'FIRE0508d raw'!G46</f>
        <v>0</v>
      </c>
      <c r="H46" s="95"/>
      <c r="I46" s="105"/>
      <c r="J46" s="110"/>
      <c r="K46" s="110"/>
      <c r="L46" s="105"/>
      <c r="M46" s="110"/>
      <c r="N46" s="110"/>
      <c r="O46" s="105"/>
      <c r="P46" s="121"/>
      <c r="Q46" s="76"/>
      <c r="R46" s="76"/>
      <c r="S46" s="76"/>
      <c r="T46" s="76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 s="63" customFormat="1" ht="15" customHeight="1" x14ac:dyDescent="0.35">
      <c r="A47" s="95" t="s">
        <v>46</v>
      </c>
      <c r="B47" s="281">
        <f ca="1">'FIRE0508d raw'!B47</f>
        <v>0</v>
      </c>
      <c r="C47" s="281"/>
      <c r="D47" s="281">
        <f ca="1">'FIRE0508d raw'!D47</f>
        <v>0</v>
      </c>
      <c r="E47" s="281">
        <f ca="1">'FIRE0508d raw'!E47</f>
        <v>0</v>
      </c>
      <c r="F47" s="281"/>
      <c r="G47" s="281">
        <f ca="1">'FIRE0508d raw'!G47</f>
        <v>0</v>
      </c>
      <c r="H47" s="95"/>
      <c r="I47" s="105"/>
      <c r="J47" s="110"/>
      <c r="K47" s="110"/>
      <c r="L47" s="105"/>
      <c r="M47" s="110"/>
      <c r="N47" s="110"/>
      <c r="O47" s="105"/>
      <c r="P47" s="121"/>
      <c r="Q47" s="76"/>
      <c r="R47" s="76"/>
      <c r="S47" s="76"/>
      <c r="T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 s="63" customFormat="1" ht="15" customHeight="1" x14ac:dyDescent="0.35">
      <c r="A48" s="101" t="s">
        <v>69</v>
      </c>
      <c r="B48" s="73">
        <f ca="1">'FIRE0508d raw'!B48</f>
        <v>207</v>
      </c>
      <c r="C48" s="73"/>
      <c r="D48" s="73">
        <f ca="1">'FIRE0508d raw'!D48</f>
        <v>16</v>
      </c>
      <c r="E48" s="73">
        <f ca="1">'FIRE0508d raw'!E48</f>
        <v>3</v>
      </c>
      <c r="F48" s="73"/>
      <c r="G48" s="73">
        <f ca="1">'FIRE0508d raw'!G48</f>
        <v>0</v>
      </c>
      <c r="H48" s="95"/>
      <c r="I48" s="105"/>
      <c r="J48" s="110"/>
      <c r="K48" s="110"/>
      <c r="L48" s="105"/>
      <c r="M48" s="110"/>
      <c r="N48" s="110"/>
      <c r="O48" s="105"/>
      <c r="P48" s="121"/>
      <c r="Q48" s="76"/>
      <c r="R48" s="76"/>
      <c r="S48" s="76"/>
      <c r="T48" s="76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 s="63" customFormat="1" ht="15" customHeight="1" x14ac:dyDescent="0.35">
      <c r="A49" s="95" t="s">
        <v>48</v>
      </c>
      <c r="B49" s="281">
        <f ca="1">'FIRE0508d raw'!B49</f>
        <v>22</v>
      </c>
      <c r="C49" s="281"/>
      <c r="D49" s="281">
        <f ca="1">'FIRE0508d raw'!D49</f>
        <v>1</v>
      </c>
      <c r="E49" s="281">
        <f ca="1">'FIRE0508d raw'!E49</f>
        <v>0</v>
      </c>
      <c r="F49" s="281"/>
      <c r="G49" s="281">
        <f ca="1">'FIRE0508d raw'!G49</f>
        <v>0</v>
      </c>
      <c r="H49" s="95"/>
      <c r="I49" s="105"/>
      <c r="J49" s="110"/>
      <c r="K49" s="110"/>
      <c r="L49" s="105"/>
      <c r="M49" s="110"/>
      <c r="N49" s="110"/>
      <c r="O49" s="105"/>
      <c r="P49" s="121"/>
      <c r="Q49" s="76"/>
      <c r="R49" s="76"/>
      <c r="S49" s="76"/>
      <c r="T49" s="76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 s="63" customFormat="1" ht="15" customHeight="1" x14ac:dyDescent="0.35">
      <c r="A50" s="95" t="s">
        <v>49</v>
      </c>
      <c r="B50" s="281">
        <f ca="1">'FIRE0508d raw'!B50</f>
        <v>2</v>
      </c>
      <c r="C50" s="281"/>
      <c r="D50" s="281">
        <f ca="1">'FIRE0508d raw'!D50</f>
        <v>0</v>
      </c>
      <c r="E50" s="281">
        <f ca="1">'FIRE0508d raw'!E50</f>
        <v>0</v>
      </c>
      <c r="F50" s="281"/>
      <c r="G50" s="281">
        <f ca="1">'FIRE0508d raw'!G50</f>
        <v>0</v>
      </c>
      <c r="H50" s="95"/>
      <c r="I50" s="105"/>
      <c r="J50" s="110"/>
      <c r="K50" s="110"/>
      <c r="L50" s="105"/>
      <c r="M50" s="110"/>
      <c r="N50" s="110"/>
      <c r="O50" s="105"/>
      <c r="P50" s="121"/>
      <c r="Q50" s="76"/>
      <c r="R50" s="76"/>
      <c r="S50" s="76"/>
      <c r="T50" s="76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 s="63" customFormat="1" ht="15" customHeight="1" x14ac:dyDescent="0.35">
      <c r="A51" s="95" t="s">
        <v>50</v>
      </c>
      <c r="B51" s="281">
        <f ca="1">'FIRE0508d raw'!B51</f>
        <v>27</v>
      </c>
      <c r="C51" s="281"/>
      <c r="D51" s="281">
        <f ca="1">'FIRE0508d raw'!D51</f>
        <v>1</v>
      </c>
      <c r="E51" s="281">
        <f ca="1">'FIRE0508d raw'!E51</f>
        <v>0</v>
      </c>
      <c r="F51" s="281"/>
      <c r="G51" s="281">
        <f ca="1">'FIRE0508d raw'!G51</f>
        <v>0</v>
      </c>
      <c r="H51" s="95"/>
      <c r="I51" s="105"/>
      <c r="J51" s="110"/>
      <c r="K51" s="110"/>
      <c r="L51" s="105"/>
      <c r="M51" s="110"/>
      <c r="N51" s="110"/>
      <c r="O51" s="105"/>
      <c r="P51" s="121"/>
      <c r="Q51" s="76"/>
      <c r="R51" s="76"/>
      <c r="S51" s="76"/>
      <c r="T51" s="76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 s="63" customFormat="1" ht="15" customHeight="1" x14ac:dyDescent="0.35">
      <c r="A52" s="95" t="s">
        <v>51</v>
      </c>
      <c r="B52" s="281">
        <f ca="1">'FIRE0508d raw'!B52</f>
        <v>2</v>
      </c>
      <c r="C52" s="281"/>
      <c r="D52" s="281">
        <f ca="1">'FIRE0508d raw'!D52</f>
        <v>0</v>
      </c>
      <c r="E52" s="281">
        <f ca="1">'FIRE0508d raw'!E52</f>
        <v>0</v>
      </c>
      <c r="F52" s="281"/>
      <c r="G52" s="281">
        <f ca="1">'FIRE0508d raw'!G52</f>
        <v>0</v>
      </c>
      <c r="H52" s="95"/>
      <c r="I52" s="105"/>
      <c r="J52" s="110"/>
      <c r="K52" s="110"/>
      <c r="L52" s="105"/>
      <c r="M52" s="110"/>
      <c r="N52" s="110"/>
      <c r="O52" s="105"/>
      <c r="P52" s="121"/>
      <c r="Q52" s="76"/>
      <c r="R52" s="76"/>
      <c r="S52" s="76"/>
      <c r="T52" s="76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 s="63" customFormat="1" ht="15" customHeight="1" x14ac:dyDescent="0.35">
      <c r="A53" s="113" t="s">
        <v>52</v>
      </c>
      <c r="B53" s="281">
        <f ca="1">'FIRE0508d raw'!B53</f>
        <v>16</v>
      </c>
      <c r="C53" s="281"/>
      <c r="D53" s="281">
        <f ca="1">'FIRE0508d raw'!D53</f>
        <v>2</v>
      </c>
      <c r="E53" s="281">
        <f ca="1">'FIRE0508d raw'!E53</f>
        <v>0</v>
      </c>
      <c r="F53" s="281"/>
      <c r="G53" s="281">
        <f ca="1">'FIRE0508d raw'!G53</f>
        <v>0</v>
      </c>
      <c r="H53" s="95"/>
      <c r="I53" s="105"/>
      <c r="J53" s="110"/>
      <c r="K53" s="110"/>
      <c r="L53" s="95"/>
      <c r="M53" s="110"/>
      <c r="N53" s="110"/>
      <c r="O53" s="105"/>
      <c r="P53" s="121"/>
      <c r="Q53" s="76"/>
      <c r="R53" s="76"/>
      <c r="S53" s="76"/>
      <c r="T53" s="76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 s="63" customFormat="1" ht="15" customHeight="1" x14ac:dyDescent="0.35">
      <c r="A54" s="113" t="s">
        <v>53</v>
      </c>
      <c r="B54" s="281">
        <f ca="1">'FIRE0508d raw'!B54</f>
        <v>15</v>
      </c>
      <c r="C54" s="281"/>
      <c r="D54" s="281">
        <f ca="1">'FIRE0508d raw'!D54</f>
        <v>0</v>
      </c>
      <c r="E54" s="281">
        <f ca="1">'FIRE0508d raw'!E54</f>
        <v>0</v>
      </c>
      <c r="F54" s="281"/>
      <c r="G54" s="281">
        <f ca="1">'FIRE0508d raw'!G54</f>
        <v>0</v>
      </c>
      <c r="H54" s="95"/>
      <c r="I54" s="105"/>
      <c r="J54" s="110"/>
      <c r="K54" s="110"/>
      <c r="L54" s="95"/>
      <c r="M54" s="110"/>
      <c r="N54" s="110"/>
      <c r="O54" s="105"/>
      <c r="P54" s="121"/>
      <c r="Q54" s="76"/>
      <c r="R54" s="76"/>
      <c r="S54" s="76"/>
      <c r="T54" s="76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s="63" customFormat="1" ht="15" customHeight="1" thickBot="1" x14ac:dyDescent="0.4">
      <c r="A55" s="106" t="s">
        <v>54</v>
      </c>
      <c r="B55" s="282">
        <f ca="1">'FIRE0508d raw'!B55</f>
        <v>123</v>
      </c>
      <c r="C55" s="282"/>
      <c r="D55" s="282">
        <f ca="1">'FIRE0508d raw'!D55</f>
        <v>12</v>
      </c>
      <c r="E55" s="282">
        <f ca="1">'FIRE0508d raw'!E55</f>
        <v>3</v>
      </c>
      <c r="F55" s="282"/>
      <c r="G55" s="282">
        <f ca="1">'FIRE0508d raw'!G55</f>
        <v>0</v>
      </c>
      <c r="H55" s="95"/>
      <c r="I55" s="105"/>
      <c r="J55" s="110"/>
      <c r="K55" s="110"/>
      <c r="L55" s="95"/>
      <c r="M55" s="110"/>
      <c r="N55" s="110"/>
      <c r="O55" s="105"/>
      <c r="P55" s="121"/>
      <c r="Q55" s="76"/>
      <c r="R55" s="76"/>
      <c r="S55" s="76"/>
      <c r="T55" s="76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ht="14.5" x14ac:dyDescent="0.35">
      <c r="A56" s="95"/>
      <c r="B56" s="95"/>
      <c r="C56" s="95"/>
      <c r="D56" s="95"/>
      <c r="E56" s="95"/>
      <c r="F56" s="95"/>
      <c r="G56" s="95"/>
      <c r="H56" s="95"/>
      <c r="I56" s="95"/>
      <c r="J56" s="110"/>
      <c r="K56" s="110"/>
      <c r="L56" s="95"/>
      <c r="M56" s="110"/>
      <c r="N56" s="110"/>
      <c r="O56" s="110"/>
      <c r="P56" s="110"/>
      <c r="Q56" s="74"/>
      <c r="R56" s="74"/>
      <c r="S56" s="74"/>
      <c r="T56" s="74"/>
    </row>
    <row r="57" spans="1:32" s="63" customFormat="1" ht="15" customHeight="1" x14ac:dyDescent="0.35">
      <c r="A57" s="341" t="s">
        <v>81</v>
      </c>
      <c r="B57" s="341"/>
      <c r="C57" s="341"/>
      <c r="D57" s="341"/>
      <c r="E57" s="341"/>
      <c r="F57" s="341"/>
      <c r="G57" s="341"/>
      <c r="H57" s="95"/>
      <c r="I57" s="95"/>
      <c r="J57" s="110"/>
      <c r="K57" s="110"/>
      <c r="L57" s="95"/>
      <c r="M57" s="110"/>
      <c r="N57" s="110"/>
      <c r="O57" s="110"/>
      <c r="P57" s="110"/>
      <c r="Q57" s="74"/>
      <c r="R57" s="74"/>
      <c r="S57" s="74"/>
      <c r="T57" s="74"/>
    </row>
    <row r="58" spans="1:32" s="63" customFormat="1" ht="90" customHeight="1" x14ac:dyDescent="0.35">
      <c r="A58" s="341" t="s">
        <v>82</v>
      </c>
      <c r="B58" s="341"/>
      <c r="C58" s="341"/>
      <c r="D58" s="341"/>
      <c r="E58" s="341"/>
      <c r="F58" s="341"/>
      <c r="G58" s="341"/>
      <c r="H58" s="95"/>
      <c r="I58" s="95"/>
      <c r="J58" s="110"/>
      <c r="K58" s="110"/>
      <c r="L58" s="95"/>
      <c r="M58" s="110"/>
      <c r="N58" s="110"/>
      <c r="O58" s="110"/>
      <c r="P58" s="110"/>
      <c r="Q58" s="74"/>
      <c r="R58" s="74"/>
      <c r="S58" s="74"/>
      <c r="T58" s="74"/>
    </row>
    <row r="59" spans="1:32" s="63" customFormat="1" ht="15" customHeight="1" x14ac:dyDescent="0.35">
      <c r="A59" s="108"/>
      <c r="B59" s="95"/>
      <c r="C59" s="95"/>
      <c r="D59" s="95"/>
      <c r="E59" s="95"/>
      <c r="F59" s="95"/>
      <c r="G59" s="95"/>
      <c r="H59" s="95"/>
      <c r="I59" s="95"/>
      <c r="J59" s="110"/>
      <c r="K59" s="110"/>
      <c r="L59" s="95"/>
      <c r="M59" s="110"/>
      <c r="N59" s="110"/>
      <c r="O59" s="110"/>
      <c r="P59" s="110"/>
      <c r="Q59" s="74"/>
      <c r="R59" s="74"/>
      <c r="S59" s="74"/>
      <c r="T59" s="74"/>
    </row>
    <row r="60" spans="1:32" s="63" customFormat="1" ht="14.5" x14ac:dyDescent="0.35">
      <c r="A60" s="95" t="s">
        <v>83</v>
      </c>
      <c r="B60" s="112"/>
      <c r="C60" s="112"/>
      <c r="D60" s="112"/>
      <c r="E60" s="112"/>
      <c r="F60" s="112"/>
      <c r="G60" s="112"/>
      <c r="H60" s="95"/>
      <c r="I60" s="95"/>
      <c r="J60" s="110"/>
      <c r="K60" s="110"/>
      <c r="L60" s="95"/>
      <c r="M60" s="110"/>
      <c r="N60" s="110"/>
      <c r="O60" s="110"/>
      <c r="P60" s="110"/>
      <c r="Q60" s="74"/>
      <c r="R60" s="74"/>
      <c r="S60" s="74"/>
      <c r="T60" s="74"/>
    </row>
    <row r="61" spans="1:32" s="63" customFormat="1" ht="15" customHeight="1" x14ac:dyDescent="0.35">
      <c r="A61" s="109" t="s">
        <v>84</v>
      </c>
      <c r="B61" s="111"/>
      <c r="C61" s="111"/>
      <c r="D61" s="111"/>
      <c r="E61" s="111"/>
      <c r="F61" s="111"/>
      <c r="G61" s="111"/>
      <c r="H61" s="95"/>
      <c r="I61" s="95"/>
      <c r="J61" s="110"/>
      <c r="K61" s="110"/>
      <c r="L61" s="95"/>
      <c r="M61" s="110"/>
      <c r="N61" s="110"/>
      <c r="O61" s="110"/>
      <c r="P61" s="110"/>
      <c r="Q61" s="74"/>
      <c r="R61" s="74"/>
      <c r="S61" s="74"/>
      <c r="T61" s="74"/>
    </row>
    <row r="62" spans="1:32" s="63" customFormat="1" ht="15" customHeight="1" x14ac:dyDescent="0.35">
      <c r="A62" s="109"/>
      <c r="B62" s="112"/>
      <c r="C62" s="112"/>
      <c r="D62" s="112"/>
      <c r="E62" s="112"/>
      <c r="F62" s="112"/>
      <c r="G62" s="112"/>
      <c r="H62" s="105"/>
      <c r="I62" s="105"/>
      <c r="J62" s="105"/>
      <c r="K62" s="105"/>
      <c r="L62" s="95"/>
      <c r="M62" s="105"/>
      <c r="N62" s="105"/>
      <c r="O62" s="105"/>
      <c r="P62" s="105"/>
    </row>
    <row r="63" spans="1:32" s="63" customFormat="1" ht="15" customHeight="1" x14ac:dyDescent="0.35">
      <c r="A63" s="111" t="s">
        <v>85</v>
      </c>
      <c r="B63" s="112"/>
      <c r="C63" s="112"/>
      <c r="D63" s="112"/>
      <c r="E63" s="112"/>
      <c r="F63" s="112"/>
      <c r="G63" s="112"/>
      <c r="H63" s="105"/>
      <c r="I63" s="105"/>
      <c r="J63" s="105"/>
      <c r="K63" s="105"/>
      <c r="L63" s="95"/>
      <c r="M63" s="105"/>
      <c r="N63" s="105"/>
      <c r="O63" s="105"/>
      <c r="P63" s="105"/>
    </row>
    <row r="64" spans="1:32" s="63" customFormat="1" ht="15" customHeight="1" x14ac:dyDescent="0.35">
      <c r="A64" s="95"/>
      <c r="B64" s="112"/>
      <c r="C64" s="112"/>
      <c r="D64" s="112"/>
      <c r="E64" s="112"/>
      <c r="F64" s="112"/>
      <c r="G64" s="112"/>
      <c r="H64" s="105"/>
      <c r="I64" s="105"/>
      <c r="J64" s="105"/>
      <c r="K64" s="105"/>
      <c r="L64" s="95"/>
      <c r="M64" s="105"/>
      <c r="N64" s="105"/>
      <c r="O64" s="105"/>
      <c r="P64" s="105"/>
    </row>
    <row r="65" spans="1:16" s="63" customFormat="1" ht="14.5" x14ac:dyDescent="0.35">
      <c r="A65" s="95" t="s">
        <v>86</v>
      </c>
      <c r="B65" s="112"/>
      <c r="C65" s="112"/>
      <c r="D65" s="112"/>
      <c r="E65" s="340" t="s">
        <v>278</v>
      </c>
      <c r="F65" s="340"/>
      <c r="G65" s="340"/>
      <c r="H65" s="105"/>
      <c r="I65" s="105"/>
      <c r="J65" s="105"/>
      <c r="K65" s="105"/>
      <c r="L65" s="95"/>
      <c r="M65" s="105"/>
      <c r="N65" s="105"/>
      <c r="O65" s="105"/>
      <c r="P65" s="105"/>
    </row>
    <row r="66" spans="1:16" ht="14.5" x14ac:dyDescent="0.35">
      <c r="A66" s="109" t="s">
        <v>152</v>
      </c>
      <c r="B66" s="95"/>
      <c r="C66" s="95"/>
      <c r="D66" s="95"/>
      <c r="E66" s="95"/>
      <c r="F66" s="339" t="s">
        <v>279</v>
      </c>
      <c r="G66" s="339"/>
      <c r="H66" s="95"/>
      <c r="I66" s="95"/>
      <c r="J66" s="95"/>
      <c r="K66" s="95"/>
      <c r="L66" s="95"/>
      <c r="M66" s="95"/>
      <c r="N66" s="95"/>
      <c r="O66" s="95"/>
      <c r="P66" s="95"/>
    </row>
    <row r="67" spans="1:16" s="63" customFormat="1" ht="14.5" x14ac:dyDescent="0.35">
      <c r="A67" s="95"/>
      <c r="B67" s="95"/>
      <c r="C67" s="95"/>
      <c r="D67" s="95"/>
      <c r="E67" s="95"/>
      <c r="F67" s="95"/>
      <c r="G67" s="95"/>
      <c r="H67" s="105"/>
      <c r="I67" s="105"/>
      <c r="J67" s="105"/>
      <c r="K67" s="105"/>
      <c r="L67" s="95"/>
      <c r="M67" s="105"/>
      <c r="N67" s="105"/>
      <c r="O67" s="105"/>
      <c r="P67" s="105"/>
    </row>
    <row r="68" spans="1:16" s="63" customFormat="1" ht="14.5" x14ac:dyDescent="0.35">
      <c r="A68" s="109"/>
      <c r="B68" s="95"/>
      <c r="C68" s="95"/>
      <c r="D68" s="95"/>
      <c r="E68" s="95"/>
      <c r="F68" s="95"/>
      <c r="G68" s="95"/>
      <c r="H68" s="105"/>
      <c r="I68" s="105"/>
      <c r="J68" s="105"/>
      <c r="K68" s="105"/>
      <c r="L68" s="95"/>
      <c r="M68" s="105"/>
      <c r="N68" s="105"/>
      <c r="O68" s="105"/>
      <c r="P68" s="105"/>
    </row>
    <row r="69" spans="1:16" ht="14.5" x14ac:dyDescent="0.35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</row>
    <row r="70" spans="1:16" ht="14.5" x14ac:dyDescent="0.35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</row>
    <row r="71" spans="1:16" ht="14.5" x14ac:dyDescent="0.35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</row>
    <row r="72" spans="1:16" ht="14.5" x14ac:dyDescent="0.35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</row>
    <row r="73" spans="1:16" ht="14.5" x14ac:dyDescent="0.35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</row>
    <row r="74" spans="1:16" ht="14.5" x14ac:dyDescent="0.35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</row>
    <row r="75" spans="1:16" ht="14.5" x14ac:dyDescent="0.35">
      <c r="A75" s="95"/>
      <c r="B75" s="95"/>
      <c r="C75" s="95"/>
      <c r="D75" s="95"/>
      <c r="E75" s="95"/>
      <c r="F75" s="95"/>
      <c r="G75" s="95"/>
      <c r="H75" s="95"/>
      <c r="I75" s="95"/>
      <c r="J75" s="95" t="s">
        <v>70</v>
      </c>
      <c r="K75" s="105"/>
      <c r="L75" s="95"/>
      <c r="M75" s="95"/>
      <c r="N75" s="95"/>
      <c r="O75" s="95"/>
      <c r="P75" s="95"/>
    </row>
    <row r="76" spans="1:16" ht="14.5" x14ac:dyDescent="0.35">
      <c r="A76" s="95"/>
      <c r="B76" s="95"/>
      <c r="C76" s="95"/>
      <c r="D76" s="95"/>
      <c r="E76" s="95"/>
      <c r="F76" s="95"/>
      <c r="G76" s="95"/>
      <c r="H76" s="95"/>
      <c r="I76" s="95"/>
      <c r="J76" s="95" t="s">
        <v>71</v>
      </c>
      <c r="K76" s="95"/>
      <c r="L76" s="95"/>
      <c r="M76" s="95"/>
      <c r="N76" s="95"/>
      <c r="O76" s="95"/>
      <c r="P76" s="95"/>
    </row>
    <row r="77" spans="1:16" ht="14.5" x14ac:dyDescent="0.35">
      <c r="A77" s="95"/>
      <c r="B77" s="95"/>
      <c r="C77" s="95"/>
      <c r="D77" s="95"/>
      <c r="E77" s="95"/>
      <c r="F77" s="95"/>
      <c r="G77" s="95"/>
      <c r="H77" s="95"/>
      <c r="I77" s="95"/>
      <c r="J77" s="95" t="s">
        <v>72</v>
      </c>
      <c r="K77" s="95"/>
      <c r="L77" s="95"/>
      <c r="M77" s="95"/>
      <c r="N77" s="95"/>
      <c r="O77" s="95"/>
      <c r="P77" s="95"/>
    </row>
    <row r="78" spans="1:16" ht="14.5" x14ac:dyDescent="0.35">
      <c r="A78" s="95"/>
      <c r="B78" s="95"/>
      <c r="C78" s="95"/>
      <c r="D78" s="95"/>
      <c r="E78" s="95"/>
      <c r="F78" s="95"/>
      <c r="G78" s="95"/>
      <c r="H78" s="95"/>
      <c r="I78" s="95"/>
      <c r="J78" s="95" t="s">
        <v>73</v>
      </c>
      <c r="K78" s="95"/>
      <c r="L78" s="95"/>
      <c r="M78" s="95"/>
      <c r="N78" s="95"/>
      <c r="O78" s="95"/>
      <c r="P78" s="95"/>
    </row>
    <row r="79" spans="1:16" ht="14.5" x14ac:dyDescent="0.35">
      <c r="A79" s="95"/>
      <c r="B79" s="95"/>
      <c r="C79" s="95"/>
      <c r="D79" s="95"/>
      <c r="E79" s="95"/>
      <c r="F79" s="95"/>
      <c r="G79" s="95"/>
      <c r="H79" s="95"/>
      <c r="I79" s="95"/>
      <c r="J79" s="95" t="s">
        <v>74</v>
      </c>
      <c r="K79" s="95"/>
      <c r="L79" s="95"/>
      <c r="M79" s="95"/>
      <c r="N79" s="95"/>
      <c r="O79" s="95"/>
      <c r="P79" s="95"/>
    </row>
    <row r="80" spans="1:16" ht="14.5" x14ac:dyDescent="0.35">
      <c r="A80" s="95"/>
      <c r="B80" s="95"/>
      <c r="C80" s="95"/>
      <c r="D80" s="95"/>
      <c r="E80" s="95"/>
      <c r="F80" s="95"/>
      <c r="G80" s="95"/>
      <c r="H80" s="95"/>
      <c r="I80" s="95"/>
      <c r="J80" s="95" t="s">
        <v>75</v>
      </c>
      <c r="K80" s="95"/>
      <c r="L80" s="95"/>
      <c r="M80" s="95"/>
      <c r="N80" s="95"/>
      <c r="O80" s="95"/>
      <c r="P80" s="95"/>
    </row>
    <row r="81" spans="1:16" ht="14.5" x14ac:dyDescent="0.35">
      <c r="A81" s="95"/>
      <c r="B81" s="95"/>
      <c r="C81" s="95"/>
      <c r="D81" s="95"/>
      <c r="E81" s="95"/>
      <c r="F81" s="95"/>
      <c r="G81" s="95"/>
      <c r="H81" s="95"/>
      <c r="I81" s="95"/>
      <c r="J81" s="95" t="s">
        <v>76</v>
      </c>
      <c r="K81" s="95"/>
      <c r="L81" s="95"/>
      <c r="M81" s="95"/>
      <c r="N81" s="95"/>
      <c r="O81" s="95"/>
      <c r="P81" s="95"/>
    </row>
    <row r="82" spans="1:16" ht="14.5" x14ac:dyDescent="0.35">
      <c r="A82" s="95"/>
      <c r="B82" s="95"/>
      <c r="C82" s="95"/>
      <c r="D82" s="95"/>
      <c r="E82" s="95"/>
      <c r="F82" s="95"/>
      <c r="G82" s="95"/>
      <c r="H82" s="95"/>
      <c r="I82" s="95"/>
      <c r="J82" s="95" t="s">
        <v>123</v>
      </c>
      <c r="K82" s="95"/>
      <c r="L82" s="95"/>
      <c r="M82" s="95"/>
      <c r="N82" s="95"/>
      <c r="O82" s="95"/>
      <c r="P82" s="95"/>
    </row>
    <row r="83" spans="1:16" ht="14.5" x14ac:dyDescent="0.35">
      <c r="A83" s="95"/>
      <c r="B83" s="95"/>
      <c r="C83" s="95"/>
      <c r="D83" s="95"/>
      <c r="E83" s="95"/>
      <c r="F83" s="95"/>
      <c r="G83" s="95"/>
      <c r="H83" s="95"/>
      <c r="I83" s="95"/>
      <c r="J83" s="95" t="s">
        <v>149</v>
      </c>
      <c r="K83" s="95"/>
      <c r="L83" s="95"/>
      <c r="M83" s="95"/>
      <c r="N83" s="95"/>
      <c r="O83" s="95"/>
      <c r="P83" s="95"/>
    </row>
    <row r="84" spans="1:16" ht="14.5" x14ac:dyDescent="0.35">
      <c r="A84" s="95"/>
      <c r="B84" s="95"/>
      <c r="C84" s="95"/>
      <c r="D84" s="95"/>
      <c r="E84" s="95"/>
      <c r="F84" s="95"/>
      <c r="G84" s="95"/>
      <c r="H84" s="95"/>
      <c r="I84" s="95"/>
      <c r="J84" s="95" t="s">
        <v>277</v>
      </c>
      <c r="K84" s="95"/>
      <c r="L84" s="95"/>
      <c r="M84" s="95"/>
      <c r="N84" s="95"/>
      <c r="O84" s="95"/>
      <c r="P84" s="95"/>
    </row>
    <row r="85" spans="1:16" ht="14.5" x14ac:dyDescent="0.35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</row>
    <row r="86" spans="1:16" ht="14.5" x14ac:dyDescent="0.3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</row>
    <row r="87" spans="1:16" ht="14.5" x14ac:dyDescent="0.35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</row>
    <row r="88" spans="1:16" ht="14.5" x14ac:dyDescent="0.35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</row>
    <row r="89" spans="1:16" ht="14.5" x14ac:dyDescent="0.35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</row>
    <row r="90" spans="1:16" ht="14.5" x14ac:dyDescent="0.35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</row>
    <row r="91" spans="1:16" ht="14.5" x14ac:dyDescent="0.35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</row>
    <row r="92" spans="1:16" ht="14.5" x14ac:dyDescent="0.35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</row>
    <row r="93" spans="1:16" ht="14.5" x14ac:dyDescent="0.35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</row>
    <row r="94" spans="1:16" ht="14.5" x14ac:dyDescent="0.35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</row>
    <row r="95" spans="1:16" ht="14.5" x14ac:dyDescent="0.35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</row>
    <row r="96" spans="1:16" ht="14.5" x14ac:dyDescent="0.35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</row>
    <row r="97" spans="1:16" ht="14.5" x14ac:dyDescent="0.35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</row>
    <row r="98" spans="1:16" ht="14.5" x14ac:dyDescent="0.3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</row>
    <row r="99" spans="1:16" ht="14.5" x14ac:dyDescent="0.3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</row>
    <row r="100" spans="1:16" ht="14.5" x14ac:dyDescent="0.3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</row>
    <row r="101" spans="1:16" ht="14.5" x14ac:dyDescent="0.35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</row>
    <row r="102" spans="1:16" ht="14.5" x14ac:dyDescent="0.35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</row>
    <row r="103" spans="1:16" ht="14.5" x14ac:dyDescent="0.35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</row>
    <row r="104" spans="1:16" ht="14.5" x14ac:dyDescent="0.35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</row>
    <row r="105" spans="1:16" ht="14.5" x14ac:dyDescent="0.35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</row>
    <row r="106" spans="1:16" ht="14.5" x14ac:dyDescent="0.35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</row>
    <row r="107" spans="1:16" ht="14.5" x14ac:dyDescent="0.35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</row>
    <row r="108" spans="1:16" ht="14.5" x14ac:dyDescent="0.35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</row>
    <row r="109" spans="1:16" ht="14.5" x14ac:dyDescent="0.35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</row>
    <row r="110" spans="1:16" ht="14.5" x14ac:dyDescent="0.35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</row>
    <row r="111" spans="1:16" ht="14.5" x14ac:dyDescent="0.35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</row>
    <row r="112" spans="1:16" ht="14.5" x14ac:dyDescent="0.35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</row>
    <row r="113" spans="1:16" ht="14.5" x14ac:dyDescent="0.35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</row>
    <row r="114" spans="1:16" ht="14.5" x14ac:dyDescent="0.35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</row>
    <row r="115" spans="1:16" ht="14.5" x14ac:dyDescent="0.35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</row>
    <row r="116" spans="1:16" ht="14.5" x14ac:dyDescent="0.35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</row>
    <row r="117" spans="1:16" ht="14.5" x14ac:dyDescent="0.35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</row>
    <row r="118" spans="1:16" ht="14.5" x14ac:dyDescent="0.35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</row>
    <row r="119" spans="1:16" ht="14.5" x14ac:dyDescent="0.35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</row>
    <row r="120" spans="1:16" ht="14.5" x14ac:dyDescent="0.35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</row>
    <row r="121" spans="1:16" ht="14.5" x14ac:dyDescent="0.35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</row>
    <row r="122" spans="1:16" ht="14.5" x14ac:dyDescent="0.35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</row>
    <row r="123" spans="1:16" ht="14.5" x14ac:dyDescent="0.35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</row>
    <row r="124" spans="1:16" ht="14.5" x14ac:dyDescent="0.35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</row>
    <row r="125" spans="1:16" ht="14.5" x14ac:dyDescent="0.35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</row>
    <row r="126" spans="1:16" ht="14.5" x14ac:dyDescent="0.3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</row>
    <row r="127" spans="1:16" ht="14.5" x14ac:dyDescent="0.3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</row>
    <row r="128" spans="1:16" ht="14.5" x14ac:dyDescent="0.3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</row>
    <row r="129" spans="1:16" ht="14.5" x14ac:dyDescent="0.35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</row>
    <row r="130" spans="1:16" ht="14.5" x14ac:dyDescent="0.35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</row>
    <row r="131" spans="1:16" ht="14.5" x14ac:dyDescent="0.35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</row>
    <row r="132" spans="1:16" ht="14.5" x14ac:dyDescent="0.35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</row>
    <row r="133" spans="1:16" ht="14.5" x14ac:dyDescent="0.35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</row>
    <row r="134" spans="1:16" ht="14.5" x14ac:dyDescent="0.35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</row>
    <row r="135" spans="1:16" ht="14.5" x14ac:dyDescent="0.35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</row>
    <row r="136" spans="1:16" ht="14.5" x14ac:dyDescent="0.35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</row>
    <row r="137" spans="1:16" ht="14.5" x14ac:dyDescent="0.35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</row>
  </sheetData>
  <mergeCells count="8">
    <mergeCell ref="E65:G65"/>
    <mergeCell ref="F66:G66"/>
    <mergeCell ref="A58:G58"/>
    <mergeCell ref="A1:G1"/>
    <mergeCell ref="B6:B7"/>
    <mergeCell ref="D6:E6"/>
    <mergeCell ref="G6:G7"/>
    <mergeCell ref="A57:G57"/>
  </mergeCells>
  <dataValidations count="1">
    <dataValidation type="list" allowBlank="1" showInputMessage="1" showErrorMessage="1" sqref="A4" xr:uid="{00000000-0002-0000-2B00-000000000000}">
      <formula1>$J$75:$J$84</formula1>
    </dataValidation>
  </dataValidations>
  <hyperlinks>
    <hyperlink ref="A61" r:id="rId1" xr:uid="{00000000-0004-0000-2B00-000000000000}"/>
    <hyperlink ref="A66" r:id="rId2" xr:uid="{370FC6A6-E209-49D4-9A24-500CF4614A4A}"/>
    <hyperlink ref="E65" r:id="rId3" display="Updated alongside Fire and rescue workforce and pensions statistics" xr:uid="{9F5A5CDC-3266-4224-996C-F1BA35D32BD7}"/>
    <hyperlink ref="F66:G66" r:id="rId4" display="Next Update: Autumn 2020" xr:uid="{D975BF24-772F-4D89-A946-0A5B246335D5}"/>
  </hyperlinks>
  <pageMargins left="0.7" right="0.7" top="0.75" bottom="0.75" header="0.3" footer="0.3"/>
  <pageSetup paperSize="9" orientation="portrait"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2FEC-3CE9-4500-A074-20DAF80B4C59}">
  <sheetPr codeName="Sheet52"/>
  <dimension ref="A1:J51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1.7265625" style="218" customWidth="1"/>
    <col min="2" max="2" width="19.7265625" style="218" bestFit="1" customWidth="1"/>
    <col min="3" max="3" width="20.26953125" style="218" bestFit="1" customWidth="1"/>
    <col min="4" max="16384" width="8.7265625" style="218"/>
  </cols>
  <sheetData>
    <row r="1" spans="1:3" ht="17" thickBot="1" x14ac:dyDescent="0.4">
      <c r="A1" s="217" t="s">
        <v>216</v>
      </c>
      <c r="B1" s="217" t="s">
        <v>217</v>
      </c>
      <c r="C1" s="217" t="s">
        <v>218</v>
      </c>
    </row>
    <row r="2" spans="1:3" x14ac:dyDescent="0.35">
      <c r="A2" s="218" t="s">
        <v>8</v>
      </c>
      <c r="B2" s="218" t="s">
        <v>211</v>
      </c>
      <c r="C2" s="218" t="s">
        <v>210</v>
      </c>
    </row>
    <row r="3" spans="1:3" x14ac:dyDescent="0.35">
      <c r="A3" s="218" t="s">
        <v>9</v>
      </c>
      <c r="B3" s="218" t="s">
        <v>212</v>
      </c>
      <c r="C3" s="218" t="s">
        <v>210</v>
      </c>
    </row>
    <row r="4" spans="1:3" x14ac:dyDescent="0.35">
      <c r="A4" s="218" t="s">
        <v>10</v>
      </c>
      <c r="B4" s="218" t="s">
        <v>211</v>
      </c>
      <c r="C4" s="218" t="s">
        <v>210</v>
      </c>
    </row>
    <row r="5" spans="1:3" x14ac:dyDescent="0.35">
      <c r="A5" s="218" t="s">
        <v>11</v>
      </c>
      <c r="B5" s="218" t="s">
        <v>212</v>
      </c>
      <c r="C5" s="218" t="s">
        <v>210</v>
      </c>
    </row>
    <row r="6" spans="1:3" x14ac:dyDescent="0.35">
      <c r="A6" s="218" t="s">
        <v>12</v>
      </c>
      <c r="B6" s="218" t="s">
        <v>213</v>
      </c>
      <c r="C6" s="218" t="s">
        <v>210</v>
      </c>
    </row>
    <row r="7" spans="1:3" x14ac:dyDescent="0.35">
      <c r="A7" s="218" t="s">
        <v>13</v>
      </c>
      <c r="B7" s="218" t="s">
        <v>212</v>
      </c>
      <c r="C7" s="218" t="s">
        <v>210</v>
      </c>
    </row>
    <row r="8" spans="1:3" x14ac:dyDescent="0.35">
      <c r="A8" s="218" t="s">
        <v>14</v>
      </c>
      <c r="B8" s="218" t="s">
        <v>211</v>
      </c>
      <c r="C8" s="218" t="s">
        <v>210</v>
      </c>
    </row>
    <row r="9" spans="1:3" x14ac:dyDescent="0.35">
      <c r="A9" s="218" t="s">
        <v>15</v>
      </c>
      <c r="B9" s="218" t="s">
        <v>213</v>
      </c>
      <c r="C9" s="218" t="s">
        <v>210</v>
      </c>
    </row>
    <row r="10" spans="1:3" x14ac:dyDescent="0.35">
      <c r="A10" s="218" t="s">
        <v>16</v>
      </c>
      <c r="B10" s="218" t="s">
        <v>213</v>
      </c>
      <c r="C10" s="218" t="s">
        <v>210</v>
      </c>
    </row>
    <row r="11" spans="1:3" x14ac:dyDescent="0.35">
      <c r="A11" s="218" t="s">
        <v>17</v>
      </c>
      <c r="B11" s="218" t="s">
        <v>212</v>
      </c>
      <c r="C11" s="218" t="s">
        <v>210</v>
      </c>
    </row>
    <row r="12" spans="1:3" x14ac:dyDescent="0.35">
      <c r="A12" s="218" t="s">
        <v>163</v>
      </c>
      <c r="B12" s="218" t="s">
        <v>213</v>
      </c>
      <c r="C12" s="218" t="s">
        <v>210</v>
      </c>
    </row>
    <row r="13" spans="1:3" x14ac:dyDescent="0.35">
      <c r="A13" s="218" t="s">
        <v>197</v>
      </c>
      <c r="B13" s="218" t="s">
        <v>212</v>
      </c>
      <c r="C13" s="218" t="s">
        <v>210</v>
      </c>
    </row>
    <row r="14" spans="1:3" x14ac:dyDescent="0.35">
      <c r="A14" s="218" t="s">
        <v>20</v>
      </c>
      <c r="B14" s="218" t="s">
        <v>213</v>
      </c>
      <c r="C14" s="218" t="s">
        <v>210</v>
      </c>
    </row>
    <row r="15" spans="1:3" x14ac:dyDescent="0.35">
      <c r="A15" s="218" t="s">
        <v>21</v>
      </c>
      <c r="B15" s="218" t="s">
        <v>212</v>
      </c>
      <c r="C15" s="218" t="s">
        <v>210</v>
      </c>
    </row>
    <row r="16" spans="1:3" x14ac:dyDescent="0.35">
      <c r="A16" s="218" t="s">
        <v>22</v>
      </c>
      <c r="B16" s="218" t="s">
        <v>212</v>
      </c>
      <c r="C16" s="218" t="s">
        <v>210</v>
      </c>
    </row>
    <row r="17" spans="1:3" x14ac:dyDescent="0.35">
      <c r="A17" s="218" t="s">
        <v>23</v>
      </c>
      <c r="B17" s="218" t="s">
        <v>212</v>
      </c>
      <c r="C17" s="218" t="s">
        <v>210</v>
      </c>
    </row>
    <row r="18" spans="1:3" x14ac:dyDescent="0.35">
      <c r="A18" s="218" t="s">
        <v>54</v>
      </c>
      <c r="B18" s="218" t="s">
        <v>211</v>
      </c>
      <c r="C18" s="218" t="s">
        <v>47</v>
      </c>
    </row>
    <row r="19" spans="1:3" x14ac:dyDescent="0.35">
      <c r="A19" s="218" t="s">
        <v>48</v>
      </c>
      <c r="B19" s="218" t="s">
        <v>211</v>
      </c>
      <c r="C19" s="218" t="s">
        <v>47</v>
      </c>
    </row>
    <row r="20" spans="1:3" x14ac:dyDescent="0.35">
      <c r="A20" s="218" t="s">
        <v>24</v>
      </c>
      <c r="B20" s="218" t="s">
        <v>211</v>
      </c>
      <c r="C20" s="218" t="s">
        <v>210</v>
      </c>
    </row>
    <row r="21" spans="1:3" x14ac:dyDescent="0.35">
      <c r="A21" s="218" t="s">
        <v>214</v>
      </c>
      <c r="B21" s="218" t="s">
        <v>212</v>
      </c>
      <c r="C21" s="218" t="s">
        <v>210</v>
      </c>
    </row>
    <row r="22" spans="1:3" x14ac:dyDescent="0.35">
      <c r="A22" s="218" t="s">
        <v>26</v>
      </c>
      <c r="B22" s="218" t="s">
        <v>211</v>
      </c>
      <c r="C22" s="218" t="s">
        <v>210</v>
      </c>
    </row>
    <row r="23" spans="1:3" x14ac:dyDescent="0.35">
      <c r="A23" s="218" t="s">
        <v>27</v>
      </c>
      <c r="B23" s="218" t="s">
        <v>212</v>
      </c>
      <c r="C23" s="218" t="s">
        <v>210</v>
      </c>
    </row>
    <row r="24" spans="1:3" x14ac:dyDescent="0.35">
      <c r="A24" s="218" t="s">
        <v>219</v>
      </c>
      <c r="B24" s="218" t="s">
        <v>213</v>
      </c>
      <c r="C24" s="218" t="s">
        <v>210</v>
      </c>
    </row>
    <row r="25" spans="1:3" x14ac:dyDescent="0.35">
      <c r="A25" s="218" t="s">
        <v>220</v>
      </c>
      <c r="B25" s="218" t="s">
        <v>213</v>
      </c>
      <c r="C25" s="218" t="s">
        <v>210</v>
      </c>
    </row>
    <row r="26" spans="1:3" x14ac:dyDescent="0.35">
      <c r="A26" s="218" t="s">
        <v>29</v>
      </c>
      <c r="B26" s="218" t="s">
        <v>212</v>
      </c>
      <c r="C26" s="218" t="s">
        <v>210</v>
      </c>
    </row>
    <row r="27" spans="1:3" x14ac:dyDescent="0.35">
      <c r="A27" s="218" t="s">
        <v>30</v>
      </c>
      <c r="B27" s="218" t="s">
        <v>211</v>
      </c>
      <c r="C27" s="218" t="s">
        <v>210</v>
      </c>
    </row>
    <row r="28" spans="1:3" x14ac:dyDescent="0.35">
      <c r="A28" s="218" t="s">
        <v>31</v>
      </c>
      <c r="B28" s="218" t="s">
        <v>212</v>
      </c>
      <c r="C28" s="218" t="s">
        <v>210</v>
      </c>
    </row>
    <row r="29" spans="1:3" x14ac:dyDescent="0.35">
      <c r="A29" s="218" t="s">
        <v>32</v>
      </c>
      <c r="B29" s="218" t="s">
        <v>213</v>
      </c>
      <c r="C29" s="218" t="s">
        <v>210</v>
      </c>
    </row>
    <row r="30" spans="1:3" x14ac:dyDescent="0.35">
      <c r="A30" s="218" t="s">
        <v>49</v>
      </c>
      <c r="B30" s="218" t="s">
        <v>211</v>
      </c>
      <c r="C30" s="218" t="s">
        <v>47</v>
      </c>
    </row>
    <row r="31" spans="1:3" x14ac:dyDescent="0.35">
      <c r="A31" s="218" t="s">
        <v>33</v>
      </c>
      <c r="B31" s="218" t="s">
        <v>213</v>
      </c>
      <c r="C31" s="218" t="s">
        <v>210</v>
      </c>
    </row>
    <row r="32" spans="1:3" x14ac:dyDescent="0.35">
      <c r="A32" s="218" t="s">
        <v>34</v>
      </c>
      <c r="B32" s="218" t="s">
        <v>213</v>
      </c>
      <c r="C32" s="218" t="s">
        <v>210</v>
      </c>
    </row>
    <row r="33" spans="1:10" x14ac:dyDescent="0.35">
      <c r="A33" s="218" t="s">
        <v>35</v>
      </c>
      <c r="B33" s="218" t="s">
        <v>212</v>
      </c>
      <c r="C33" s="218" t="s">
        <v>210</v>
      </c>
    </row>
    <row r="34" spans="1:10" x14ac:dyDescent="0.35">
      <c r="A34" s="218" t="s">
        <v>36</v>
      </c>
      <c r="B34" s="218" t="s">
        <v>213</v>
      </c>
      <c r="C34" s="218" t="s">
        <v>210</v>
      </c>
    </row>
    <row r="35" spans="1:10" x14ac:dyDescent="0.35">
      <c r="A35" s="218" t="s">
        <v>37</v>
      </c>
      <c r="B35" s="218" t="s">
        <v>211</v>
      </c>
      <c r="C35" s="218" t="s">
        <v>210</v>
      </c>
    </row>
    <row r="36" spans="1:10" x14ac:dyDescent="0.35">
      <c r="A36" s="218" t="s">
        <v>38</v>
      </c>
      <c r="B36" s="218" t="s">
        <v>213</v>
      </c>
      <c r="C36" s="218" t="s">
        <v>210</v>
      </c>
    </row>
    <row r="37" spans="1:10" x14ac:dyDescent="0.35">
      <c r="A37" s="218" t="s">
        <v>39</v>
      </c>
      <c r="B37" s="218" t="s">
        <v>213</v>
      </c>
      <c r="C37" s="218" t="s">
        <v>210</v>
      </c>
    </row>
    <row r="38" spans="1:10" x14ac:dyDescent="0.35">
      <c r="A38" s="218" t="s">
        <v>50</v>
      </c>
      <c r="B38" s="218" t="s">
        <v>211</v>
      </c>
      <c r="C38" s="218" t="s">
        <v>47</v>
      </c>
    </row>
    <row r="39" spans="1:10" x14ac:dyDescent="0.35">
      <c r="A39" s="218" t="s">
        <v>40</v>
      </c>
      <c r="B39" s="218" t="s">
        <v>212</v>
      </c>
      <c r="C39" s="218" t="s">
        <v>210</v>
      </c>
    </row>
    <row r="40" spans="1:10" x14ac:dyDescent="0.35">
      <c r="A40" s="218" t="s">
        <v>41</v>
      </c>
      <c r="B40" s="218" t="s">
        <v>213</v>
      </c>
      <c r="C40" s="218" t="s">
        <v>210</v>
      </c>
    </row>
    <row r="41" spans="1:10" x14ac:dyDescent="0.35">
      <c r="A41" s="218" t="s">
        <v>42</v>
      </c>
      <c r="B41" s="218" t="s">
        <v>211</v>
      </c>
      <c r="C41" s="218" t="s">
        <v>210</v>
      </c>
    </row>
    <row r="42" spans="1:10" x14ac:dyDescent="0.35">
      <c r="A42" s="218" t="s">
        <v>215</v>
      </c>
      <c r="B42" s="218" t="s">
        <v>211</v>
      </c>
      <c r="C42" s="218" t="s">
        <v>47</v>
      </c>
    </row>
    <row r="43" spans="1:10" x14ac:dyDescent="0.35">
      <c r="A43" s="218" t="s">
        <v>43</v>
      </c>
      <c r="B43" s="218" t="s">
        <v>212</v>
      </c>
      <c r="C43" s="218" t="s">
        <v>210</v>
      </c>
    </row>
    <row r="44" spans="1:10" x14ac:dyDescent="0.35">
      <c r="A44" s="218" t="s">
        <v>52</v>
      </c>
      <c r="B44" s="218" t="s">
        <v>211</v>
      </c>
      <c r="C44" s="218" t="s">
        <v>47</v>
      </c>
    </row>
    <row r="45" spans="1:10" x14ac:dyDescent="0.35">
      <c r="A45" s="218" t="s">
        <v>44</v>
      </c>
      <c r="B45" s="218" t="s">
        <v>212</v>
      </c>
      <c r="C45" s="218" t="s">
        <v>210</v>
      </c>
    </row>
    <row r="46" spans="1:10" ht="15" thickBot="1" x14ac:dyDescent="0.4">
      <c r="A46" s="219" t="s">
        <v>53</v>
      </c>
      <c r="B46" s="219" t="s">
        <v>211</v>
      </c>
      <c r="C46" s="219" t="s">
        <v>47</v>
      </c>
    </row>
    <row r="48" spans="1:10" x14ac:dyDescent="0.35">
      <c r="A48" s="346" t="s">
        <v>221</v>
      </c>
      <c r="B48" s="346"/>
      <c r="C48" s="346"/>
      <c r="D48" s="346"/>
      <c r="E48" s="346"/>
      <c r="F48" s="346"/>
      <c r="G48" s="346"/>
      <c r="H48" s="346"/>
      <c r="I48" s="346"/>
      <c r="J48" s="346"/>
    </row>
    <row r="49" spans="1:1" x14ac:dyDescent="0.35">
      <c r="A49" s="220" t="s">
        <v>222</v>
      </c>
    </row>
    <row r="50" spans="1:1" x14ac:dyDescent="0.35">
      <c r="A50" s="220" t="s">
        <v>223</v>
      </c>
    </row>
    <row r="51" spans="1:1" x14ac:dyDescent="0.35">
      <c r="A51" s="220" t="s">
        <v>224</v>
      </c>
    </row>
  </sheetData>
  <mergeCells count="1">
    <mergeCell ref="A48:J48"/>
  </mergeCells>
  <hyperlinks>
    <hyperlink ref="A48" r:id="rId1" display="1  Rural Urban classifications of Fire and Rescue Service as defined by Department for Environment, Food and Rural Affairs (DEFRA).. LINK" xr:uid="{3434990B-E649-472B-BB58-1D6CC7EEFA7D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22"/>
  </sheetPr>
  <dimension ref="A1:L66"/>
  <sheetViews>
    <sheetView showGridLines="0" zoomScale="85" workbookViewId="0">
      <pane xSplit="2" ySplit="4" topLeftCell="C5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4.7265625" style="1" hidden="1" customWidth="1"/>
    <col min="2" max="2" width="24.7265625" style="55" customWidth="1"/>
    <col min="3" max="3" width="11" style="55" customWidth="1"/>
    <col min="4" max="4" width="11.7265625" style="55" customWidth="1"/>
    <col min="5" max="10" width="11" style="55" customWidth="1"/>
    <col min="11" max="256" width="9.26953125" style="55"/>
    <col min="257" max="257" width="0" style="55" hidden="1" customWidth="1"/>
    <col min="258" max="258" width="24.7265625" style="55" customWidth="1"/>
    <col min="259" max="259" width="11" style="55" customWidth="1"/>
    <col min="260" max="260" width="11.7265625" style="55" customWidth="1"/>
    <col min="261" max="266" width="11" style="55" customWidth="1"/>
    <col min="267" max="512" width="9.26953125" style="55"/>
    <col min="513" max="513" width="0" style="55" hidden="1" customWidth="1"/>
    <col min="514" max="514" width="24.7265625" style="55" customWidth="1"/>
    <col min="515" max="515" width="11" style="55" customWidth="1"/>
    <col min="516" max="516" width="11.7265625" style="55" customWidth="1"/>
    <col min="517" max="522" width="11" style="55" customWidth="1"/>
    <col min="523" max="768" width="9.26953125" style="55"/>
    <col min="769" max="769" width="0" style="55" hidden="1" customWidth="1"/>
    <col min="770" max="770" width="24.7265625" style="55" customWidth="1"/>
    <col min="771" max="771" width="11" style="55" customWidth="1"/>
    <col min="772" max="772" width="11.7265625" style="55" customWidth="1"/>
    <col min="773" max="778" width="11" style="55" customWidth="1"/>
    <col min="779" max="1024" width="9.26953125" style="55"/>
    <col min="1025" max="1025" width="0" style="55" hidden="1" customWidth="1"/>
    <col min="1026" max="1026" width="24.7265625" style="55" customWidth="1"/>
    <col min="1027" max="1027" width="11" style="55" customWidth="1"/>
    <col min="1028" max="1028" width="11.7265625" style="55" customWidth="1"/>
    <col min="1029" max="1034" width="11" style="55" customWidth="1"/>
    <col min="1035" max="1280" width="9.26953125" style="55"/>
    <col min="1281" max="1281" width="0" style="55" hidden="1" customWidth="1"/>
    <col min="1282" max="1282" width="24.7265625" style="55" customWidth="1"/>
    <col min="1283" max="1283" width="11" style="55" customWidth="1"/>
    <col min="1284" max="1284" width="11.7265625" style="55" customWidth="1"/>
    <col min="1285" max="1290" width="11" style="55" customWidth="1"/>
    <col min="1291" max="1536" width="9.26953125" style="55"/>
    <col min="1537" max="1537" width="0" style="55" hidden="1" customWidth="1"/>
    <col min="1538" max="1538" width="24.7265625" style="55" customWidth="1"/>
    <col min="1539" max="1539" width="11" style="55" customWidth="1"/>
    <col min="1540" max="1540" width="11.7265625" style="55" customWidth="1"/>
    <col min="1541" max="1546" width="11" style="55" customWidth="1"/>
    <col min="1547" max="1792" width="9.26953125" style="55"/>
    <col min="1793" max="1793" width="0" style="55" hidden="1" customWidth="1"/>
    <col min="1794" max="1794" width="24.7265625" style="55" customWidth="1"/>
    <col min="1795" max="1795" width="11" style="55" customWidth="1"/>
    <col min="1796" max="1796" width="11.7265625" style="55" customWidth="1"/>
    <col min="1797" max="1802" width="11" style="55" customWidth="1"/>
    <col min="1803" max="2048" width="9.26953125" style="55"/>
    <col min="2049" max="2049" width="0" style="55" hidden="1" customWidth="1"/>
    <col min="2050" max="2050" width="24.7265625" style="55" customWidth="1"/>
    <col min="2051" max="2051" width="11" style="55" customWidth="1"/>
    <col min="2052" max="2052" width="11.7265625" style="55" customWidth="1"/>
    <col min="2053" max="2058" width="11" style="55" customWidth="1"/>
    <col min="2059" max="2304" width="9.26953125" style="55"/>
    <col min="2305" max="2305" width="0" style="55" hidden="1" customWidth="1"/>
    <col min="2306" max="2306" width="24.7265625" style="55" customWidth="1"/>
    <col min="2307" max="2307" width="11" style="55" customWidth="1"/>
    <col min="2308" max="2308" width="11.7265625" style="55" customWidth="1"/>
    <col min="2309" max="2314" width="11" style="55" customWidth="1"/>
    <col min="2315" max="2560" width="9.26953125" style="55"/>
    <col min="2561" max="2561" width="0" style="55" hidden="1" customWidth="1"/>
    <col min="2562" max="2562" width="24.7265625" style="55" customWidth="1"/>
    <col min="2563" max="2563" width="11" style="55" customWidth="1"/>
    <col min="2564" max="2564" width="11.7265625" style="55" customWidth="1"/>
    <col min="2565" max="2570" width="11" style="55" customWidth="1"/>
    <col min="2571" max="2816" width="9.26953125" style="55"/>
    <col min="2817" max="2817" width="0" style="55" hidden="1" customWidth="1"/>
    <col min="2818" max="2818" width="24.7265625" style="55" customWidth="1"/>
    <col min="2819" max="2819" width="11" style="55" customWidth="1"/>
    <col min="2820" max="2820" width="11.7265625" style="55" customWidth="1"/>
    <col min="2821" max="2826" width="11" style="55" customWidth="1"/>
    <col min="2827" max="3072" width="9.26953125" style="55"/>
    <col min="3073" max="3073" width="0" style="55" hidden="1" customWidth="1"/>
    <col min="3074" max="3074" width="24.7265625" style="55" customWidth="1"/>
    <col min="3075" max="3075" width="11" style="55" customWidth="1"/>
    <col min="3076" max="3076" width="11.7265625" style="55" customWidth="1"/>
    <col min="3077" max="3082" width="11" style="55" customWidth="1"/>
    <col min="3083" max="3328" width="9.26953125" style="55"/>
    <col min="3329" max="3329" width="0" style="55" hidden="1" customWidth="1"/>
    <col min="3330" max="3330" width="24.7265625" style="55" customWidth="1"/>
    <col min="3331" max="3331" width="11" style="55" customWidth="1"/>
    <col min="3332" max="3332" width="11.7265625" style="55" customWidth="1"/>
    <col min="3333" max="3338" width="11" style="55" customWidth="1"/>
    <col min="3339" max="3584" width="9.26953125" style="55"/>
    <col min="3585" max="3585" width="0" style="55" hidden="1" customWidth="1"/>
    <col min="3586" max="3586" width="24.7265625" style="55" customWidth="1"/>
    <col min="3587" max="3587" width="11" style="55" customWidth="1"/>
    <col min="3588" max="3588" width="11.7265625" style="55" customWidth="1"/>
    <col min="3589" max="3594" width="11" style="55" customWidth="1"/>
    <col min="3595" max="3840" width="9.26953125" style="55"/>
    <col min="3841" max="3841" width="0" style="55" hidden="1" customWidth="1"/>
    <col min="3842" max="3842" width="24.7265625" style="55" customWidth="1"/>
    <col min="3843" max="3843" width="11" style="55" customWidth="1"/>
    <col min="3844" max="3844" width="11.7265625" style="55" customWidth="1"/>
    <col min="3845" max="3850" width="11" style="55" customWidth="1"/>
    <col min="3851" max="4096" width="9.26953125" style="55"/>
    <col min="4097" max="4097" width="0" style="55" hidden="1" customWidth="1"/>
    <col min="4098" max="4098" width="24.7265625" style="55" customWidth="1"/>
    <col min="4099" max="4099" width="11" style="55" customWidth="1"/>
    <col min="4100" max="4100" width="11.7265625" style="55" customWidth="1"/>
    <col min="4101" max="4106" width="11" style="55" customWidth="1"/>
    <col min="4107" max="4352" width="9.26953125" style="55"/>
    <col min="4353" max="4353" width="0" style="55" hidden="1" customWidth="1"/>
    <col min="4354" max="4354" width="24.7265625" style="55" customWidth="1"/>
    <col min="4355" max="4355" width="11" style="55" customWidth="1"/>
    <col min="4356" max="4356" width="11.7265625" style="55" customWidth="1"/>
    <col min="4357" max="4362" width="11" style="55" customWidth="1"/>
    <col min="4363" max="4608" width="9.26953125" style="55"/>
    <col min="4609" max="4609" width="0" style="55" hidden="1" customWidth="1"/>
    <col min="4610" max="4610" width="24.7265625" style="55" customWidth="1"/>
    <col min="4611" max="4611" width="11" style="55" customWidth="1"/>
    <col min="4612" max="4612" width="11.7265625" style="55" customWidth="1"/>
    <col min="4613" max="4618" width="11" style="55" customWidth="1"/>
    <col min="4619" max="4864" width="9.26953125" style="55"/>
    <col min="4865" max="4865" width="0" style="55" hidden="1" customWidth="1"/>
    <col min="4866" max="4866" width="24.7265625" style="55" customWidth="1"/>
    <col min="4867" max="4867" width="11" style="55" customWidth="1"/>
    <col min="4868" max="4868" width="11.7265625" style="55" customWidth="1"/>
    <col min="4869" max="4874" width="11" style="55" customWidth="1"/>
    <col min="4875" max="5120" width="9.26953125" style="55"/>
    <col min="5121" max="5121" width="0" style="55" hidden="1" customWidth="1"/>
    <col min="5122" max="5122" width="24.7265625" style="55" customWidth="1"/>
    <col min="5123" max="5123" width="11" style="55" customWidth="1"/>
    <col min="5124" max="5124" width="11.7265625" style="55" customWidth="1"/>
    <col min="5125" max="5130" width="11" style="55" customWidth="1"/>
    <col min="5131" max="5376" width="9.26953125" style="55"/>
    <col min="5377" max="5377" width="0" style="55" hidden="1" customWidth="1"/>
    <col min="5378" max="5378" width="24.7265625" style="55" customWidth="1"/>
    <col min="5379" max="5379" width="11" style="55" customWidth="1"/>
    <col min="5380" max="5380" width="11.7265625" style="55" customWidth="1"/>
    <col min="5381" max="5386" width="11" style="55" customWidth="1"/>
    <col min="5387" max="5632" width="9.26953125" style="55"/>
    <col min="5633" max="5633" width="0" style="55" hidden="1" customWidth="1"/>
    <col min="5634" max="5634" width="24.7265625" style="55" customWidth="1"/>
    <col min="5635" max="5635" width="11" style="55" customWidth="1"/>
    <col min="5636" max="5636" width="11.7265625" style="55" customWidth="1"/>
    <col min="5637" max="5642" width="11" style="55" customWidth="1"/>
    <col min="5643" max="5888" width="9.26953125" style="55"/>
    <col min="5889" max="5889" width="0" style="55" hidden="1" customWidth="1"/>
    <col min="5890" max="5890" width="24.7265625" style="55" customWidth="1"/>
    <col min="5891" max="5891" width="11" style="55" customWidth="1"/>
    <col min="5892" max="5892" width="11.7265625" style="55" customWidth="1"/>
    <col min="5893" max="5898" width="11" style="55" customWidth="1"/>
    <col min="5899" max="6144" width="9.26953125" style="55"/>
    <col min="6145" max="6145" width="0" style="55" hidden="1" customWidth="1"/>
    <col min="6146" max="6146" width="24.7265625" style="55" customWidth="1"/>
    <col min="6147" max="6147" width="11" style="55" customWidth="1"/>
    <col min="6148" max="6148" width="11.7265625" style="55" customWidth="1"/>
    <col min="6149" max="6154" width="11" style="55" customWidth="1"/>
    <col min="6155" max="6400" width="9.26953125" style="55"/>
    <col min="6401" max="6401" width="0" style="55" hidden="1" customWidth="1"/>
    <col min="6402" max="6402" width="24.7265625" style="55" customWidth="1"/>
    <col min="6403" max="6403" width="11" style="55" customWidth="1"/>
    <col min="6404" max="6404" width="11.7265625" style="55" customWidth="1"/>
    <col min="6405" max="6410" width="11" style="55" customWidth="1"/>
    <col min="6411" max="6656" width="9.26953125" style="55"/>
    <col min="6657" max="6657" width="0" style="55" hidden="1" customWidth="1"/>
    <col min="6658" max="6658" width="24.7265625" style="55" customWidth="1"/>
    <col min="6659" max="6659" width="11" style="55" customWidth="1"/>
    <col min="6660" max="6660" width="11.7265625" style="55" customWidth="1"/>
    <col min="6661" max="6666" width="11" style="55" customWidth="1"/>
    <col min="6667" max="6912" width="9.26953125" style="55"/>
    <col min="6913" max="6913" width="0" style="55" hidden="1" customWidth="1"/>
    <col min="6914" max="6914" width="24.7265625" style="55" customWidth="1"/>
    <col min="6915" max="6915" width="11" style="55" customWidth="1"/>
    <col min="6916" max="6916" width="11.7265625" style="55" customWidth="1"/>
    <col min="6917" max="6922" width="11" style="55" customWidth="1"/>
    <col min="6923" max="7168" width="9.26953125" style="55"/>
    <col min="7169" max="7169" width="0" style="55" hidden="1" customWidth="1"/>
    <col min="7170" max="7170" width="24.7265625" style="55" customWidth="1"/>
    <col min="7171" max="7171" width="11" style="55" customWidth="1"/>
    <col min="7172" max="7172" width="11.7265625" style="55" customWidth="1"/>
    <col min="7173" max="7178" width="11" style="55" customWidth="1"/>
    <col min="7179" max="7424" width="9.26953125" style="55"/>
    <col min="7425" max="7425" width="0" style="55" hidden="1" customWidth="1"/>
    <col min="7426" max="7426" width="24.7265625" style="55" customWidth="1"/>
    <col min="7427" max="7427" width="11" style="55" customWidth="1"/>
    <col min="7428" max="7428" width="11.7265625" style="55" customWidth="1"/>
    <col min="7429" max="7434" width="11" style="55" customWidth="1"/>
    <col min="7435" max="7680" width="9.26953125" style="55"/>
    <col min="7681" max="7681" width="0" style="55" hidden="1" customWidth="1"/>
    <col min="7682" max="7682" width="24.7265625" style="55" customWidth="1"/>
    <col min="7683" max="7683" width="11" style="55" customWidth="1"/>
    <col min="7684" max="7684" width="11.7265625" style="55" customWidth="1"/>
    <col min="7685" max="7690" width="11" style="55" customWidth="1"/>
    <col min="7691" max="7936" width="9.26953125" style="55"/>
    <col min="7937" max="7937" width="0" style="55" hidden="1" customWidth="1"/>
    <col min="7938" max="7938" width="24.7265625" style="55" customWidth="1"/>
    <col min="7939" max="7939" width="11" style="55" customWidth="1"/>
    <col min="7940" max="7940" width="11.7265625" style="55" customWidth="1"/>
    <col min="7941" max="7946" width="11" style="55" customWidth="1"/>
    <col min="7947" max="8192" width="9.26953125" style="55"/>
    <col min="8193" max="8193" width="0" style="55" hidden="1" customWidth="1"/>
    <col min="8194" max="8194" width="24.7265625" style="55" customWidth="1"/>
    <col min="8195" max="8195" width="11" style="55" customWidth="1"/>
    <col min="8196" max="8196" width="11.7265625" style="55" customWidth="1"/>
    <col min="8197" max="8202" width="11" style="55" customWidth="1"/>
    <col min="8203" max="8448" width="9.26953125" style="55"/>
    <col min="8449" max="8449" width="0" style="55" hidden="1" customWidth="1"/>
    <col min="8450" max="8450" width="24.7265625" style="55" customWidth="1"/>
    <col min="8451" max="8451" width="11" style="55" customWidth="1"/>
    <col min="8452" max="8452" width="11.7265625" style="55" customWidth="1"/>
    <col min="8453" max="8458" width="11" style="55" customWidth="1"/>
    <col min="8459" max="8704" width="9.26953125" style="55"/>
    <col min="8705" max="8705" width="0" style="55" hidden="1" customWidth="1"/>
    <col min="8706" max="8706" width="24.7265625" style="55" customWidth="1"/>
    <col min="8707" max="8707" width="11" style="55" customWidth="1"/>
    <col min="8708" max="8708" width="11.7265625" style="55" customWidth="1"/>
    <col min="8709" max="8714" width="11" style="55" customWidth="1"/>
    <col min="8715" max="8960" width="9.26953125" style="55"/>
    <col min="8961" max="8961" width="0" style="55" hidden="1" customWidth="1"/>
    <col min="8962" max="8962" width="24.7265625" style="55" customWidth="1"/>
    <col min="8963" max="8963" width="11" style="55" customWidth="1"/>
    <col min="8964" max="8964" width="11.7265625" style="55" customWidth="1"/>
    <col min="8965" max="8970" width="11" style="55" customWidth="1"/>
    <col min="8971" max="9216" width="9.26953125" style="55"/>
    <col min="9217" max="9217" width="0" style="55" hidden="1" customWidth="1"/>
    <col min="9218" max="9218" width="24.7265625" style="55" customWidth="1"/>
    <col min="9219" max="9219" width="11" style="55" customWidth="1"/>
    <col min="9220" max="9220" width="11.7265625" style="55" customWidth="1"/>
    <col min="9221" max="9226" width="11" style="55" customWidth="1"/>
    <col min="9227" max="9472" width="9.26953125" style="55"/>
    <col min="9473" max="9473" width="0" style="55" hidden="1" customWidth="1"/>
    <col min="9474" max="9474" width="24.7265625" style="55" customWidth="1"/>
    <col min="9475" max="9475" width="11" style="55" customWidth="1"/>
    <col min="9476" max="9476" width="11.7265625" style="55" customWidth="1"/>
    <col min="9477" max="9482" width="11" style="55" customWidth="1"/>
    <col min="9483" max="9728" width="9.26953125" style="55"/>
    <col min="9729" max="9729" width="0" style="55" hidden="1" customWidth="1"/>
    <col min="9730" max="9730" width="24.7265625" style="55" customWidth="1"/>
    <col min="9731" max="9731" width="11" style="55" customWidth="1"/>
    <col min="9732" max="9732" width="11.7265625" style="55" customWidth="1"/>
    <col min="9733" max="9738" width="11" style="55" customWidth="1"/>
    <col min="9739" max="9984" width="9.26953125" style="55"/>
    <col min="9985" max="9985" width="0" style="55" hidden="1" customWidth="1"/>
    <col min="9986" max="9986" width="24.7265625" style="55" customWidth="1"/>
    <col min="9987" max="9987" width="11" style="55" customWidth="1"/>
    <col min="9988" max="9988" width="11.7265625" style="55" customWidth="1"/>
    <col min="9989" max="9994" width="11" style="55" customWidth="1"/>
    <col min="9995" max="10240" width="9.26953125" style="55"/>
    <col min="10241" max="10241" width="0" style="55" hidden="1" customWidth="1"/>
    <col min="10242" max="10242" width="24.7265625" style="55" customWidth="1"/>
    <col min="10243" max="10243" width="11" style="55" customWidth="1"/>
    <col min="10244" max="10244" width="11.7265625" style="55" customWidth="1"/>
    <col min="10245" max="10250" width="11" style="55" customWidth="1"/>
    <col min="10251" max="10496" width="9.26953125" style="55"/>
    <col min="10497" max="10497" width="0" style="55" hidden="1" customWidth="1"/>
    <col min="10498" max="10498" width="24.7265625" style="55" customWidth="1"/>
    <col min="10499" max="10499" width="11" style="55" customWidth="1"/>
    <col min="10500" max="10500" width="11.7265625" style="55" customWidth="1"/>
    <col min="10501" max="10506" width="11" style="55" customWidth="1"/>
    <col min="10507" max="10752" width="9.26953125" style="55"/>
    <col min="10753" max="10753" width="0" style="55" hidden="1" customWidth="1"/>
    <col min="10754" max="10754" width="24.7265625" style="55" customWidth="1"/>
    <col min="10755" max="10755" width="11" style="55" customWidth="1"/>
    <col min="10756" max="10756" width="11.7265625" style="55" customWidth="1"/>
    <col min="10757" max="10762" width="11" style="55" customWidth="1"/>
    <col min="10763" max="11008" width="9.26953125" style="55"/>
    <col min="11009" max="11009" width="0" style="55" hidden="1" customWidth="1"/>
    <col min="11010" max="11010" width="24.7265625" style="55" customWidth="1"/>
    <col min="11011" max="11011" width="11" style="55" customWidth="1"/>
    <col min="11012" max="11012" width="11.7265625" style="55" customWidth="1"/>
    <col min="11013" max="11018" width="11" style="55" customWidth="1"/>
    <col min="11019" max="11264" width="9.26953125" style="55"/>
    <col min="11265" max="11265" width="0" style="55" hidden="1" customWidth="1"/>
    <col min="11266" max="11266" width="24.7265625" style="55" customWidth="1"/>
    <col min="11267" max="11267" width="11" style="55" customWidth="1"/>
    <col min="11268" max="11268" width="11.7265625" style="55" customWidth="1"/>
    <col min="11269" max="11274" width="11" style="55" customWidth="1"/>
    <col min="11275" max="11520" width="9.26953125" style="55"/>
    <col min="11521" max="11521" width="0" style="55" hidden="1" customWidth="1"/>
    <col min="11522" max="11522" width="24.7265625" style="55" customWidth="1"/>
    <col min="11523" max="11523" width="11" style="55" customWidth="1"/>
    <col min="11524" max="11524" width="11.7265625" style="55" customWidth="1"/>
    <col min="11525" max="11530" width="11" style="55" customWidth="1"/>
    <col min="11531" max="11776" width="9.26953125" style="55"/>
    <col min="11777" max="11777" width="0" style="55" hidden="1" customWidth="1"/>
    <col min="11778" max="11778" width="24.7265625" style="55" customWidth="1"/>
    <col min="11779" max="11779" width="11" style="55" customWidth="1"/>
    <col min="11780" max="11780" width="11.7265625" style="55" customWidth="1"/>
    <col min="11781" max="11786" width="11" style="55" customWidth="1"/>
    <col min="11787" max="12032" width="9.26953125" style="55"/>
    <col min="12033" max="12033" width="0" style="55" hidden="1" customWidth="1"/>
    <col min="12034" max="12034" width="24.7265625" style="55" customWidth="1"/>
    <col min="12035" max="12035" width="11" style="55" customWidth="1"/>
    <col min="12036" max="12036" width="11.7265625" style="55" customWidth="1"/>
    <col min="12037" max="12042" width="11" style="55" customWidth="1"/>
    <col min="12043" max="12288" width="9.26953125" style="55"/>
    <col min="12289" max="12289" width="0" style="55" hidden="1" customWidth="1"/>
    <col min="12290" max="12290" width="24.7265625" style="55" customWidth="1"/>
    <col min="12291" max="12291" width="11" style="55" customWidth="1"/>
    <col min="12292" max="12292" width="11.7265625" style="55" customWidth="1"/>
    <col min="12293" max="12298" width="11" style="55" customWidth="1"/>
    <col min="12299" max="12544" width="9.26953125" style="55"/>
    <col min="12545" max="12545" width="0" style="55" hidden="1" customWidth="1"/>
    <col min="12546" max="12546" width="24.7265625" style="55" customWidth="1"/>
    <col min="12547" max="12547" width="11" style="55" customWidth="1"/>
    <col min="12548" max="12548" width="11.7265625" style="55" customWidth="1"/>
    <col min="12549" max="12554" width="11" style="55" customWidth="1"/>
    <col min="12555" max="12800" width="9.26953125" style="55"/>
    <col min="12801" max="12801" width="0" style="55" hidden="1" customWidth="1"/>
    <col min="12802" max="12802" width="24.7265625" style="55" customWidth="1"/>
    <col min="12803" max="12803" width="11" style="55" customWidth="1"/>
    <col min="12804" max="12804" width="11.7265625" style="55" customWidth="1"/>
    <col min="12805" max="12810" width="11" style="55" customWidth="1"/>
    <col min="12811" max="13056" width="9.26953125" style="55"/>
    <col min="13057" max="13057" width="0" style="55" hidden="1" customWidth="1"/>
    <col min="13058" max="13058" width="24.7265625" style="55" customWidth="1"/>
    <col min="13059" max="13059" width="11" style="55" customWidth="1"/>
    <col min="13060" max="13060" width="11.7265625" style="55" customWidth="1"/>
    <col min="13061" max="13066" width="11" style="55" customWidth="1"/>
    <col min="13067" max="13312" width="9.26953125" style="55"/>
    <col min="13313" max="13313" width="0" style="55" hidden="1" customWidth="1"/>
    <col min="13314" max="13314" width="24.7265625" style="55" customWidth="1"/>
    <col min="13315" max="13315" width="11" style="55" customWidth="1"/>
    <col min="13316" max="13316" width="11.7265625" style="55" customWidth="1"/>
    <col min="13317" max="13322" width="11" style="55" customWidth="1"/>
    <col min="13323" max="13568" width="9.26953125" style="55"/>
    <col min="13569" max="13569" width="0" style="55" hidden="1" customWidth="1"/>
    <col min="13570" max="13570" width="24.7265625" style="55" customWidth="1"/>
    <col min="13571" max="13571" width="11" style="55" customWidth="1"/>
    <col min="13572" max="13572" width="11.7265625" style="55" customWidth="1"/>
    <col min="13573" max="13578" width="11" style="55" customWidth="1"/>
    <col min="13579" max="13824" width="9.26953125" style="55"/>
    <col min="13825" max="13825" width="0" style="55" hidden="1" customWidth="1"/>
    <col min="13826" max="13826" width="24.7265625" style="55" customWidth="1"/>
    <col min="13827" max="13827" width="11" style="55" customWidth="1"/>
    <col min="13828" max="13828" width="11.7265625" style="55" customWidth="1"/>
    <col min="13829" max="13834" width="11" style="55" customWidth="1"/>
    <col min="13835" max="14080" width="9.26953125" style="55"/>
    <col min="14081" max="14081" width="0" style="55" hidden="1" customWidth="1"/>
    <col min="14082" max="14082" width="24.7265625" style="55" customWidth="1"/>
    <col min="14083" max="14083" width="11" style="55" customWidth="1"/>
    <col min="14084" max="14084" width="11.7265625" style="55" customWidth="1"/>
    <col min="14085" max="14090" width="11" style="55" customWidth="1"/>
    <col min="14091" max="14336" width="9.26953125" style="55"/>
    <col min="14337" max="14337" width="0" style="55" hidden="1" customWidth="1"/>
    <col min="14338" max="14338" width="24.7265625" style="55" customWidth="1"/>
    <col min="14339" max="14339" width="11" style="55" customWidth="1"/>
    <col min="14340" max="14340" width="11.7265625" style="55" customWidth="1"/>
    <col min="14341" max="14346" width="11" style="55" customWidth="1"/>
    <col min="14347" max="14592" width="9.26953125" style="55"/>
    <col min="14593" max="14593" width="0" style="55" hidden="1" customWidth="1"/>
    <col min="14594" max="14594" width="24.7265625" style="55" customWidth="1"/>
    <col min="14595" max="14595" width="11" style="55" customWidth="1"/>
    <col min="14596" max="14596" width="11.7265625" style="55" customWidth="1"/>
    <col min="14597" max="14602" width="11" style="55" customWidth="1"/>
    <col min="14603" max="14848" width="9.26953125" style="55"/>
    <col min="14849" max="14849" width="0" style="55" hidden="1" customWidth="1"/>
    <col min="14850" max="14850" width="24.7265625" style="55" customWidth="1"/>
    <col min="14851" max="14851" width="11" style="55" customWidth="1"/>
    <col min="14852" max="14852" width="11.7265625" style="55" customWidth="1"/>
    <col min="14853" max="14858" width="11" style="55" customWidth="1"/>
    <col min="14859" max="15104" width="9.26953125" style="55"/>
    <col min="15105" max="15105" width="0" style="55" hidden="1" customWidth="1"/>
    <col min="15106" max="15106" width="24.7265625" style="55" customWidth="1"/>
    <col min="15107" max="15107" width="11" style="55" customWidth="1"/>
    <col min="15108" max="15108" width="11.7265625" style="55" customWidth="1"/>
    <col min="15109" max="15114" width="11" style="55" customWidth="1"/>
    <col min="15115" max="15360" width="9.26953125" style="55"/>
    <col min="15361" max="15361" width="0" style="55" hidden="1" customWidth="1"/>
    <col min="15362" max="15362" width="24.7265625" style="55" customWidth="1"/>
    <col min="15363" max="15363" width="11" style="55" customWidth="1"/>
    <col min="15364" max="15364" width="11.7265625" style="55" customWidth="1"/>
    <col min="15365" max="15370" width="11" style="55" customWidth="1"/>
    <col min="15371" max="15616" width="9.26953125" style="55"/>
    <col min="15617" max="15617" width="0" style="55" hidden="1" customWidth="1"/>
    <col min="15618" max="15618" width="24.7265625" style="55" customWidth="1"/>
    <col min="15619" max="15619" width="11" style="55" customWidth="1"/>
    <col min="15620" max="15620" width="11.7265625" style="55" customWidth="1"/>
    <col min="15621" max="15626" width="11" style="55" customWidth="1"/>
    <col min="15627" max="15872" width="9.26953125" style="55"/>
    <col min="15873" max="15873" width="0" style="55" hidden="1" customWidth="1"/>
    <col min="15874" max="15874" width="24.7265625" style="55" customWidth="1"/>
    <col min="15875" max="15875" width="11" style="55" customWidth="1"/>
    <col min="15876" max="15876" width="11.7265625" style="55" customWidth="1"/>
    <col min="15877" max="15882" width="11" style="55" customWidth="1"/>
    <col min="15883" max="16128" width="9.26953125" style="55"/>
    <col min="16129" max="16129" width="0" style="55" hidden="1" customWidth="1"/>
    <col min="16130" max="16130" width="24.7265625" style="55" customWidth="1"/>
    <col min="16131" max="16131" width="11" style="55" customWidth="1"/>
    <col min="16132" max="16132" width="11.7265625" style="55" customWidth="1"/>
    <col min="16133" max="16138" width="11" style="55" customWidth="1"/>
    <col min="16139" max="16384" width="9.26953125" style="55"/>
  </cols>
  <sheetData>
    <row r="1" spans="1:12" ht="48" customHeight="1" x14ac:dyDescent="0.3">
      <c r="B1" s="298" t="s">
        <v>101</v>
      </c>
      <c r="C1" s="298"/>
      <c r="D1" s="298"/>
      <c r="E1" s="298"/>
      <c r="F1" s="298"/>
      <c r="G1" s="298"/>
      <c r="H1" s="298"/>
      <c r="I1" s="298"/>
      <c r="J1" s="298"/>
    </row>
    <row r="2" spans="1:12" ht="12.75" customHeight="1" x14ac:dyDescent="0.3">
      <c r="B2" s="299"/>
      <c r="C2" s="304" t="s">
        <v>1</v>
      </c>
      <c r="D2" s="304"/>
      <c r="E2" s="306" t="s">
        <v>2</v>
      </c>
      <c r="F2" s="306"/>
      <c r="G2" s="306"/>
      <c r="H2" s="306"/>
      <c r="I2" s="307" t="s">
        <v>5</v>
      </c>
      <c r="J2" s="307"/>
    </row>
    <row r="3" spans="1:12" ht="30" customHeight="1" x14ac:dyDescent="0.3">
      <c r="A3" s="4"/>
      <c r="B3" s="299"/>
      <c r="C3" s="305"/>
      <c r="D3" s="305"/>
      <c r="E3" s="30" t="s">
        <v>3</v>
      </c>
      <c r="F3" s="30"/>
      <c r="G3" s="30" t="s">
        <v>4</v>
      </c>
      <c r="H3" s="30"/>
      <c r="I3" s="305"/>
      <c r="J3" s="305"/>
    </row>
    <row r="4" spans="1:12" ht="45.75" customHeight="1" x14ac:dyDescent="0.3">
      <c r="B4" s="303"/>
      <c r="C4" s="31" t="s">
        <v>59</v>
      </c>
      <c r="D4" s="176" t="s">
        <v>60</v>
      </c>
      <c r="E4" s="31" t="s">
        <v>59</v>
      </c>
      <c r="F4" s="176" t="s">
        <v>60</v>
      </c>
      <c r="G4" s="31" t="s">
        <v>59</v>
      </c>
      <c r="H4" s="176" t="s">
        <v>60</v>
      </c>
      <c r="I4" s="31" t="s">
        <v>59</v>
      </c>
      <c r="J4" s="176" t="s">
        <v>60</v>
      </c>
    </row>
    <row r="5" spans="1:12" ht="30" customHeight="1" x14ac:dyDescent="0.3">
      <c r="B5" s="11" t="s">
        <v>6</v>
      </c>
      <c r="C5" s="18">
        <v>962</v>
      </c>
      <c r="D5" s="18">
        <v>267</v>
      </c>
      <c r="E5" s="18">
        <v>226</v>
      </c>
      <c r="F5" s="18">
        <v>54</v>
      </c>
      <c r="G5" s="18">
        <v>25</v>
      </c>
      <c r="H5" s="18">
        <v>8</v>
      </c>
      <c r="I5" s="18">
        <v>2</v>
      </c>
      <c r="J5" s="18">
        <v>0</v>
      </c>
      <c r="L5" s="8"/>
    </row>
    <row r="6" spans="1:12" s="11" customFormat="1" ht="25.5" customHeight="1" x14ac:dyDescent="0.3">
      <c r="A6" s="9"/>
      <c r="B6" s="11" t="s">
        <v>7</v>
      </c>
      <c r="C6" s="34">
        <v>618</v>
      </c>
      <c r="D6" s="34">
        <v>185</v>
      </c>
      <c r="E6" s="34">
        <v>141</v>
      </c>
      <c r="F6" s="34">
        <v>34</v>
      </c>
      <c r="G6" s="34">
        <v>8</v>
      </c>
      <c r="H6" s="34">
        <v>6</v>
      </c>
      <c r="I6" s="34">
        <v>2</v>
      </c>
      <c r="J6" s="34">
        <v>0</v>
      </c>
    </row>
    <row r="7" spans="1:12" ht="12.75" customHeight="1" x14ac:dyDescent="0.3">
      <c r="A7" s="12">
        <v>51</v>
      </c>
      <c r="B7" s="55" t="s">
        <v>8</v>
      </c>
      <c r="C7" s="36">
        <v>8</v>
      </c>
      <c r="D7" s="36">
        <v>1</v>
      </c>
      <c r="E7" s="36">
        <v>1</v>
      </c>
      <c r="F7" s="36">
        <v>1</v>
      </c>
      <c r="G7" s="36">
        <v>0</v>
      </c>
      <c r="H7" s="37">
        <v>0</v>
      </c>
      <c r="I7" s="37">
        <v>0</v>
      </c>
      <c r="J7" s="37">
        <v>0</v>
      </c>
    </row>
    <row r="8" spans="1:12" ht="12.75" customHeight="1" x14ac:dyDescent="0.3">
      <c r="A8" s="12">
        <v>52</v>
      </c>
      <c r="B8" s="55" t="s">
        <v>9</v>
      </c>
      <c r="C8" s="36">
        <v>19</v>
      </c>
      <c r="D8" s="36">
        <v>3</v>
      </c>
      <c r="E8" s="36">
        <v>6</v>
      </c>
      <c r="F8" s="36">
        <v>0</v>
      </c>
      <c r="G8" s="36">
        <v>0</v>
      </c>
      <c r="H8" s="37">
        <v>0</v>
      </c>
      <c r="I8" s="37">
        <v>0</v>
      </c>
      <c r="J8" s="37">
        <v>0</v>
      </c>
    </row>
    <row r="9" spans="1:12" ht="12.75" customHeight="1" x14ac:dyDescent="0.3">
      <c r="A9" s="12">
        <v>86</v>
      </c>
      <c r="B9" s="55" t="s">
        <v>10</v>
      </c>
      <c r="C9" s="37">
        <v>17</v>
      </c>
      <c r="D9" s="37">
        <v>7</v>
      </c>
      <c r="E9" s="37">
        <v>3</v>
      </c>
      <c r="F9" s="37">
        <v>2</v>
      </c>
      <c r="G9" s="37">
        <v>3</v>
      </c>
      <c r="H9" s="37">
        <v>2</v>
      </c>
      <c r="I9" s="37">
        <v>0</v>
      </c>
      <c r="J9" s="37">
        <v>0</v>
      </c>
    </row>
    <row r="10" spans="1:12" ht="12.75" customHeight="1" x14ac:dyDescent="0.3">
      <c r="A10" s="12">
        <v>53</v>
      </c>
      <c r="B10" s="55" t="s">
        <v>11</v>
      </c>
      <c r="C10" s="36">
        <v>13</v>
      </c>
      <c r="D10" s="36">
        <v>1</v>
      </c>
      <c r="E10" s="36">
        <v>1</v>
      </c>
      <c r="F10" s="36">
        <v>0</v>
      </c>
      <c r="G10" s="36">
        <v>0</v>
      </c>
      <c r="H10" s="37">
        <v>0</v>
      </c>
      <c r="I10" s="37">
        <v>0</v>
      </c>
      <c r="J10" s="37">
        <v>0</v>
      </c>
    </row>
    <row r="11" spans="1:12" ht="12.75" customHeight="1" x14ac:dyDescent="0.3">
      <c r="A11" s="12">
        <v>54</v>
      </c>
      <c r="B11" s="55" t="s">
        <v>12</v>
      </c>
      <c r="C11" s="36">
        <v>37</v>
      </c>
      <c r="D11" s="36">
        <v>15</v>
      </c>
      <c r="E11" s="36">
        <v>6</v>
      </c>
      <c r="F11" s="36">
        <v>2</v>
      </c>
      <c r="G11" s="36">
        <v>0</v>
      </c>
      <c r="H11" s="37">
        <v>0</v>
      </c>
      <c r="I11" s="37">
        <v>0</v>
      </c>
      <c r="J11" s="37">
        <v>0</v>
      </c>
    </row>
    <row r="12" spans="1:12" ht="12.75" customHeight="1" x14ac:dyDescent="0.3">
      <c r="A12" s="12">
        <v>55</v>
      </c>
      <c r="B12" s="55" t="s">
        <v>13</v>
      </c>
      <c r="C12" s="36">
        <v>4</v>
      </c>
      <c r="D12" s="36">
        <v>2</v>
      </c>
      <c r="E12" s="36">
        <v>0</v>
      </c>
      <c r="F12" s="36">
        <v>0</v>
      </c>
      <c r="G12" s="36">
        <v>0</v>
      </c>
      <c r="H12" s="37">
        <v>0</v>
      </c>
      <c r="I12" s="37">
        <v>0</v>
      </c>
      <c r="J12" s="37">
        <v>0</v>
      </c>
    </row>
    <row r="13" spans="1:12" ht="12.75" customHeight="1" x14ac:dyDescent="0.3">
      <c r="A13" s="12">
        <v>56</v>
      </c>
      <c r="B13" s="55" t="s">
        <v>14</v>
      </c>
      <c r="C13" s="36">
        <v>5</v>
      </c>
      <c r="D13" s="36">
        <v>6</v>
      </c>
      <c r="E13" s="36">
        <v>1</v>
      </c>
      <c r="F13" s="36">
        <v>2</v>
      </c>
      <c r="G13" s="36">
        <v>0</v>
      </c>
      <c r="H13" s="37">
        <v>1</v>
      </c>
      <c r="I13" s="37">
        <v>0</v>
      </c>
      <c r="J13" s="37">
        <v>0</v>
      </c>
    </row>
    <row r="14" spans="1:12" ht="12.75" customHeight="1" x14ac:dyDescent="0.3">
      <c r="A14" s="12">
        <v>57</v>
      </c>
      <c r="B14" s="55" t="s">
        <v>15</v>
      </c>
      <c r="C14" s="36">
        <v>28</v>
      </c>
      <c r="D14" s="36">
        <v>6</v>
      </c>
      <c r="E14" s="36">
        <v>9</v>
      </c>
      <c r="F14" s="36">
        <v>1</v>
      </c>
      <c r="G14" s="36">
        <v>0</v>
      </c>
      <c r="H14" s="37">
        <v>0</v>
      </c>
      <c r="I14" s="37">
        <v>0</v>
      </c>
      <c r="J14" s="37">
        <v>0</v>
      </c>
    </row>
    <row r="15" spans="1:12" ht="12.75" customHeight="1" x14ac:dyDescent="0.3">
      <c r="A15" s="12">
        <v>59</v>
      </c>
      <c r="B15" s="55" t="s">
        <v>16</v>
      </c>
      <c r="C15" s="36">
        <v>1</v>
      </c>
      <c r="D15" s="36">
        <v>1</v>
      </c>
      <c r="E15" s="36">
        <v>3</v>
      </c>
      <c r="F15" s="36">
        <v>0</v>
      </c>
      <c r="G15" s="36">
        <v>0</v>
      </c>
      <c r="H15" s="37">
        <v>0</v>
      </c>
      <c r="I15" s="37">
        <v>0</v>
      </c>
      <c r="J15" s="37">
        <v>0</v>
      </c>
    </row>
    <row r="16" spans="1:12" ht="12.75" customHeight="1" x14ac:dyDescent="0.3">
      <c r="A16" s="12">
        <v>60</v>
      </c>
      <c r="B16" s="55" t="s">
        <v>17</v>
      </c>
      <c r="C16" s="36">
        <v>7</v>
      </c>
      <c r="D16" s="36">
        <v>2</v>
      </c>
      <c r="E16" s="36">
        <v>2</v>
      </c>
      <c r="F16" s="36">
        <v>1</v>
      </c>
      <c r="G16" s="36">
        <v>0</v>
      </c>
      <c r="H16" s="37">
        <v>0</v>
      </c>
      <c r="I16" s="37">
        <v>0</v>
      </c>
      <c r="J16" s="37">
        <v>0</v>
      </c>
    </row>
    <row r="17" spans="1:10" ht="12.75" customHeight="1" x14ac:dyDescent="0.3">
      <c r="A17" s="12">
        <v>61</v>
      </c>
      <c r="B17" s="38" t="s">
        <v>18</v>
      </c>
      <c r="C17" s="36">
        <v>31</v>
      </c>
      <c r="D17" s="36">
        <v>10</v>
      </c>
      <c r="E17" s="36">
        <v>11</v>
      </c>
      <c r="F17" s="36">
        <v>0</v>
      </c>
      <c r="G17" s="36">
        <v>1</v>
      </c>
      <c r="H17" s="37">
        <v>1</v>
      </c>
      <c r="I17" s="37">
        <v>0</v>
      </c>
      <c r="J17" s="37">
        <v>0</v>
      </c>
    </row>
    <row r="18" spans="1:10" s="183" customFormat="1" ht="12.75" customHeight="1" x14ac:dyDescent="0.3">
      <c r="A18" s="12"/>
      <c r="B18" s="130" t="s">
        <v>122</v>
      </c>
      <c r="C18" s="163">
        <v>24</v>
      </c>
      <c r="D18" s="163">
        <v>13</v>
      </c>
      <c r="E18" s="163">
        <v>5</v>
      </c>
      <c r="F18" s="163">
        <v>5</v>
      </c>
      <c r="G18" s="163">
        <v>0</v>
      </c>
      <c r="H18" s="163">
        <v>0</v>
      </c>
      <c r="I18" s="163">
        <v>0</v>
      </c>
      <c r="J18" s="163">
        <v>0</v>
      </c>
    </row>
    <row r="19" spans="1:10" ht="12.75" customHeight="1" x14ac:dyDescent="0.3">
      <c r="A19" s="12">
        <v>58</v>
      </c>
      <c r="B19" s="55" t="s">
        <v>20</v>
      </c>
      <c r="C19" s="36">
        <v>5</v>
      </c>
      <c r="D19" s="36">
        <v>2</v>
      </c>
      <c r="E19" s="36">
        <v>0</v>
      </c>
      <c r="F19" s="36">
        <v>0</v>
      </c>
      <c r="G19" s="36">
        <v>0</v>
      </c>
      <c r="H19" s="37">
        <v>0</v>
      </c>
      <c r="I19" s="37">
        <v>0</v>
      </c>
      <c r="J19" s="37">
        <v>0</v>
      </c>
    </row>
    <row r="20" spans="1:10" ht="12.75" customHeight="1" x14ac:dyDescent="0.3">
      <c r="A20" s="12">
        <v>63</v>
      </c>
      <c r="B20" s="55" t="s">
        <v>21</v>
      </c>
      <c r="C20" s="36">
        <v>25</v>
      </c>
      <c r="D20" s="36">
        <v>9</v>
      </c>
      <c r="E20" s="36">
        <v>6</v>
      </c>
      <c r="F20" s="36">
        <v>1</v>
      </c>
      <c r="G20" s="36">
        <v>0</v>
      </c>
      <c r="H20" s="37">
        <v>0</v>
      </c>
      <c r="I20" s="37">
        <v>0</v>
      </c>
      <c r="J20" s="37">
        <v>0</v>
      </c>
    </row>
    <row r="21" spans="1:10" ht="12.75" customHeight="1" x14ac:dyDescent="0.3">
      <c r="A21" s="12">
        <v>64</v>
      </c>
      <c r="B21" s="55" t="s">
        <v>22</v>
      </c>
      <c r="C21" s="36">
        <v>2</v>
      </c>
      <c r="D21" s="36">
        <v>7</v>
      </c>
      <c r="E21" s="36">
        <v>1</v>
      </c>
      <c r="F21" s="36">
        <v>0</v>
      </c>
      <c r="G21" s="36">
        <v>0</v>
      </c>
      <c r="H21" s="37">
        <v>0</v>
      </c>
      <c r="I21" s="37">
        <v>0</v>
      </c>
      <c r="J21" s="37">
        <v>0</v>
      </c>
    </row>
    <row r="22" spans="1:10" ht="12.75" customHeight="1" x14ac:dyDescent="0.3">
      <c r="A22" s="12">
        <v>65</v>
      </c>
      <c r="B22" s="55" t="s">
        <v>23</v>
      </c>
      <c r="C22" s="36">
        <v>16</v>
      </c>
      <c r="D22" s="36">
        <v>7</v>
      </c>
      <c r="E22" s="36">
        <v>3</v>
      </c>
      <c r="F22" s="36">
        <v>5</v>
      </c>
      <c r="G22" s="36">
        <v>0</v>
      </c>
      <c r="H22" s="37">
        <v>0</v>
      </c>
      <c r="I22" s="37">
        <v>0</v>
      </c>
      <c r="J22" s="37">
        <v>0</v>
      </c>
    </row>
    <row r="23" spans="1:10" ht="12.75" customHeight="1" x14ac:dyDescent="0.3">
      <c r="A23" s="12">
        <v>67</v>
      </c>
      <c r="B23" s="55" t="s">
        <v>24</v>
      </c>
      <c r="C23" s="36">
        <v>41</v>
      </c>
      <c r="D23" s="36">
        <v>12</v>
      </c>
      <c r="E23" s="36">
        <v>4</v>
      </c>
      <c r="F23" s="36">
        <v>0</v>
      </c>
      <c r="G23" s="36">
        <v>1</v>
      </c>
      <c r="H23" s="37">
        <v>0</v>
      </c>
      <c r="I23" s="37">
        <v>2</v>
      </c>
      <c r="J23" s="37">
        <v>0</v>
      </c>
    </row>
    <row r="24" spans="1:10" ht="12.75" customHeight="1" x14ac:dyDescent="0.3">
      <c r="A24" s="12">
        <v>68</v>
      </c>
      <c r="B24" s="55" t="s">
        <v>25</v>
      </c>
      <c r="C24" s="36">
        <v>27</v>
      </c>
      <c r="D24" s="36">
        <v>7</v>
      </c>
      <c r="E24" s="36">
        <v>10</v>
      </c>
      <c r="F24" s="36">
        <v>1</v>
      </c>
      <c r="G24" s="36">
        <v>1</v>
      </c>
      <c r="H24" s="37">
        <v>0</v>
      </c>
      <c r="I24" s="37">
        <v>0</v>
      </c>
      <c r="J24" s="37">
        <v>0</v>
      </c>
    </row>
    <row r="25" spans="1:10" ht="12.75" customHeight="1" x14ac:dyDescent="0.3">
      <c r="A25" s="12">
        <v>69</v>
      </c>
      <c r="B25" s="55" t="s">
        <v>26</v>
      </c>
      <c r="C25" s="36">
        <v>18</v>
      </c>
      <c r="D25" s="36">
        <v>9</v>
      </c>
      <c r="E25" s="36">
        <v>6</v>
      </c>
      <c r="F25" s="36">
        <v>0</v>
      </c>
      <c r="G25" s="36">
        <v>1</v>
      </c>
      <c r="H25" s="37">
        <v>0</v>
      </c>
      <c r="I25" s="37">
        <v>0</v>
      </c>
      <c r="J25" s="37">
        <v>0</v>
      </c>
    </row>
    <row r="26" spans="1:10" ht="12.75" customHeight="1" x14ac:dyDescent="0.3">
      <c r="A26" s="12">
        <v>70</v>
      </c>
      <c r="B26" s="55" t="s">
        <v>27</v>
      </c>
      <c r="C26" s="36">
        <v>16</v>
      </c>
      <c r="D26" s="36">
        <v>6</v>
      </c>
      <c r="E26" s="36">
        <v>3</v>
      </c>
      <c r="F26" s="36">
        <v>0</v>
      </c>
      <c r="G26" s="36">
        <v>0</v>
      </c>
      <c r="H26" s="37">
        <v>0</v>
      </c>
      <c r="I26" s="37">
        <v>0</v>
      </c>
      <c r="J26" s="37">
        <v>0</v>
      </c>
    </row>
    <row r="27" spans="1:10" ht="12.75" customHeight="1" x14ac:dyDescent="0.3">
      <c r="A27" s="12">
        <v>71</v>
      </c>
      <c r="B27" s="39" t="s">
        <v>28</v>
      </c>
      <c r="C27" s="36">
        <v>2</v>
      </c>
      <c r="D27" s="36">
        <v>2</v>
      </c>
      <c r="E27" s="36">
        <v>0</v>
      </c>
      <c r="F27" s="36">
        <v>0</v>
      </c>
      <c r="G27" s="36">
        <v>0</v>
      </c>
      <c r="H27" s="37">
        <v>0</v>
      </c>
      <c r="I27" s="37">
        <v>0</v>
      </c>
      <c r="J27" s="37">
        <v>0</v>
      </c>
    </row>
    <row r="28" spans="1:10" ht="12.75" customHeight="1" x14ac:dyDescent="0.3">
      <c r="A28" s="12">
        <v>73</v>
      </c>
      <c r="B28" s="55" t="s">
        <v>29</v>
      </c>
      <c r="C28" s="40">
        <v>29</v>
      </c>
      <c r="D28" s="40">
        <v>4</v>
      </c>
      <c r="E28" s="40">
        <v>6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</row>
    <row r="29" spans="1:10" ht="12.75" customHeight="1" x14ac:dyDescent="0.3">
      <c r="A29" s="12">
        <v>74</v>
      </c>
      <c r="B29" s="55" t="s">
        <v>30</v>
      </c>
      <c r="C29" s="36">
        <v>21</v>
      </c>
      <c r="D29" s="36">
        <v>2</v>
      </c>
      <c r="E29" s="36">
        <v>4</v>
      </c>
      <c r="F29" s="36">
        <v>1</v>
      </c>
      <c r="G29" s="36">
        <v>0</v>
      </c>
      <c r="H29" s="37">
        <v>0</v>
      </c>
      <c r="I29" s="37">
        <v>0</v>
      </c>
      <c r="J29" s="37">
        <v>0</v>
      </c>
    </row>
    <row r="30" spans="1:10" ht="12.75" customHeight="1" x14ac:dyDescent="0.3">
      <c r="A30" s="12">
        <v>75</v>
      </c>
      <c r="B30" s="55" t="s">
        <v>31</v>
      </c>
      <c r="C30" s="36">
        <v>15</v>
      </c>
      <c r="D30" s="36">
        <v>2</v>
      </c>
      <c r="E30" s="36">
        <v>6</v>
      </c>
      <c r="F30" s="36">
        <v>0</v>
      </c>
      <c r="G30" s="36">
        <v>0</v>
      </c>
      <c r="H30" s="37">
        <v>0</v>
      </c>
      <c r="I30" s="37">
        <v>0</v>
      </c>
      <c r="J30" s="37">
        <v>0</v>
      </c>
    </row>
    <row r="31" spans="1:10" ht="12.75" customHeight="1" x14ac:dyDescent="0.3">
      <c r="A31" s="12">
        <v>76</v>
      </c>
      <c r="B31" s="55" t="s">
        <v>32</v>
      </c>
      <c r="C31" s="37">
        <v>8</v>
      </c>
      <c r="D31" s="37">
        <v>1</v>
      </c>
      <c r="E31" s="37">
        <v>3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</row>
    <row r="32" spans="1:10" ht="12.75" customHeight="1" x14ac:dyDescent="0.3">
      <c r="A32" s="12">
        <v>79</v>
      </c>
      <c r="B32" s="55" t="s">
        <v>33</v>
      </c>
      <c r="C32" s="37">
        <v>25</v>
      </c>
      <c r="D32" s="37">
        <v>16</v>
      </c>
      <c r="E32" s="37">
        <v>4</v>
      </c>
      <c r="F32" s="37">
        <v>6</v>
      </c>
      <c r="G32" s="37">
        <v>0</v>
      </c>
      <c r="H32" s="37">
        <v>0</v>
      </c>
      <c r="I32" s="37">
        <v>0</v>
      </c>
      <c r="J32" s="37">
        <v>0</v>
      </c>
    </row>
    <row r="33" spans="1:12" ht="12.75" customHeight="1" x14ac:dyDescent="0.3">
      <c r="A33" s="12">
        <v>80</v>
      </c>
      <c r="B33" s="55" t="s">
        <v>34</v>
      </c>
      <c r="C33" s="37">
        <v>11</v>
      </c>
      <c r="D33" s="37">
        <v>2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</row>
    <row r="34" spans="1:12" ht="12.75" customHeight="1" x14ac:dyDescent="0.3">
      <c r="A34" s="12">
        <v>81</v>
      </c>
      <c r="B34" s="55" t="s">
        <v>35</v>
      </c>
      <c r="C34" s="37">
        <v>23</v>
      </c>
      <c r="D34" s="37">
        <v>1</v>
      </c>
      <c r="E34" s="37">
        <v>6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</row>
    <row r="35" spans="1:12" ht="12.75" customHeight="1" x14ac:dyDescent="0.3">
      <c r="A35" s="12">
        <v>83</v>
      </c>
      <c r="B35" s="55" t="s">
        <v>36</v>
      </c>
      <c r="C35" s="37">
        <v>3</v>
      </c>
      <c r="D35" s="37">
        <v>1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</row>
    <row r="36" spans="1:12" ht="12.75" customHeight="1" x14ac:dyDescent="0.3">
      <c r="A36" s="12">
        <v>84</v>
      </c>
      <c r="B36" s="55" t="s">
        <v>37</v>
      </c>
      <c r="C36" s="37">
        <v>18</v>
      </c>
      <c r="D36" s="37">
        <v>7</v>
      </c>
      <c r="E36" s="37">
        <v>4</v>
      </c>
      <c r="F36" s="37">
        <v>1</v>
      </c>
      <c r="G36" s="37">
        <v>0</v>
      </c>
      <c r="H36" s="37">
        <v>0</v>
      </c>
      <c r="I36" s="37">
        <v>0</v>
      </c>
      <c r="J36" s="37">
        <v>0</v>
      </c>
    </row>
    <row r="37" spans="1:12" ht="12.75" customHeight="1" x14ac:dyDescent="0.3">
      <c r="A37" s="12">
        <v>85</v>
      </c>
      <c r="B37" s="55" t="s">
        <v>38</v>
      </c>
      <c r="C37" s="37">
        <v>15</v>
      </c>
      <c r="D37" s="37">
        <v>1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</row>
    <row r="38" spans="1:12" ht="12.75" customHeight="1" x14ac:dyDescent="0.3">
      <c r="A38" s="12">
        <v>87</v>
      </c>
      <c r="B38" s="55" t="s">
        <v>39</v>
      </c>
      <c r="C38" s="37">
        <v>13</v>
      </c>
      <c r="D38" s="37">
        <v>6</v>
      </c>
      <c r="E38" s="37">
        <v>1</v>
      </c>
      <c r="F38" s="37">
        <v>1</v>
      </c>
      <c r="G38" s="37">
        <v>0</v>
      </c>
      <c r="H38" s="37">
        <v>0</v>
      </c>
      <c r="I38" s="37">
        <v>0</v>
      </c>
      <c r="J38" s="37">
        <v>0</v>
      </c>
    </row>
    <row r="39" spans="1:12" ht="12.75" customHeight="1" x14ac:dyDescent="0.3">
      <c r="A39" s="12">
        <v>90</v>
      </c>
      <c r="B39" s="55" t="s">
        <v>40</v>
      </c>
      <c r="C39" s="37">
        <v>21</v>
      </c>
      <c r="D39" s="37">
        <v>3</v>
      </c>
      <c r="E39" s="37">
        <v>4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</row>
    <row r="40" spans="1:12" ht="12.75" customHeight="1" x14ac:dyDescent="0.3">
      <c r="A40" s="12">
        <v>91</v>
      </c>
      <c r="B40" s="55" t="s">
        <v>41</v>
      </c>
      <c r="C40" s="37">
        <v>25</v>
      </c>
      <c r="D40" s="37">
        <v>1</v>
      </c>
      <c r="E40" s="37">
        <v>6</v>
      </c>
      <c r="F40" s="37">
        <v>0</v>
      </c>
      <c r="G40" s="37">
        <v>1</v>
      </c>
      <c r="H40" s="37">
        <v>1</v>
      </c>
      <c r="I40" s="37">
        <v>0</v>
      </c>
      <c r="J40" s="37">
        <v>0</v>
      </c>
      <c r="K40" s="11"/>
    </row>
    <row r="41" spans="1:12" ht="12.75" customHeight="1" x14ac:dyDescent="0.3">
      <c r="A41" s="12">
        <v>92</v>
      </c>
      <c r="B41" s="55" t="s">
        <v>42</v>
      </c>
      <c r="C41" s="37">
        <v>18</v>
      </c>
      <c r="D41" s="37">
        <v>5</v>
      </c>
      <c r="E41" s="37">
        <v>4</v>
      </c>
      <c r="F41" s="37">
        <v>2</v>
      </c>
      <c r="G41" s="37">
        <v>0</v>
      </c>
      <c r="H41" s="37">
        <v>0</v>
      </c>
      <c r="I41" s="37">
        <v>0</v>
      </c>
      <c r="J41" s="37">
        <v>0</v>
      </c>
    </row>
    <row r="42" spans="1:12" ht="12.75" customHeight="1" x14ac:dyDescent="0.3">
      <c r="A42" s="12">
        <v>94</v>
      </c>
      <c r="B42" s="55" t="s">
        <v>43</v>
      </c>
      <c r="C42" s="37">
        <v>15</v>
      </c>
      <c r="D42" s="37">
        <v>2</v>
      </c>
      <c r="E42" s="37">
        <v>6</v>
      </c>
      <c r="F42" s="37">
        <v>1</v>
      </c>
      <c r="G42" s="37">
        <v>0</v>
      </c>
      <c r="H42" s="37">
        <v>0</v>
      </c>
      <c r="I42" s="37">
        <v>0</v>
      </c>
      <c r="J42" s="37">
        <v>0</v>
      </c>
    </row>
    <row r="43" spans="1:12" ht="12.75" customHeight="1" x14ac:dyDescent="0.3">
      <c r="A43" s="12">
        <v>96</v>
      </c>
      <c r="B43" s="55" t="s">
        <v>44</v>
      </c>
      <c r="C43" s="37">
        <v>12</v>
      </c>
      <c r="D43" s="37">
        <v>3</v>
      </c>
      <c r="E43" s="37">
        <v>4</v>
      </c>
      <c r="F43" s="37">
        <v>1</v>
      </c>
      <c r="G43" s="37">
        <v>0</v>
      </c>
      <c r="H43" s="37">
        <v>0</v>
      </c>
      <c r="I43" s="37">
        <v>0</v>
      </c>
      <c r="J43" s="37">
        <v>0</v>
      </c>
      <c r="L43" s="11"/>
    </row>
    <row r="44" spans="1:12" ht="12.75" customHeight="1" x14ac:dyDescent="0.3">
      <c r="A44" s="12">
        <v>72</v>
      </c>
      <c r="B44" s="39" t="s">
        <v>46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7">
        <v>0</v>
      </c>
      <c r="I44" s="37">
        <v>0</v>
      </c>
      <c r="J44" s="37">
        <v>0</v>
      </c>
    </row>
    <row r="45" spans="1:12" s="11" customFormat="1" ht="25.5" customHeight="1" x14ac:dyDescent="0.3">
      <c r="B45" s="11" t="s">
        <v>47</v>
      </c>
      <c r="C45" s="42">
        <v>344</v>
      </c>
      <c r="D45" s="42">
        <v>82</v>
      </c>
      <c r="E45" s="42">
        <v>85</v>
      </c>
      <c r="F45" s="42">
        <v>20</v>
      </c>
      <c r="G45" s="42">
        <v>17</v>
      </c>
      <c r="H45" s="42">
        <v>2</v>
      </c>
      <c r="I45" s="42">
        <v>0</v>
      </c>
      <c r="J45" s="42">
        <v>0</v>
      </c>
    </row>
    <row r="46" spans="1:12" ht="12.75" customHeight="1" x14ac:dyDescent="0.3">
      <c r="A46" s="12">
        <v>66</v>
      </c>
      <c r="B46" s="55" t="s">
        <v>48</v>
      </c>
      <c r="C46" s="36">
        <v>37</v>
      </c>
      <c r="D46" s="36">
        <v>5</v>
      </c>
      <c r="E46" s="36">
        <v>8</v>
      </c>
      <c r="F46" s="36">
        <v>0</v>
      </c>
      <c r="G46" s="36">
        <v>1</v>
      </c>
      <c r="H46" s="37">
        <v>0</v>
      </c>
      <c r="I46" s="37">
        <v>0</v>
      </c>
      <c r="J46" s="37">
        <v>0</v>
      </c>
    </row>
    <row r="47" spans="1:12" ht="12.75" customHeight="1" x14ac:dyDescent="0.3">
      <c r="A47" s="12">
        <v>78</v>
      </c>
      <c r="B47" s="55" t="s">
        <v>49</v>
      </c>
      <c r="C47" s="36">
        <v>19</v>
      </c>
      <c r="D47" s="36">
        <v>4</v>
      </c>
      <c r="E47" s="36">
        <v>6</v>
      </c>
      <c r="F47" s="36">
        <v>2</v>
      </c>
      <c r="G47" s="36">
        <v>1</v>
      </c>
      <c r="H47" s="37">
        <v>0</v>
      </c>
      <c r="I47" s="37">
        <v>0</v>
      </c>
      <c r="J47" s="37">
        <v>0</v>
      </c>
    </row>
    <row r="48" spans="1:12" ht="12.75" customHeight="1" x14ac:dyDescent="0.3">
      <c r="A48" s="12">
        <v>89</v>
      </c>
      <c r="B48" s="55" t="s">
        <v>50</v>
      </c>
      <c r="C48" s="36">
        <v>16</v>
      </c>
      <c r="D48" s="36">
        <v>6</v>
      </c>
      <c r="E48" s="36">
        <v>2</v>
      </c>
      <c r="F48" s="36">
        <v>1</v>
      </c>
      <c r="G48" s="36">
        <v>0</v>
      </c>
      <c r="H48" s="37">
        <v>0</v>
      </c>
      <c r="I48" s="37">
        <v>0</v>
      </c>
      <c r="J48" s="37">
        <v>0</v>
      </c>
    </row>
    <row r="49" spans="1:12" ht="12.75" customHeight="1" x14ac:dyDescent="0.3">
      <c r="A49" s="12">
        <v>93</v>
      </c>
      <c r="B49" s="55" t="s">
        <v>51</v>
      </c>
      <c r="C49" s="36">
        <v>8</v>
      </c>
      <c r="D49" s="36">
        <v>2</v>
      </c>
      <c r="E49" s="36">
        <v>1</v>
      </c>
      <c r="F49" s="36">
        <v>0</v>
      </c>
      <c r="G49" s="36">
        <v>4</v>
      </c>
      <c r="H49" s="37">
        <v>1</v>
      </c>
      <c r="I49" s="37">
        <v>0</v>
      </c>
      <c r="J49" s="37">
        <v>0</v>
      </c>
    </row>
    <row r="50" spans="1:12" ht="12.75" customHeight="1" x14ac:dyDescent="0.3">
      <c r="A50" s="12">
        <v>95</v>
      </c>
      <c r="B50" s="55" t="s">
        <v>52</v>
      </c>
      <c r="C50" s="36">
        <v>48</v>
      </c>
      <c r="D50" s="36">
        <v>11</v>
      </c>
      <c r="E50" s="36">
        <v>7</v>
      </c>
      <c r="F50" s="36">
        <v>4</v>
      </c>
      <c r="G50" s="36">
        <v>1</v>
      </c>
      <c r="H50" s="37">
        <v>0</v>
      </c>
      <c r="I50" s="37">
        <v>0</v>
      </c>
      <c r="J50" s="37">
        <v>0</v>
      </c>
    </row>
    <row r="51" spans="1:12" ht="12.75" customHeight="1" x14ac:dyDescent="0.3">
      <c r="A51" s="12">
        <v>97</v>
      </c>
      <c r="B51" s="55" t="s">
        <v>53</v>
      </c>
      <c r="C51" s="36">
        <v>57</v>
      </c>
      <c r="D51" s="36">
        <v>11</v>
      </c>
      <c r="E51" s="36">
        <v>9</v>
      </c>
      <c r="F51" s="36">
        <v>3</v>
      </c>
      <c r="G51" s="36">
        <v>2</v>
      </c>
      <c r="H51" s="37">
        <v>0</v>
      </c>
      <c r="I51" s="37">
        <v>0</v>
      </c>
      <c r="J51" s="37">
        <v>0</v>
      </c>
    </row>
    <row r="52" spans="1:12" ht="12.75" customHeight="1" x14ac:dyDescent="0.3">
      <c r="A52" s="12">
        <v>77</v>
      </c>
      <c r="B52" s="58" t="s">
        <v>54</v>
      </c>
      <c r="C52" s="44">
        <v>159</v>
      </c>
      <c r="D52" s="44">
        <v>43</v>
      </c>
      <c r="E52" s="44">
        <v>52</v>
      </c>
      <c r="F52" s="44">
        <v>10</v>
      </c>
      <c r="G52" s="44">
        <v>8</v>
      </c>
      <c r="H52" s="45">
        <v>1</v>
      </c>
      <c r="I52" s="45">
        <v>0</v>
      </c>
      <c r="J52" s="45">
        <v>0</v>
      </c>
    </row>
    <row r="53" spans="1:12" s="41" customFormat="1" ht="13.5" customHeight="1" x14ac:dyDescent="0.3">
      <c r="A53" s="1"/>
      <c r="C53" s="46"/>
      <c r="D53" s="47"/>
      <c r="E53" s="46"/>
      <c r="F53" s="46"/>
      <c r="G53" s="46"/>
      <c r="H53" s="46"/>
      <c r="I53" s="46"/>
      <c r="J53" s="46"/>
      <c r="K53" s="55"/>
      <c r="L53" s="55"/>
    </row>
    <row r="54" spans="1:12" ht="18.75" customHeight="1" x14ac:dyDescent="0.3">
      <c r="B54" s="12" t="s">
        <v>55</v>
      </c>
    </row>
    <row r="55" spans="1:12" x14ac:dyDescent="0.3">
      <c r="B55" s="291" t="s">
        <v>56</v>
      </c>
      <c r="C55" s="291"/>
      <c r="D55" s="291"/>
      <c r="E55" s="291"/>
      <c r="F55" s="291"/>
      <c r="G55" s="291"/>
      <c r="H55" s="291"/>
      <c r="I55" s="291"/>
      <c r="J55" s="291"/>
    </row>
    <row r="56" spans="1:12" ht="12.75" customHeight="1" x14ac:dyDescent="0.3">
      <c r="B56" s="291"/>
      <c r="C56" s="291"/>
      <c r="D56" s="291"/>
      <c r="E56" s="291"/>
      <c r="F56" s="291"/>
      <c r="G56" s="291"/>
      <c r="H56" s="291"/>
      <c r="I56" s="291"/>
      <c r="J56" s="291"/>
    </row>
    <row r="57" spans="1:12" ht="18.75" customHeight="1" x14ac:dyDescent="0.3">
      <c r="B57" s="291"/>
      <c r="C57" s="291"/>
      <c r="D57" s="291"/>
      <c r="E57" s="291"/>
      <c r="F57" s="291"/>
      <c r="G57" s="291"/>
      <c r="H57" s="291"/>
      <c r="I57" s="291"/>
      <c r="J57" s="291"/>
    </row>
    <row r="58" spans="1:12" ht="18.75" customHeight="1" x14ac:dyDescent="0.3">
      <c r="B58" s="291"/>
      <c r="C58" s="291"/>
      <c r="D58" s="291"/>
      <c r="E58" s="291"/>
      <c r="F58" s="291"/>
      <c r="G58" s="291"/>
      <c r="H58" s="291"/>
      <c r="I58" s="291"/>
      <c r="J58" s="291"/>
    </row>
    <row r="59" spans="1:12" ht="18.75" customHeight="1" x14ac:dyDescent="0.3"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2" ht="17.25" customHeight="1" x14ac:dyDescent="0.3"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2" ht="15.75" customHeight="1" x14ac:dyDescent="0.3">
      <c r="B61" s="12" t="s">
        <v>61</v>
      </c>
    </row>
    <row r="62" spans="1:12" ht="9.75" customHeight="1" x14ac:dyDescent="0.3">
      <c r="B62" s="291"/>
      <c r="C62" s="291"/>
      <c r="D62" s="291"/>
      <c r="E62" s="57"/>
      <c r="F62" s="57"/>
      <c r="G62" s="57"/>
      <c r="H62" s="57"/>
      <c r="I62" s="57"/>
      <c r="J62" s="57"/>
    </row>
    <row r="63" spans="1:12" ht="18.75" customHeight="1" x14ac:dyDescent="0.3">
      <c r="B63" s="24" t="s">
        <v>62</v>
      </c>
    </row>
    <row r="64" spans="1:12" x14ac:dyDescent="0.3">
      <c r="B64" s="26"/>
    </row>
    <row r="66" spans="2:2" x14ac:dyDescent="0.3">
      <c r="B66" s="27"/>
    </row>
  </sheetData>
  <mergeCells count="7">
    <mergeCell ref="B62:D62"/>
    <mergeCell ref="B1:J1"/>
    <mergeCell ref="B2:B4"/>
    <mergeCell ref="C2:D3"/>
    <mergeCell ref="E2:H2"/>
    <mergeCell ref="I2:J3"/>
    <mergeCell ref="B55:J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22"/>
  </sheetPr>
  <dimension ref="A1:J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24.7265625" style="55" customWidth="1"/>
    <col min="3" max="3" width="18" style="55" customWidth="1"/>
    <col min="4" max="4" width="18.453125" style="55" customWidth="1"/>
    <col min="5" max="5" width="13.7265625" style="55" customWidth="1"/>
    <col min="6" max="6" width="14" style="55" customWidth="1"/>
    <col min="7" max="256" width="9.26953125" style="55"/>
    <col min="257" max="257" width="0" style="55" hidden="1" customWidth="1"/>
    <col min="258" max="258" width="24.7265625" style="55" customWidth="1"/>
    <col min="259" max="259" width="18" style="55" customWidth="1"/>
    <col min="260" max="260" width="18.453125" style="55" customWidth="1"/>
    <col min="261" max="261" width="13.7265625" style="55" customWidth="1"/>
    <col min="262" max="262" width="14" style="55" customWidth="1"/>
    <col min="263" max="512" width="9.26953125" style="55"/>
    <col min="513" max="513" width="0" style="55" hidden="1" customWidth="1"/>
    <col min="514" max="514" width="24.7265625" style="55" customWidth="1"/>
    <col min="515" max="515" width="18" style="55" customWidth="1"/>
    <col min="516" max="516" width="18.453125" style="55" customWidth="1"/>
    <col min="517" max="517" width="13.7265625" style="55" customWidth="1"/>
    <col min="518" max="518" width="14" style="55" customWidth="1"/>
    <col min="519" max="768" width="9.26953125" style="55"/>
    <col min="769" max="769" width="0" style="55" hidden="1" customWidth="1"/>
    <col min="770" max="770" width="24.7265625" style="55" customWidth="1"/>
    <col min="771" max="771" width="18" style="55" customWidth="1"/>
    <col min="772" max="772" width="18.453125" style="55" customWidth="1"/>
    <col min="773" max="773" width="13.7265625" style="55" customWidth="1"/>
    <col min="774" max="774" width="14" style="55" customWidth="1"/>
    <col min="775" max="1024" width="9.26953125" style="55"/>
    <col min="1025" max="1025" width="0" style="55" hidden="1" customWidth="1"/>
    <col min="1026" max="1026" width="24.7265625" style="55" customWidth="1"/>
    <col min="1027" max="1027" width="18" style="55" customWidth="1"/>
    <col min="1028" max="1028" width="18.453125" style="55" customWidth="1"/>
    <col min="1029" max="1029" width="13.7265625" style="55" customWidth="1"/>
    <col min="1030" max="1030" width="14" style="55" customWidth="1"/>
    <col min="1031" max="1280" width="9.26953125" style="55"/>
    <col min="1281" max="1281" width="0" style="55" hidden="1" customWidth="1"/>
    <col min="1282" max="1282" width="24.7265625" style="55" customWidth="1"/>
    <col min="1283" max="1283" width="18" style="55" customWidth="1"/>
    <col min="1284" max="1284" width="18.453125" style="55" customWidth="1"/>
    <col min="1285" max="1285" width="13.7265625" style="55" customWidth="1"/>
    <col min="1286" max="1286" width="14" style="55" customWidth="1"/>
    <col min="1287" max="1536" width="9.26953125" style="55"/>
    <col min="1537" max="1537" width="0" style="55" hidden="1" customWidth="1"/>
    <col min="1538" max="1538" width="24.7265625" style="55" customWidth="1"/>
    <col min="1539" max="1539" width="18" style="55" customWidth="1"/>
    <col min="1540" max="1540" width="18.453125" style="55" customWidth="1"/>
    <col min="1541" max="1541" width="13.7265625" style="55" customWidth="1"/>
    <col min="1542" max="1542" width="14" style="55" customWidth="1"/>
    <col min="1543" max="1792" width="9.26953125" style="55"/>
    <col min="1793" max="1793" width="0" style="55" hidden="1" customWidth="1"/>
    <col min="1794" max="1794" width="24.7265625" style="55" customWidth="1"/>
    <col min="1795" max="1795" width="18" style="55" customWidth="1"/>
    <col min="1796" max="1796" width="18.453125" style="55" customWidth="1"/>
    <col min="1797" max="1797" width="13.7265625" style="55" customWidth="1"/>
    <col min="1798" max="1798" width="14" style="55" customWidth="1"/>
    <col min="1799" max="2048" width="9.26953125" style="55"/>
    <col min="2049" max="2049" width="0" style="55" hidden="1" customWidth="1"/>
    <col min="2050" max="2050" width="24.7265625" style="55" customWidth="1"/>
    <col min="2051" max="2051" width="18" style="55" customWidth="1"/>
    <col min="2052" max="2052" width="18.453125" style="55" customWidth="1"/>
    <col min="2053" max="2053" width="13.7265625" style="55" customWidth="1"/>
    <col min="2054" max="2054" width="14" style="55" customWidth="1"/>
    <col min="2055" max="2304" width="9.26953125" style="55"/>
    <col min="2305" max="2305" width="0" style="55" hidden="1" customWidth="1"/>
    <col min="2306" max="2306" width="24.7265625" style="55" customWidth="1"/>
    <col min="2307" max="2307" width="18" style="55" customWidth="1"/>
    <col min="2308" max="2308" width="18.453125" style="55" customWidth="1"/>
    <col min="2309" max="2309" width="13.7265625" style="55" customWidth="1"/>
    <col min="2310" max="2310" width="14" style="55" customWidth="1"/>
    <col min="2311" max="2560" width="9.26953125" style="55"/>
    <col min="2561" max="2561" width="0" style="55" hidden="1" customWidth="1"/>
    <col min="2562" max="2562" width="24.7265625" style="55" customWidth="1"/>
    <col min="2563" max="2563" width="18" style="55" customWidth="1"/>
    <col min="2564" max="2564" width="18.453125" style="55" customWidth="1"/>
    <col min="2565" max="2565" width="13.7265625" style="55" customWidth="1"/>
    <col min="2566" max="2566" width="14" style="55" customWidth="1"/>
    <col min="2567" max="2816" width="9.26953125" style="55"/>
    <col min="2817" max="2817" width="0" style="55" hidden="1" customWidth="1"/>
    <col min="2818" max="2818" width="24.7265625" style="55" customWidth="1"/>
    <col min="2819" max="2819" width="18" style="55" customWidth="1"/>
    <col min="2820" max="2820" width="18.453125" style="55" customWidth="1"/>
    <col min="2821" max="2821" width="13.7265625" style="55" customWidth="1"/>
    <col min="2822" max="2822" width="14" style="55" customWidth="1"/>
    <col min="2823" max="3072" width="9.26953125" style="55"/>
    <col min="3073" max="3073" width="0" style="55" hidden="1" customWidth="1"/>
    <col min="3074" max="3074" width="24.7265625" style="55" customWidth="1"/>
    <col min="3075" max="3075" width="18" style="55" customWidth="1"/>
    <col min="3076" max="3076" width="18.453125" style="55" customWidth="1"/>
    <col min="3077" max="3077" width="13.7265625" style="55" customWidth="1"/>
    <col min="3078" max="3078" width="14" style="55" customWidth="1"/>
    <col min="3079" max="3328" width="9.26953125" style="55"/>
    <col min="3329" max="3329" width="0" style="55" hidden="1" customWidth="1"/>
    <col min="3330" max="3330" width="24.7265625" style="55" customWidth="1"/>
    <col min="3331" max="3331" width="18" style="55" customWidth="1"/>
    <col min="3332" max="3332" width="18.453125" style="55" customWidth="1"/>
    <col min="3333" max="3333" width="13.7265625" style="55" customWidth="1"/>
    <col min="3334" max="3334" width="14" style="55" customWidth="1"/>
    <col min="3335" max="3584" width="9.26953125" style="55"/>
    <col min="3585" max="3585" width="0" style="55" hidden="1" customWidth="1"/>
    <col min="3586" max="3586" width="24.7265625" style="55" customWidth="1"/>
    <col min="3587" max="3587" width="18" style="55" customWidth="1"/>
    <col min="3588" max="3588" width="18.453125" style="55" customWidth="1"/>
    <col min="3589" max="3589" width="13.7265625" style="55" customWidth="1"/>
    <col min="3590" max="3590" width="14" style="55" customWidth="1"/>
    <col min="3591" max="3840" width="9.26953125" style="55"/>
    <col min="3841" max="3841" width="0" style="55" hidden="1" customWidth="1"/>
    <col min="3842" max="3842" width="24.7265625" style="55" customWidth="1"/>
    <col min="3843" max="3843" width="18" style="55" customWidth="1"/>
    <col min="3844" max="3844" width="18.453125" style="55" customWidth="1"/>
    <col min="3845" max="3845" width="13.7265625" style="55" customWidth="1"/>
    <col min="3846" max="3846" width="14" style="55" customWidth="1"/>
    <col min="3847" max="4096" width="9.26953125" style="55"/>
    <col min="4097" max="4097" width="0" style="55" hidden="1" customWidth="1"/>
    <col min="4098" max="4098" width="24.7265625" style="55" customWidth="1"/>
    <col min="4099" max="4099" width="18" style="55" customWidth="1"/>
    <col min="4100" max="4100" width="18.453125" style="55" customWidth="1"/>
    <col min="4101" max="4101" width="13.7265625" style="55" customWidth="1"/>
    <col min="4102" max="4102" width="14" style="55" customWidth="1"/>
    <col min="4103" max="4352" width="9.26953125" style="55"/>
    <col min="4353" max="4353" width="0" style="55" hidden="1" customWidth="1"/>
    <col min="4354" max="4354" width="24.7265625" style="55" customWidth="1"/>
    <col min="4355" max="4355" width="18" style="55" customWidth="1"/>
    <col min="4356" max="4356" width="18.453125" style="55" customWidth="1"/>
    <col min="4357" max="4357" width="13.7265625" style="55" customWidth="1"/>
    <col min="4358" max="4358" width="14" style="55" customWidth="1"/>
    <col min="4359" max="4608" width="9.26953125" style="55"/>
    <col min="4609" max="4609" width="0" style="55" hidden="1" customWidth="1"/>
    <col min="4610" max="4610" width="24.7265625" style="55" customWidth="1"/>
    <col min="4611" max="4611" width="18" style="55" customWidth="1"/>
    <col min="4612" max="4612" width="18.453125" style="55" customWidth="1"/>
    <col min="4613" max="4613" width="13.7265625" style="55" customWidth="1"/>
    <col min="4614" max="4614" width="14" style="55" customWidth="1"/>
    <col min="4615" max="4864" width="9.26953125" style="55"/>
    <col min="4865" max="4865" width="0" style="55" hidden="1" customWidth="1"/>
    <col min="4866" max="4866" width="24.7265625" style="55" customWidth="1"/>
    <col min="4867" max="4867" width="18" style="55" customWidth="1"/>
    <col min="4868" max="4868" width="18.453125" style="55" customWidth="1"/>
    <col min="4869" max="4869" width="13.7265625" style="55" customWidth="1"/>
    <col min="4870" max="4870" width="14" style="55" customWidth="1"/>
    <col min="4871" max="5120" width="9.26953125" style="55"/>
    <col min="5121" max="5121" width="0" style="55" hidden="1" customWidth="1"/>
    <col min="5122" max="5122" width="24.7265625" style="55" customWidth="1"/>
    <col min="5123" max="5123" width="18" style="55" customWidth="1"/>
    <col min="5124" max="5124" width="18.453125" style="55" customWidth="1"/>
    <col min="5125" max="5125" width="13.7265625" style="55" customWidth="1"/>
    <col min="5126" max="5126" width="14" style="55" customWidth="1"/>
    <col min="5127" max="5376" width="9.26953125" style="55"/>
    <col min="5377" max="5377" width="0" style="55" hidden="1" customWidth="1"/>
    <col min="5378" max="5378" width="24.7265625" style="55" customWidth="1"/>
    <col min="5379" max="5379" width="18" style="55" customWidth="1"/>
    <col min="5380" max="5380" width="18.453125" style="55" customWidth="1"/>
    <col min="5381" max="5381" width="13.7265625" style="55" customWidth="1"/>
    <col min="5382" max="5382" width="14" style="55" customWidth="1"/>
    <col min="5383" max="5632" width="9.26953125" style="55"/>
    <col min="5633" max="5633" width="0" style="55" hidden="1" customWidth="1"/>
    <col min="5634" max="5634" width="24.7265625" style="55" customWidth="1"/>
    <col min="5635" max="5635" width="18" style="55" customWidth="1"/>
    <col min="5636" max="5636" width="18.453125" style="55" customWidth="1"/>
    <col min="5637" max="5637" width="13.7265625" style="55" customWidth="1"/>
    <col min="5638" max="5638" width="14" style="55" customWidth="1"/>
    <col min="5639" max="5888" width="9.26953125" style="55"/>
    <col min="5889" max="5889" width="0" style="55" hidden="1" customWidth="1"/>
    <col min="5890" max="5890" width="24.7265625" style="55" customWidth="1"/>
    <col min="5891" max="5891" width="18" style="55" customWidth="1"/>
    <col min="5892" max="5892" width="18.453125" style="55" customWidth="1"/>
    <col min="5893" max="5893" width="13.7265625" style="55" customWidth="1"/>
    <col min="5894" max="5894" width="14" style="55" customWidth="1"/>
    <col min="5895" max="6144" width="9.26953125" style="55"/>
    <col min="6145" max="6145" width="0" style="55" hidden="1" customWidth="1"/>
    <col min="6146" max="6146" width="24.7265625" style="55" customWidth="1"/>
    <col min="6147" max="6147" width="18" style="55" customWidth="1"/>
    <col min="6148" max="6148" width="18.453125" style="55" customWidth="1"/>
    <col min="6149" max="6149" width="13.7265625" style="55" customWidth="1"/>
    <col min="6150" max="6150" width="14" style="55" customWidth="1"/>
    <col min="6151" max="6400" width="9.26953125" style="55"/>
    <col min="6401" max="6401" width="0" style="55" hidden="1" customWidth="1"/>
    <col min="6402" max="6402" width="24.7265625" style="55" customWidth="1"/>
    <col min="6403" max="6403" width="18" style="55" customWidth="1"/>
    <col min="6404" max="6404" width="18.453125" style="55" customWidth="1"/>
    <col min="6405" max="6405" width="13.7265625" style="55" customWidth="1"/>
    <col min="6406" max="6406" width="14" style="55" customWidth="1"/>
    <col min="6407" max="6656" width="9.26953125" style="55"/>
    <col min="6657" max="6657" width="0" style="55" hidden="1" customWidth="1"/>
    <col min="6658" max="6658" width="24.7265625" style="55" customWidth="1"/>
    <col min="6659" max="6659" width="18" style="55" customWidth="1"/>
    <col min="6660" max="6660" width="18.453125" style="55" customWidth="1"/>
    <col min="6661" max="6661" width="13.7265625" style="55" customWidth="1"/>
    <col min="6662" max="6662" width="14" style="55" customWidth="1"/>
    <col min="6663" max="6912" width="9.26953125" style="55"/>
    <col min="6913" max="6913" width="0" style="55" hidden="1" customWidth="1"/>
    <col min="6914" max="6914" width="24.7265625" style="55" customWidth="1"/>
    <col min="6915" max="6915" width="18" style="55" customWidth="1"/>
    <col min="6916" max="6916" width="18.453125" style="55" customWidth="1"/>
    <col min="6917" max="6917" width="13.7265625" style="55" customWidth="1"/>
    <col min="6918" max="6918" width="14" style="55" customWidth="1"/>
    <col min="6919" max="7168" width="9.26953125" style="55"/>
    <col min="7169" max="7169" width="0" style="55" hidden="1" customWidth="1"/>
    <col min="7170" max="7170" width="24.7265625" style="55" customWidth="1"/>
    <col min="7171" max="7171" width="18" style="55" customWidth="1"/>
    <col min="7172" max="7172" width="18.453125" style="55" customWidth="1"/>
    <col min="7173" max="7173" width="13.7265625" style="55" customWidth="1"/>
    <col min="7174" max="7174" width="14" style="55" customWidth="1"/>
    <col min="7175" max="7424" width="9.26953125" style="55"/>
    <col min="7425" max="7425" width="0" style="55" hidden="1" customWidth="1"/>
    <col min="7426" max="7426" width="24.7265625" style="55" customWidth="1"/>
    <col min="7427" max="7427" width="18" style="55" customWidth="1"/>
    <col min="7428" max="7428" width="18.453125" style="55" customWidth="1"/>
    <col min="7429" max="7429" width="13.7265625" style="55" customWidth="1"/>
    <col min="7430" max="7430" width="14" style="55" customWidth="1"/>
    <col min="7431" max="7680" width="9.26953125" style="55"/>
    <col min="7681" max="7681" width="0" style="55" hidden="1" customWidth="1"/>
    <col min="7682" max="7682" width="24.7265625" style="55" customWidth="1"/>
    <col min="7683" max="7683" width="18" style="55" customWidth="1"/>
    <col min="7684" max="7684" width="18.453125" style="55" customWidth="1"/>
    <col min="7685" max="7685" width="13.7265625" style="55" customWidth="1"/>
    <col min="7686" max="7686" width="14" style="55" customWidth="1"/>
    <col min="7687" max="7936" width="9.26953125" style="55"/>
    <col min="7937" max="7937" width="0" style="55" hidden="1" customWidth="1"/>
    <col min="7938" max="7938" width="24.7265625" style="55" customWidth="1"/>
    <col min="7939" max="7939" width="18" style="55" customWidth="1"/>
    <col min="7940" max="7940" width="18.453125" style="55" customWidth="1"/>
    <col min="7941" max="7941" width="13.7265625" style="55" customWidth="1"/>
    <col min="7942" max="7942" width="14" style="55" customWidth="1"/>
    <col min="7943" max="8192" width="9.26953125" style="55"/>
    <col min="8193" max="8193" width="0" style="55" hidden="1" customWidth="1"/>
    <col min="8194" max="8194" width="24.7265625" style="55" customWidth="1"/>
    <col min="8195" max="8195" width="18" style="55" customWidth="1"/>
    <col min="8196" max="8196" width="18.453125" style="55" customWidth="1"/>
    <col min="8197" max="8197" width="13.7265625" style="55" customWidth="1"/>
    <col min="8198" max="8198" width="14" style="55" customWidth="1"/>
    <col min="8199" max="8448" width="9.26953125" style="55"/>
    <col min="8449" max="8449" width="0" style="55" hidden="1" customWidth="1"/>
    <col min="8450" max="8450" width="24.7265625" style="55" customWidth="1"/>
    <col min="8451" max="8451" width="18" style="55" customWidth="1"/>
    <col min="8452" max="8452" width="18.453125" style="55" customWidth="1"/>
    <col min="8453" max="8453" width="13.7265625" style="55" customWidth="1"/>
    <col min="8454" max="8454" width="14" style="55" customWidth="1"/>
    <col min="8455" max="8704" width="9.26953125" style="55"/>
    <col min="8705" max="8705" width="0" style="55" hidden="1" customWidth="1"/>
    <col min="8706" max="8706" width="24.7265625" style="55" customWidth="1"/>
    <col min="8707" max="8707" width="18" style="55" customWidth="1"/>
    <col min="8708" max="8708" width="18.453125" style="55" customWidth="1"/>
    <col min="8709" max="8709" width="13.7265625" style="55" customWidth="1"/>
    <col min="8710" max="8710" width="14" style="55" customWidth="1"/>
    <col min="8711" max="8960" width="9.26953125" style="55"/>
    <col min="8961" max="8961" width="0" style="55" hidden="1" customWidth="1"/>
    <col min="8962" max="8962" width="24.7265625" style="55" customWidth="1"/>
    <col min="8963" max="8963" width="18" style="55" customWidth="1"/>
    <col min="8964" max="8964" width="18.453125" style="55" customWidth="1"/>
    <col min="8965" max="8965" width="13.7265625" style="55" customWidth="1"/>
    <col min="8966" max="8966" width="14" style="55" customWidth="1"/>
    <col min="8967" max="9216" width="9.26953125" style="55"/>
    <col min="9217" max="9217" width="0" style="55" hidden="1" customWidth="1"/>
    <col min="9218" max="9218" width="24.7265625" style="55" customWidth="1"/>
    <col min="9219" max="9219" width="18" style="55" customWidth="1"/>
    <col min="9220" max="9220" width="18.453125" style="55" customWidth="1"/>
    <col min="9221" max="9221" width="13.7265625" style="55" customWidth="1"/>
    <col min="9222" max="9222" width="14" style="55" customWidth="1"/>
    <col min="9223" max="9472" width="9.26953125" style="55"/>
    <col min="9473" max="9473" width="0" style="55" hidden="1" customWidth="1"/>
    <col min="9474" max="9474" width="24.7265625" style="55" customWidth="1"/>
    <col min="9475" max="9475" width="18" style="55" customWidth="1"/>
    <col min="9476" max="9476" width="18.453125" style="55" customWidth="1"/>
    <col min="9477" max="9477" width="13.7265625" style="55" customWidth="1"/>
    <col min="9478" max="9478" width="14" style="55" customWidth="1"/>
    <col min="9479" max="9728" width="9.26953125" style="55"/>
    <col min="9729" max="9729" width="0" style="55" hidden="1" customWidth="1"/>
    <col min="9730" max="9730" width="24.7265625" style="55" customWidth="1"/>
    <col min="9731" max="9731" width="18" style="55" customWidth="1"/>
    <col min="9732" max="9732" width="18.453125" style="55" customWidth="1"/>
    <col min="9733" max="9733" width="13.7265625" style="55" customWidth="1"/>
    <col min="9734" max="9734" width="14" style="55" customWidth="1"/>
    <col min="9735" max="9984" width="9.26953125" style="55"/>
    <col min="9985" max="9985" width="0" style="55" hidden="1" customWidth="1"/>
    <col min="9986" max="9986" width="24.7265625" style="55" customWidth="1"/>
    <col min="9987" max="9987" width="18" style="55" customWidth="1"/>
    <col min="9988" max="9988" width="18.453125" style="55" customWidth="1"/>
    <col min="9989" max="9989" width="13.7265625" style="55" customWidth="1"/>
    <col min="9990" max="9990" width="14" style="55" customWidth="1"/>
    <col min="9991" max="10240" width="9.26953125" style="55"/>
    <col min="10241" max="10241" width="0" style="55" hidden="1" customWidth="1"/>
    <col min="10242" max="10242" width="24.7265625" style="55" customWidth="1"/>
    <col min="10243" max="10243" width="18" style="55" customWidth="1"/>
    <col min="10244" max="10244" width="18.453125" style="55" customWidth="1"/>
    <col min="10245" max="10245" width="13.7265625" style="55" customWidth="1"/>
    <col min="10246" max="10246" width="14" style="55" customWidth="1"/>
    <col min="10247" max="10496" width="9.26953125" style="55"/>
    <col min="10497" max="10497" width="0" style="55" hidden="1" customWidth="1"/>
    <col min="10498" max="10498" width="24.7265625" style="55" customWidth="1"/>
    <col min="10499" max="10499" width="18" style="55" customWidth="1"/>
    <col min="10500" max="10500" width="18.453125" style="55" customWidth="1"/>
    <col min="10501" max="10501" width="13.7265625" style="55" customWidth="1"/>
    <col min="10502" max="10502" width="14" style="55" customWidth="1"/>
    <col min="10503" max="10752" width="9.26953125" style="55"/>
    <col min="10753" max="10753" width="0" style="55" hidden="1" customWidth="1"/>
    <col min="10754" max="10754" width="24.7265625" style="55" customWidth="1"/>
    <col min="10755" max="10755" width="18" style="55" customWidth="1"/>
    <col min="10756" max="10756" width="18.453125" style="55" customWidth="1"/>
    <col min="10757" max="10757" width="13.7265625" style="55" customWidth="1"/>
    <col min="10758" max="10758" width="14" style="55" customWidth="1"/>
    <col min="10759" max="11008" width="9.26953125" style="55"/>
    <col min="11009" max="11009" width="0" style="55" hidden="1" customWidth="1"/>
    <col min="11010" max="11010" width="24.7265625" style="55" customWidth="1"/>
    <col min="11011" max="11011" width="18" style="55" customWidth="1"/>
    <col min="11012" max="11012" width="18.453125" style="55" customWidth="1"/>
    <col min="11013" max="11013" width="13.7265625" style="55" customWidth="1"/>
    <col min="11014" max="11014" width="14" style="55" customWidth="1"/>
    <col min="11015" max="11264" width="9.26953125" style="55"/>
    <col min="11265" max="11265" width="0" style="55" hidden="1" customWidth="1"/>
    <col min="11266" max="11266" width="24.7265625" style="55" customWidth="1"/>
    <col min="11267" max="11267" width="18" style="55" customWidth="1"/>
    <col min="11268" max="11268" width="18.453125" style="55" customWidth="1"/>
    <col min="11269" max="11269" width="13.7265625" style="55" customWidth="1"/>
    <col min="11270" max="11270" width="14" style="55" customWidth="1"/>
    <col min="11271" max="11520" width="9.26953125" style="55"/>
    <col min="11521" max="11521" width="0" style="55" hidden="1" customWidth="1"/>
    <col min="11522" max="11522" width="24.7265625" style="55" customWidth="1"/>
    <col min="11523" max="11523" width="18" style="55" customWidth="1"/>
    <col min="11524" max="11524" width="18.453125" style="55" customWidth="1"/>
    <col min="11525" max="11525" width="13.7265625" style="55" customWidth="1"/>
    <col min="11526" max="11526" width="14" style="55" customWidth="1"/>
    <col min="11527" max="11776" width="9.26953125" style="55"/>
    <col min="11777" max="11777" width="0" style="55" hidden="1" customWidth="1"/>
    <col min="11778" max="11778" width="24.7265625" style="55" customWidth="1"/>
    <col min="11779" max="11779" width="18" style="55" customWidth="1"/>
    <col min="11780" max="11780" width="18.453125" style="55" customWidth="1"/>
    <col min="11781" max="11781" width="13.7265625" style="55" customWidth="1"/>
    <col min="11782" max="11782" width="14" style="55" customWidth="1"/>
    <col min="11783" max="12032" width="9.26953125" style="55"/>
    <col min="12033" max="12033" width="0" style="55" hidden="1" customWidth="1"/>
    <col min="12034" max="12034" width="24.7265625" style="55" customWidth="1"/>
    <col min="12035" max="12035" width="18" style="55" customWidth="1"/>
    <col min="12036" max="12036" width="18.453125" style="55" customWidth="1"/>
    <col min="12037" max="12037" width="13.7265625" style="55" customWidth="1"/>
    <col min="12038" max="12038" width="14" style="55" customWidth="1"/>
    <col min="12039" max="12288" width="9.26953125" style="55"/>
    <col min="12289" max="12289" width="0" style="55" hidden="1" customWidth="1"/>
    <col min="12290" max="12290" width="24.7265625" style="55" customWidth="1"/>
    <col min="12291" max="12291" width="18" style="55" customWidth="1"/>
    <col min="12292" max="12292" width="18.453125" style="55" customWidth="1"/>
    <col min="12293" max="12293" width="13.7265625" style="55" customWidth="1"/>
    <col min="12294" max="12294" width="14" style="55" customWidth="1"/>
    <col min="12295" max="12544" width="9.26953125" style="55"/>
    <col min="12545" max="12545" width="0" style="55" hidden="1" customWidth="1"/>
    <col min="12546" max="12546" width="24.7265625" style="55" customWidth="1"/>
    <col min="12547" max="12547" width="18" style="55" customWidth="1"/>
    <col min="12548" max="12548" width="18.453125" style="55" customWidth="1"/>
    <col min="12549" max="12549" width="13.7265625" style="55" customWidth="1"/>
    <col min="12550" max="12550" width="14" style="55" customWidth="1"/>
    <col min="12551" max="12800" width="9.26953125" style="55"/>
    <col min="12801" max="12801" width="0" style="55" hidden="1" customWidth="1"/>
    <col min="12802" max="12802" width="24.7265625" style="55" customWidth="1"/>
    <col min="12803" max="12803" width="18" style="55" customWidth="1"/>
    <col min="12804" max="12804" width="18.453125" style="55" customWidth="1"/>
    <col min="12805" max="12805" width="13.7265625" style="55" customWidth="1"/>
    <col min="12806" max="12806" width="14" style="55" customWidth="1"/>
    <col min="12807" max="13056" width="9.26953125" style="55"/>
    <col min="13057" max="13057" width="0" style="55" hidden="1" customWidth="1"/>
    <col min="13058" max="13058" width="24.7265625" style="55" customWidth="1"/>
    <col min="13059" max="13059" width="18" style="55" customWidth="1"/>
    <col min="13060" max="13060" width="18.453125" style="55" customWidth="1"/>
    <col min="13061" max="13061" width="13.7265625" style="55" customWidth="1"/>
    <col min="13062" max="13062" width="14" style="55" customWidth="1"/>
    <col min="13063" max="13312" width="9.26953125" style="55"/>
    <col min="13313" max="13313" width="0" style="55" hidden="1" customWidth="1"/>
    <col min="13314" max="13314" width="24.7265625" style="55" customWidth="1"/>
    <col min="13315" max="13315" width="18" style="55" customWidth="1"/>
    <col min="13316" max="13316" width="18.453125" style="55" customWidth="1"/>
    <col min="13317" max="13317" width="13.7265625" style="55" customWidth="1"/>
    <col min="13318" max="13318" width="14" style="55" customWidth="1"/>
    <col min="13319" max="13568" width="9.26953125" style="55"/>
    <col min="13569" max="13569" width="0" style="55" hidden="1" customWidth="1"/>
    <col min="13570" max="13570" width="24.7265625" style="55" customWidth="1"/>
    <col min="13571" max="13571" width="18" style="55" customWidth="1"/>
    <col min="13572" max="13572" width="18.453125" style="55" customWidth="1"/>
    <col min="13573" max="13573" width="13.7265625" style="55" customWidth="1"/>
    <col min="13574" max="13574" width="14" style="55" customWidth="1"/>
    <col min="13575" max="13824" width="9.26953125" style="55"/>
    <col min="13825" max="13825" width="0" style="55" hidden="1" customWidth="1"/>
    <col min="13826" max="13826" width="24.7265625" style="55" customWidth="1"/>
    <col min="13827" max="13827" width="18" style="55" customWidth="1"/>
    <col min="13828" max="13828" width="18.453125" style="55" customWidth="1"/>
    <col min="13829" max="13829" width="13.7265625" style="55" customWidth="1"/>
    <col min="13830" max="13830" width="14" style="55" customWidth="1"/>
    <col min="13831" max="14080" width="9.26953125" style="55"/>
    <col min="14081" max="14081" width="0" style="55" hidden="1" customWidth="1"/>
    <col min="14082" max="14082" width="24.7265625" style="55" customWidth="1"/>
    <col min="14083" max="14083" width="18" style="55" customWidth="1"/>
    <col min="14084" max="14084" width="18.453125" style="55" customWidth="1"/>
    <col min="14085" max="14085" width="13.7265625" style="55" customWidth="1"/>
    <col min="14086" max="14086" width="14" style="55" customWidth="1"/>
    <col min="14087" max="14336" width="9.26953125" style="55"/>
    <col min="14337" max="14337" width="0" style="55" hidden="1" customWidth="1"/>
    <col min="14338" max="14338" width="24.7265625" style="55" customWidth="1"/>
    <col min="14339" max="14339" width="18" style="55" customWidth="1"/>
    <col min="14340" max="14340" width="18.453125" style="55" customWidth="1"/>
    <col min="14341" max="14341" width="13.7265625" style="55" customWidth="1"/>
    <col min="14342" max="14342" width="14" style="55" customWidth="1"/>
    <col min="14343" max="14592" width="9.26953125" style="55"/>
    <col min="14593" max="14593" width="0" style="55" hidden="1" customWidth="1"/>
    <col min="14594" max="14594" width="24.7265625" style="55" customWidth="1"/>
    <col min="14595" max="14595" width="18" style="55" customWidth="1"/>
    <col min="14596" max="14596" width="18.453125" style="55" customWidth="1"/>
    <col min="14597" max="14597" width="13.7265625" style="55" customWidth="1"/>
    <col min="14598" max="14598" width="14" style="55" customWidth="1"/>
    <col min="14599" max="14848" width="9.26953125" style="55"/>
    <col min="14849" max="14849" width="0" style="55" hidden="1" customWidth="1"/>
    <col min="14850" max="14850" width="24.7265625" style="55" customWidth="1"/>
    <col min="14851" max="14851" width="18" style="55" customWidth="1"/>
    <col min="14852" max="14852" width="18.453125" style="55" customWidth="1"/>
    <col min="14853" max="14853" width="13.7265625" style="55" customWidth="1"/>
    <col min="14854" max="14854" width="14" style="55" customWidth="1"/>
    <col min="14855" max="15104" width="9.26953125" style="55"/>
    <col min="15105" max="15105" width="0" style="55" hidden="1" customWidth="1"/>
    <col min="15106" max="15106" width="24.7265625" style="55" customWidth="1"/>
    <col min="15107" max="15107" width="18" style="55" customWidth="1"/>
    <col min="15108" max="15108" width="18.453125" style="55" customWidth="1"/>
    <col min="15109" max="15109" width="13.7265625" style="55" customWidth="1"/>
    <col min="15110" max="15110" width="14" style="55" customWidth="1"/>
    <col min="15111" max="15360" width="9.26953125" style="55"/>
    <col min="15361" max="15361" width="0" style="55" hidden="1" customWidth="1"/>
    <col min="15362" max="15362" width="24.7265625" style="55" customWidth="1"/>
    <col min="15363" max="15363" width="18" style="55" customWidth="1"/>
    <col min="15364" max="15364" width="18.453125" style="55" customWidth="1"/>
    <col min="15365" max="15365" width="13.7265625" style="55" customWidth="1"/>
    <col min="15366" max="15366" width="14" style="55" customWidth="1"/>
    <col min="15367" max="15616" width="9.26953125" style="55"/>
    <col min="15617" max="15617" width="0" style="55" hidden="1" customWidth="1"/>
    <col min="15618" max="15618" width="24.7265625" style="55" customWidth="1"/>
    <col min="15619" max="15619" width="18" style="55" customWidth="1"/>
    <col min="15620" max="15620" width="18.453125" style="55" customWidth="1"/>
    <col min="15621" max="15621" width="13.7265625" style="55" customWidth="1"/>
    <col min="15622" max="15622" width="14" style="55" customWidth="1"/>
    <col min="15623" max="15872" width="9.26953125" style="55"/>
    <col min="15873" max="15873" width="0" style="55" hidden="1" customWidth="1"/>
    <col min="15874" max="15874" width="24.7265625" style="55" customWidth="1"/>
    <col min="15875" max="15875" width="18" style="55" customWidth="1"/>
    <col min="15876" max="15876" width="18.453125" style="55" customWidth="1"/>
    <col min="15877" max="15877" width="13.7265625" style="55" customWidth="1"/>
    <col min="15878" max="15878" width="14" style="55" customWidth="1"/>
    <col min="15879" max="16128" width="9.26953125" style="55"/>
    <col min="16129" max="16129" width="0" style="55" hidden="1" customWidth="1"/>
    <col min="16130" max="16130" width="24.7265625" style="55" customWidth="1"/>
    <col min="16131" max="16131" width="18" style="55" customWidth="1"/>
    <col min="16132" max="16132" width="18.453125" style="55" customWidth="1"/>
    <col min="16133" max="16133" width="13.7265625" style="55" customWidth="1"/>
    <col min="16134" max="16134" width="14" style="55" customWidth="1"/>
    <col min="16135" max="16384" width="9.26953125" style="55"/>
  </cols>
  <sheetData>
    <row r="1" spans="1:6" ht="48.75" customHeight="1" x14ac:dyDescent="0.3">
      <c r="B1" s="298" t="s">
        <v>102</v>
      </c>
      <c r="C1" s="298"/>
      <c r="D1" s="298"/>
      <c r="E1" s="298"/>
      <c r="F1" s="298"/>
    </row>
    <row r="2" spans="1:6" ht="15.75" customHeight="1" x14ac:dyDescent="0.3">
      <c r="C2" s="308" t="s">
        <v>1</v>
      </c>
      <c r="D2" s="306" t="s">
        <v>2</v>
      </c>
      <c r="E2" s="306"/>
      <c r="F2" s="308" t="s">
        <v>5</v>
      </c>
    </row>
    <row r="3" spans="1:6" ht="34.5" customHeight="1" x14ac:dyDescent="0.3">
      <c r="A3" s="4"/>
      <c r="C3" s="301"/>
      <c r="D3" s="31" t="s">
        <v>3</v>
      </c>
      <c r="E3" s="31" t="s">
        <v>4</v>
      </c>
      <c r="F3" s="301"/>
    </row>
    <row r="4" spans="1:6" ht="23.25" customHeight="1" x14ac:dyDescent="0.3">
      <c r="A4" s="4"/>
      <c r="B4" s="11" t="s">
        <v>6</v>
      </c>
      <c r="C4" s="49">
        <v>1230</v>
      </c>
      <c r="D4" s="49">
        <v>243</v>
      </c>
      <c r="E4" s="49">
        <v>30</v>
      </c>
      <c r="F4" s="49">
        <v>0</v>
      </c>
    </row>
    <row r="5" spans="1:6" s="11" customFormat="1" ht="25.5" customHeight="1" x14ac:dyDescent="0.3">
      <c r="A5" s="9"/>
      <c r="B5" s="11" t="s">
        <v>7</v>
      </c>
      <c r="C5" s="177">
        <v>929</v>
      </c>
      <c r="D5" s="177">
        <v>192</v>
      </c>
      <c r="E5" s="177">
        <v>22</v>
      </c>
      <c r="F5" s="177">
        <v>0</v>
      </c>
    </row>
    <row r="6" spans="1:6" x14ac:dyDescent="0.3">
      <c r="A6" s="12">
        <v>51</v>
      </c>
      <c r="B6" s="55" t="s">
        <v>8</v>
      </c>
      <c r="C6" s="25">
        <v>26</v>
      </c>
      <c r="D6" s="25">
        <v>4</v>
      </c>
      <c r="E6" s="25">
        <v>0</v>
      </c>
      <c r="F6" s="25">
        <v>0</v>
      </c>
    </row>
    <row r="7" spans="1:6" x14ac:dyDescent="0.3">
      <c r="A7" s="12">
        <v>52</v>
      </c>
      <c r="B7" s="55" t="s">
        <v>9</v>
      </c>
      <c r="C7" s="25">
        <v>79</v>
      </c>
      <c r="D7" s="25">
        <v>22</v>
      </c>
      <c r="E7" s="25">
        <v>0</v>
      </c>
      <c r="F7" s="25">
        <v>0</v>
      </c>
    </row>
    <row r="8" spans="1:6" x14ac:dyDescent="0.3">
      <c r="A8" s="12">
        <v>86</v>
      </c>
      <c r="B8" s="55" t="s">
        <v>10</v>
      </c>
      <c r="C8" s="25">
        <v>28</v>
      </c>
      <c r="D8" s="37">
        <v>7</v>
      </c>
      <c r="E8" s="37">
        <v>1</v>
      </c>
      <c r="F8" s="25">
        <v>0</v>
      </c>
    </row>
    <row r="9" spans="1:6" x14ac:dyDescent="0.3">
      <c r="A9" s="12">
        <v>53</v>
      </c>
      <c r="B9" s="55" t="s">
        <v>11</v>
      </c>
      <c r="C9" s="25">
        <v>23</v>
      </c>
      <c r="D9" s="25">
        <v>5</v>
      </c>
      <c r="E9" s="25">
        <v>1</v>
      </c>
      <c r="F9" s="25">
        <v>0</v>
      </c>
    </row>
    <row r="10" spans="1:6" x14ac:dyDescent="0.3">
      <c r="A10" s="12">
        <v>54</v>
      </c>
      <c r="B10" s="55" t="s">
        <v>12</v>
      </c>
      <c r="C10" s="25">
        <v>51</v>
      </c>
      <c r="D10" s="25">
        <v>5</v>
      </c>
      <c r="E10" s="25">
        <v>0</v>
      </c>
      <c r="F10" s="25">
        <v>0</v>
      </c>
    </row>
    <row r="11" spans="1:6" x14ac:dyDescent="0.3">
      <c r="A11" s="12">
        <v>55</v>
      </c>
      <c r="B11" s="55" t="s">
        <v>13</v>
      </c>
      <c r="C11" s="25">
        <v>2</v>
      </c>
      <c r="D11" s="25">
        <v>1</v>
      </c>
      <c r="E11" s="25">
        <v>0</v>
      </c>
      <c r="F11" s="25">
        <v>0</v>
      </c>
    </row>
    <row r="12" spans="1:6" x14ac:dyDescent="0.3">
      <c r="A12" s="12">
        <v>56</v>
      </c>
      <c r="B12" s="55" t="s">
        <v>14</v>
      </c>
      <c r="C12" s="25">
        <v>6</v>
      </c>
      <c r="D12" s="25">
        <v>2</v>
      </c>
      <c r="E12" s="25">
        <v>0</v>
      </c>
      <c r="F12" s="25">
        <v>0</v>
      </c>
    </row>
    <row r="13" spans="1:6" x14ac:dyDescent="0.3">
      <c r="A13" s="12">
        <v>57</v>
      </c>
      <c r="B13" s="55" t="s">
        <v>15</v>
      </c>
      <c r="C13" s="25">
        <v>12</v>
      </c>
      <c r="D13" s="25">
        <v>4</v>
      </c>
      <c r="E13" s="25">
        <v>0</v>
      </c>
      <c r="F13" s="25">
        <v>0</v>
      </c>
    </row>
    <row r="14" spans="1:6" x14ac:dyDescent="0.3">
      <c r="A14" s="12">
        <v>59</v>
      </c>
      <c r="B14" s="55" t="s">
        <v>16</v>
      </c>
      <c r="C14" s="25">
        <v>8</v>
      </c>
      <c r="D14" s="25">
        <v>4</v>
      </c>
      <c r="E14" s="25">
        <v>0</v>
      </c>
      <c r="F14" s="25">
        <v>0</v>
      </c>
    </row>
    <row r="15" spans="1:6" x14ac:dyDescent="0.3">
      <c r="A15" s="12">
        <v>60</v>
      </c>
      <c r="B15" s="55" t="s">
        <v>17</v>
      </c>
      <c r="C15" s="25">
        <v>21</v>
      </c>
      <c r="D15" s="25">
        <v>5</v>
      </c>
      <c r="E15" s="25">
        <v>0</v>
      </c>
      <c r="F15" s="25">
        <v>0</v>
      </c>
    </row>
    <row r="16" spans="1:6" x14ac:dyDescent="0.3">
      <c r="A16" s="12">
        <v>61</v>
      </c>
      <c r="B16" s="38" t="s">
        <v>18</v>
      </c>
      <c r="C16" s="25">
        <v>62</v>
      </c>
      <c r="D16" s="25">
        <v>5</v>
      </c>
      <c r="E16" s="25">
        <v>2</v>
      </c>
      <c r="F16" s="25">
        <v>0</v>
      </c>
    </row>
    <row r="17" spans="1:6" s="183" customFormat="1" x14ac:dyDescent="0.3">
      <c r="A17" s="12"/>
      <c r="B17" s="130" t="s">
        <v>122</v>
      </c>
      <c r="C17" s="163">
        <v>35</v>
      </c>
      <c r="D17" s="163">
        <v>6</v>
      </c>
      <c r="E17" s="163">
        <v>0</v>
      </c>
      <c r="F17" s="163">
        <v>0</v>
      </c>
    </row>
    <row r="18" spans="1:6" x14ac:dyDescent="0.3">
      <c r="A18" s="12">
        <v>58</v>
      </c>
      <c r="B18" s="55" t="s">
        <v>20</v>
      </c>
      <c r="C18" s="25">
        <v>4</v>
      </c>
      <c r="D18" s="25">
        <v>0</v>
      </c>
      <c r="E18" s="25">
        <v>0</v>
      </c>
      <c r="F18" s="25">
        <v>0</v>
      </c>
    </row>
    <row r="19" spans="1:6" x14ac:dyDescent="0.3">
      <c r="A19" s="12">
        <v>63</v>
      </c>
      <c r="B19" s="55" t="s">
        <v>21</v>
      </c>
      <c r="C19" s="25">
        <v>33</v>
      </c>
      <c r="D19" s="25">
        <v>6</v>
      </c>
      <c r="E19" s="25">
        <v>1</v>
      </c>
      <c r="F19" s="25">
        <v>0</v>
      </c>
    </row>
    <row r="20" spans="1:6" x14ac:dyDescent="0.3">
      <c r="A20" s="12">
        <v>64</v>
      </c>
      <c r="B20" s="55" t="s">
        <v>22</v>
      </c>
      <c r="C20" s="25">
        <v>41</v>
      </c>
      <c r="D20" s="25">
        <v>6</v>
      </c>
      <c r="E20" s="25">
        <v>4</v>
      </c>
      <c r="F20" s="25">
        <v>0</v>
      </c>
    </row>
    <row r="21" spans="1:6" x14ac:dyDescent="0.3">
      <c r="A21" s="12">
        <v>65</v>
      </c>
      <c r="B21" s="55" t="s">
        <v>23</v>
      </c>
      <c r="C21" s="25">
        <v>32</v>
      </c>
      <c r="D21" s="25">
        <v>7</v>
      </c>
      <c r="E21" s="25">
        <v>0</v>
      </c>
      <c r="F21" s="25">
        <v>0</v>
      </c>
    </row>
    <row r="22" spans="1:6" x14ac:dyDescent="0.3">
      <c r="A22" s="12">
        <v>67</v>
      </c>
      <c r="B22" s="55" t="s">
        <v>24</v>
      </c>
      <c r="C22" s="25">
        <v>66</v>
      </c>
      <c r="D22" s="25">
        <v>10</v>
      </c>
      <c r="E22" s="178">
        <v>1</v>
      </c>
      <c r="F22" s="25">
        <v>0</v>
      </c>
    </row>
    <row r="23" spans="1:6" x14ac:dyDescent="0.3">
      <c r="A23" s="12">
        <v>68</v>
      </c>
      <c r="B23" s="55" t="s">
        <v>25</v>
      </c>
      <c r="C23" s="25">
        <v>23</v>
      </c>
      <c r="D23" s="25">
        <v>3</v>
      </c>
      <c r="E23" s="25">
        <v>1</v>
      </c>
      <c r="F23" s="25">
        <v>0</v>
      </c>
    </row>
    <row r="24" spans="1:6" x14ac:dyDescent="0.3">
      <c r="A24" s="12">
        <v>69</v>
      </c>
      <c r="B24" s="55" t="s">
        <v>26</v>
      </c>
      <c r="C24" s="25">
        <v>24</v>
      </c>
      <c r="D24" s="25">
        <v>6</v>
      </c>
      <c r="E24" s="25">
        <v>1</v>
      </c>
      <c r="F24" s="25">
        <v>0</v>
      </c>
    </row>
    <row r="25" spans="1:6" x14ac:dyDescent="0.3">
      <c r="A25" s="12">
        <v>70</v>
      </c>
      <c r="B25" s="55" t="s">
        <v>27</v>
      </c>
      <c r="C25" s="25">
        <v>29</v>
      </c>
      <c r="D25" s="25">
        <v>4</v>
      </c>
      <c r="E25" s="25">
        <v>0</v>
      </c>
      <c r="F25" s="25">
        <v>0</v>
      </c>
    </row>
    <row r="26" spans="1:6" x14ac:dyDescent="0.3">
      <c r="A26" s="12">
        <v>71</v>
      </c>
      <c r="B26" s="39" t="s">
        <v>28</v>
      </c>
      <c r="C26" s="25">
        <v>3</v>
      </c>
      <c r="D26" s="25">
        <v>2</v>
      </c>
      <c r="E26" s="25">
        <v>0</v>
      </c>
      <c r="F26" s="25">
        <v>0</v>
      </c>
    </row>
    <row r="27" spans="1:6" x14ac:dyDescent="0.3">
      <c r="A27" s="12">
        <v>73</v>
      </c>
      <c r="B27" s="55" t="s">
        <v>29</v>
      </c>
      <c r="C27" s="25">
        <v>24</v>
      </c>
      <c r="D27" s="37">
        <v>4</v>
      </c>
      <c r="E27" s="37">
        <v>0</v>
      </c>
      <c r="F27" s="25">
        <v>0</v>
      </c>
    </row>
    <row r="28" spans="1:6" x14ac:dyDescent="0.3">
      <c r="A28" s="12">
        <v>74</v>
      </c>
      <c r="B28" s="55" t="s">
        <v>30</v>
      </c>
      <c r="C28" s="25">
        <v>18</v>
      </c>
      <c r="D28" s="37">
        <v>4</v>
      </c>
      <c r="E28" s="37">
        <v>0</v>
      </c>
      <c r="F28" s="25">
        <v>0</v>
      </c>
    </row>
    <row r="29" spans="1:6" x14ac:dyDescent="0.3">
      <c r="A29" s="12">
        <v>75</v>
      </c>
      <c r="B29" s="55" t="s">
        <v>31</v>
      </c>
      <c r="C29" s="25">
        <v>15</v>
      </c>
      <c r="D29" s="37">
        <v>5</v>
      </c>
      <c r="E29" s="37">
        <v>0</v>
      </c>
      <c r="F29" s="25">
        <v>0</v>
      </c>
    </row>
    <row r="30" spans="1:6" x14ac:dyDescent="0.3">
      <c r="A30" s="12">
        <v>76</v>
      </c>
      <c r="B30" s="55" t="s">
        <v>32</v>
      </c>
      <c r="C30" s="25">
        <v>7</v>
      </c>
      <c r="D30" s="37">
        <v>4</v>
      </c>
      <c r="E30" s="37">
        <v>0</v>
      </c>
      <c r="F30" s="25">
        <v>0</v>
      </c>
    </row>
    <row r="31" spans="1:6" x14ac:dyDescent="0.3">
      <c r="A31" s="12">
        <v>79</v>
      </c>
      <c r="B31" s="55" t="s">
        <v>33</v>
      </c>
      <c r="C31" s="25">
        <v>28</v>
      </c>
      <c r="D31" s="37">
        <v>21</v>
      </c>
      <c r="E31" s="37">
        <v>0</v>
      </c>
      <c r="F31" s="25">
        <v>0</v>
      </c>
    </row>
    <row r="32" spans="1:6" x14ac:dyDescent="0.3">
      <c r="A32" s="12">
        <v>80</v>
      </c>
      <c r="B32" s="55" t="s">
        <v>34</v>
      </c>
      <c r="C32" s="25">
        <v>22</v>
      </c>
      <c r="D32" s="37">
        <v>4</v>
      </c>
      <c r="E32" s="37">
        <v>1</v>
      </c>
      <c r="F32" s="25">
        <v>0</v>
      </c>
    </row>
    <row r="33" spans="1:10" x14ac:dyDescent="0.3">
      <c r="A33" s="12">
        <v>81</v>
      </c>
      <c r="B33" s="55" t="s">
        <v>35</v>
      </c>
      <c r="C33" s="25">
        <v>25</v>
      </c>
      <c r="D33" s="37">
        <v>4</v>
      </c>
      <c r="E33" s="37">
        <v>0</v>
      </c>
      <c r="F33" s="25">
        <v>0</v>
      </c>
    </row>
    <row r="34" spans="1:10" x14ac:dyDescent="0.3">
      <c r="A34" s="12">
        <v>83</v>
      </c>
      <c r="B34" s="55" t="s">
        <v>36</v>
      </c>
      <c r="C34" s="25">
        <v>9</v>
      </c>
      <c r="D34" s="37">
        <v>0</v>
      </c>
      <c r="E34" s="37">
        <v>3</v>
      </c>
      <c r="F34" s="25">
        <v>0</v>
      </c>
    </row>
    <row r="35" spans="1:10" x14ac:dyDescent="0.3">
      <c r="A35" s="12">
        <v>84</v>
      </c>
      <c r="B35" s="55" t="s">
        <v>37</v>
      </c>
      <c r="C35" s="25">
        <v>30</v>
      </c>
      <c r="D35" s="37">
        <v>11</v>
      </c>
      <c r="E35" s="37">
        <v>2</v>
      </c>
      <c r="F35" s="25">
        <v>0</v>
      </c>
    </row>
    <row r="36" spans="1:10" ht="14" x14ac:dyDescent="0.3">
      <c r="A36" s="12">
        <v>85</v>
      </c>
      <c r="B36" s="55" t="s">
        <v>38</v>
      </c>
      <c r="C36" s="25">
        <v>18</v>
      </c>
      <c r="D36" s="37">
        <v>1</v>
      </c>
      <c r="E36" s="37">
        <v>0</v>
      </c>
      <c r="F36" s="25">
        <v>0</v>
      </c>
      <c r="G36" s="11"/>
    </row>
    <row r="37" spans="1:10" ht="14" x14ac:dyDescent="0.3">
      <c r="A37" s="12">
        <v>87</v>
      </c>
      <c r="B37" s="55" t="s">
        <v>39</v>
      </c>
      <c r="C37" s="25">
        <v>14</v>
      </c>
      <c r="D37" s="37">
        <v>3</v>
      </c>
      <c r="E37" s="37">
        <v>0</v>
      </c>
      <c r="F37" s="25">
        <v>0</v>
      </c>
      <c r="H37" s="11"/>
      <c r="I37" s="11"/>
    </row>
    <row r="38" spans="1:10" x14ac:dyDescent="0.3">
      <c r="A38" s="12">
        <v>90</v>
      </c>
      <c r="B38" s="55" t="s">
        <v>40</v>
      </c>
      <c r="C38" s="25">
        <v>24</v>
      </c>
      <c r="D38" s="37">
        <v>1</v>
      </c>
      <c r="E38" s="37">
        <v>0</v>
      </c>
      <c r="F38" s="25">
        <v>0</v>
      </c>
    </row>
    <row r="39" spans="1:10" x14ac:dyDescent="0.3">
      <c r="A39" s="12">
        <v>91</v>
      </c>
      <c r="B39" s="55" t="s">
        <v>41</v>
      </c>
      <c r="C39" s="25">
        <v>15</v>
      </c>
      <c r="D39" s="37">
        <v>0</v>
      </c>
      <c r="E39" s="37">
        <v>0</v>
      </c>
      <c r="F39" s="25">
        <v>0</v>
      </c>
    </row>
    <row r="40" spans="1:10" x14ac:dyDescent="0.3">
      <c r="A40" s="12">
        <v>92</v>
      </c>
      <c r="B40" s="55" t="s">
        <v>42</v>
      </c>
      <c r="C40" s="25">
        <v>25</v>
      </c>
      <c r="D40" s="37">
        <v>4</v>
      </c>
      <c r="E40" s="37">
        <v>0</v>
      </c>
      <c r="F40" s="25">
        <v>0</v>
      </c>
    </row>
    <row r="41" spans="1:10" x14ac:dyDescent="0.3">
      <c r="A41" s="12">
        <v>94</v>
      </c>
      <c r="B41" s="55" t="s">
        <v>43</v>
      </c>
      <c r="C41" s="25">
        <v>18</v>
      </c>
      <c r="D41" s="37">
        <v>6</v>
      </c>
      <c r="E41" s="37">
        <v>1</v>
      </c>
      <c r="F41" s="25">
        <v>0</v>
      </c>
    </row>
    <row r="42" spans="1:10" ht="14" x14ac:dyDescent="0.3">
      <c r="A42" s="12">
        <v>96</v>
      </c>
      <c r="B42" s="55" t="s">
        <v>44</v>
      </c>
      <c r="C42" s="25">
        <v>29</v>
      </c>
      <c r="D42" s="37">
        <v>6</v>
      </c>
      <c r="E42" s="37">
        <v>3</v>
      </c>
      <c r="F42" s="25">
        <v>0</v>
      </c>
      <c r="J42" s="11"/>
    </row>
    <row r="43" spans="1:10" x14ac:dyDescent="0.3">
      <c r="A43" s="12">
        <v>72</v>
      </c>
      <c r="B43" s="39" t="s">
        <v>46</v>
      </c>
      <c r="C43" s="37">
        <v>0</v>
      </c>
      <c r="D43" s="37">
        <v>0</v>
      </c>
      <c r="E43" s="37">
        <v>0</v>
      </c>
      <c r="F43" s="25">
        <v>0</v>
      </c>
    </row>
    <row r="44" spans="1:10" s="11" customFormat="1" ht="25.5" customHeight="1" x14ac:dyDescent="0.3">
      <c r="A44" s="50"/>
      <c r="B44" s="11" t="s">
        <v>47</v>
      </c>
      <c r="C44" s="42">
        <v>301</v>
      </c>
      <c r="D44" s="42">
        <v>51</v>
      </c>
      <c r="E44" s="42">
        <v>8</v>
      </c>
      <c r="F44" s="42">
        <v>0</v>
      </c>
    </row>
    <row r="45" spans="1:10" x14ac:dyDescent="0.3">
      <c r="A45" s="12">
        <v>66</v>
      </c>
      <c r="B45" s="55" t="s">
        <v>48</v>
      </c>
      <c r="C45" s="25">
        <v>29</v>
      </c>
      <c r="D45" s="25">
        <v>7</v>
      </c>
      <c r="E45" s="25">
        <v>0</v>
      </c>
      <c r="F45" s="25">
        <v>0</v>
      </c>
    </row>
    <row r="46" spans="1:10" x14ac:dyDescent="0.3">
      <c r="A46" s="12">
        <v>78</v>
      </c>
      <c r="B46" s="55" t="s">
        <v>49</v>
      </c>
      <c r="C46" s="25">
        <v>19</v>
      </c>
      <c r="D46" s="25">
        <v>4</v>
      </c>
      <c r="E46" s="25">
        <v>1</v>
      </c>
      <c r="F46" s="25">
        <v>0</v>
      </c>
    </row>
    <row r="47" spans="1:10" x14ac:dyDescent="0.3">
      <c r="A47" s="12">
        <v>89</v>
      </c>
      <c r="B47" s="55" t="s">
        <v>50</v>
      </c>
      <c r="C47" s="25">
        <v>38</v>
      </c>
      <c r="D47" s="25">
        <v>1</v>
      </c>
      <c r="E47" s="25">
        <v>0</v>
      </c>
      <c r="F47" s="25">
        <v>0</v>
      </c>
    </row>
    <row r="48" spans="1:10" x14ac:dyDescent="0.3">
      <c r="A48" s="12">
        <v>93</v>
      </c>
      <c r="B48" s="55" t="s">
        <v>51</v>
      </c>
      <c r="C48" s="25">
        <v>9</v>
      </c>
      <c r="D48" s="25">
        <v>0</v>
      </c>
      <c r="E48" s="25">
        <v>1</v>
      </c>
      <c r="F48" s="25">
        <v>0</v>
      </c>
    </row>
    <row r="49" spans="1:6" x14ac:dyDescent="0.3">
      <c r="A49" s="12">
        <v>95</v>
      </c>
      <c r="B49" s="55" t="s">
        <v>52</v>
      </c>
      <c r="C49" s="25">
        <v>27</v>
      </c>
      <c r="D49" s="25">
        <v>6</v>
      </c>
      <c r="E49" s="25">
        <v>2</v>
      </c>
      <c r="F49" s="25">
        <v>0</v>
      </c>
    </row>
    <row r="50" spans="1:6" x14ac:dyDescent="0.3">
      <c r="A50" s="12">
        <v>97</v>
      </c>
      <c r="B50" s="55" t="s">
        <v>53</v>
      </c>
      <c r="C50" s="178">
        <v>73</v>
      </c>
      <c r="D50" s="25">
        <v>10</v>
      </c>
      <c r="E50" s="25">
        <v>1</v>
      </c>
      <c r="F50" s="25">
        <v>0</v>
      </c>
    </row>
    <row r="51" spans="1:6" x14ac:dyDescent="0.3">
      <c r="A51" s="12">
        <v>77</v>
      </c>
      <c r="B51" s="58" t="s">
        <v>54</v>
      </c>
      <c r="C51" s="179">
        <v>106</v>
      </c>
      <c r="D51" s="179">
        <v>23</v>
      </c>
      <c r="E51" s="179">
        <v>3</v>
      </c>
      <c r="F51" s="179">
        <v>0</v>
      </c>
    </row>
    <row r="52" spans="1:6" x14ac:dyDescent="0.3">
      <c r="C52" s="25"/>
      <c r="D52" s="180"/>
      <c r="E52" s="25"/>
      <c r="F52" s="25"/>
    </row>
    <row r="53" spans="1:6" ht="13.5" customHeight="1" x14ac:dyDescent="0.3">
      <c r="B53" s="12" t="s">
        <v>55</v>
      </c>
    </row>
    <row r="54" spans="1:6" ht="13.5" customHeight="1" x14ac:dyDescent="0.3">
      <c r="B54" s="309" t="s">
        <v>56</v>
      </c>
      <c r="C54" s="310"/>
      <c r="D54" s="310"/>
      <c r="E54" s="310"/>
      <c r="F54" s="310"/>
    </row>
    <row r="55" spans="1:6" ht="15" customHeight="1" x14ac:dyDescent="0.3">
      <c r="B55" s="310"/>
      <c r="C55" s="310"/>
      <c r="D55" s="310"/>
      <c r="E55" s="310"/>
      <c r="F55" s="310"/>
    </row>
    <row r="56" spans="1:6" ht="13.5" customHeight="1" x14ac:dyDescent="0.3">
      <c r="B56" s="310"/>
      <c r="C56" s="310"/>
      <c r="D56" s="310"/>
      <c r="E56" s="310"/>
      <c r="F56" s="310"/>
    </row>
    <row r="57" spans="1:6" ht="12.75" customHeight="1" x14ac:dyDescent="0.3">
      <c r="B57" s="310"/>
      <c r="C57" s="310"/>
      <c r="D57" s="310"/>
      <c r="E57" s="310"/>
      <c r="F57" s="310"/>
    </row>
    <row r="58" spans="1:6" ht="15.75" customHeight="1" x14ac:dyDescent="0.3">
      <c r="B58" s="310"/>
      <c r="C58" s="310"/>
      <c r="D58" s="310"/>
      <c r="E58" s="310"/>
      <c r="F58" s="310"/>
    </row>
    <row r="59" spans="1:6" ht="67.5" customHeight="1" x14ac:dyDescent="0.3">
      <c r="B59" s="310"/>
      <c r="C59" s="310"/>
      <c r="D59" s="310"/>
      <c r="E59" s="310"/>
      <c r="F59" s="310"/>
    </row>
    <row r="60" spans="1:6" ht="9.75" customHeight="1" x14ac:dyDescent="0.3">
      <c r="B60" s="57"/>
      <c r="C60" s="57"/>
      <c r="D60" s="57"/>
      <c r="E60" s="57"/>
      <c r="F60" s="57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22"/>
  </sheetPr>
  <dimension ref="A1:F63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3.26953125" style="1" hidden="1" customWidth="1"/>
    <col min="2" max="2" width="31.7265625" style="55" customWidth="1"/>
    <col min="3" max="4" width="15.26953125" style="55" customWidth="1"/>
    <col min="5" max="5" width="16.54296875" style="55" customWidth="1"/>
    <col min="6" max="6" width="15" style="55" customWidth="1"/>
    <col min="7" max="256" width="9.26953125" style="55"/>
    <col min="257" max="257" width="0" style="55" hidden="1" customWidth="1"/>
    <col min="258" max="258" width="31.7265625" style="55" customWidth="1"/>
    <col min="259" max="260" width="15.26953125" style="55" customWidth="1"/>
    <col min="261" max="261" width="16.54296875" style="55" customWidth="1"/>
    <col min="262" max="262" width="15" style="55" customWidth="1"/>
    <col min="263" max="512" width="9.26953125" style="55"/>
    <col min="513" max="513" width="0" style="55" hidden="1" customWidth="1"/>
    <col min="514" max="514" width="31.7265625" style="55" customWidth="1"/>
    <col min="515" max="516" width="15.26953125" style="55" customWidth="1"/>
    <col min="517" max="517" width="16.54296875" style="55" customWidth="1"/>
    <col min="518" max="518" width="15" style="55" customWidth="1"/>
    <col min="519" max="768" width="9.26953125" style="55"/>
    <col min="769" max="769" width="0" style="55" hidden="1" customWidth="1"/>
    <col min="770" max="770" width="31.7265625" style="55" customWidth="1"/>
    <col min="771" max="772" width="15.26953125" style="55" customWidth="1"/>
    <col min="773" max="773" width="16.54296875" style="55" customWidth="1"/>
    <col min="774" max="774" width="15" style="55" customWidth="1"/>
    <col min="775" max="1024" width="9.26953125" style="55"/>
    <col min="1025" max="1025" width="0" style="55" hidden="1" customWidth="1"/>
    <col min="1026" max="1026" width="31.7265625" style="55" customWidth="1"/>
    <col min="1027" max="1028" width="15.26953125" style="55" customWidth="1"/>
    <col min="1029" max="1029" width="16.54296875" style="55" customWidth="1"/>
    <col min="1030" max="1030" width="15" style="55" customWidth="1"/>
    <col min="1031" max="1280" width="9.26953125" style="55"/>
    <col min="1281" max="1281" width="0" style="55" hidden="1" customWidth="1"/>
    <col min="1282" max="1282" width="31.7265625" style="55" customWidth="1"/>
    <col min="1283" max="1284" width="15.26953125" style="55" customWidth="1"/>
    <col min="1285" max="1285" width="16.54296875" style="55" customWidth="1"/>
    <col min="1286" max="1286" width="15" style="55" customWidth="1"/>
    <col min="1287" max="1536" width="9.26953125" style="55"/>
    <col min="1537" max="1537" width="0" style="55" hidden="1" customWidth="1"/>
    <col min="1538" max="1538" width="31.7265625" style="55" customWidth="1"/>
    <col min="1539" max="1540" width="15.26953125" style="55" customWidth="1"/>
    <col min="1541" max="1541" width="16.54296875" style="55" customWidth="1"/>
    <col min="1542" max="1542" width="15" style="55" customWidth="1"/>
    <col min="1543" max="1792" width="9.26953125" style="55"/>
    <col min="1793" max="1793" width="0" style="55" hidden="1" customWidth="1"/>
    <col min="1794" max="1794" width="31.7265625" style="55" customWidth="1"/>
    <col min="1795" max="1796" width="15.26953125" style="55" customWidth="1"/>
    <col min="1797" max="1797" width="16.54296875" style="55" customWidth="1"/>
    <col min="1798" max="1798" width="15" style="55" customWidth="1"/>
    <col min="1799" max="2048" width="9.26953125" style="55"/>
    <col min="2049" max="2049" width="0" style="55" hidden="1" customWidth="1"/>
    <col min="2050" max="2050" width="31.7265625" style="55" customWidth="1"/>
    <col min="2051" max="2052" width="15.26953125" style="55" customWidth="1"/>
    <col min="2053" max="2053" width="16.54296875" style="55" customWidth="1"/>
    <col min="2054" max="2054" width="15" style="55" customWidth="1"/>
    <col min="2055" max="2304" width="9.26953125" style="55"/>
    <col min="2305" max="2305" width="0" style="55" hidden="1" customWidth="1"/>
    <col min="2306" max="2306" width="31.7265625" style="55" customWidth="1"/>
    <col min="2307" max="2308" width="15.26953125" style="55" customWidth="1"/>
    <col min="2309" max="2309" width="16.54296875" style="55" customWidth="1"/>
    <col min="2310" max="2310" width="15" style="55" customWidth="1"/>
    <col min="2311" max="2560" width="9.26953125" style="55"/>
    <col min="2561" max="2561" width="0" style="55" hidden="1" customWidth="1"/>
    <col min="2562" max="2562" width="31.7265625" style="55" customWidth="1"/>
    <col min="2563" max="2564" width="15.26953125" style="55" customWidth="1"/>
    <col min="2565" max="2565" width="16.54296875" style="55" customWidth="1"/>
    <col min="2566" max="2566" width="15" style="55" customWidth="1"/>
    <col min="2567" max="2816" width="9.26953125" style="55"/>
    <col min="2817" max="2817" width="0" style="55" hidden="1" customWidth="1"/>
    <col min="2818" max="2818" width="31.7265625" style="55" customWidth="1"/>
    <col min="2819" max="2820" width="15.26953125" style="55" customWidth="1"/>
    <col min="2821" max="2821" width="16.54296875" style="55" customWidth="1"/>
    <col min="2822" max="2822" width="15" style="55" customWidth="1"/>
    <col min="2823" max="3072" width="9.26953125" style="55"/>
    <col min="3073" max="3073" width="0" style="55" hidden="1" customWidth="1"/>
    <col min="3074" max="3074" width="31.7265625" style="55" customWidth="1"/>
    <col min="3075" max="3076" width="15.26953125" style="55" customWidth="1"/>
    <col min="3077" max="3077" width="16.54296875" style="55" customWidth="1"/>
    <col min="3078" max="3078" width="15" style="55" customWidth="1"/>
    <col min="3079" max="3328" width="9.26953125" style="55"/>
    <col min="3329" max="3329" width="0" style="55" hidden="1" customWidth="1"/>
    <col min="3330" max="3330" width="31.7265625" style="55" customWidth="1"/>
    <col min="3331" max="3332" width="15.26953125" style="55" customWidth="1"/>
    <col min="3333" max="3333" width="16.54296875" style="55" customWidth="1"/>
    <col min="3334" max="3334" width="15" style="55" customWidth="1"/>
    <col min="3335" max="3584" width="9.26953125" style="55"/>
    <col min="3585" max="3585" width="0" style="55" hidden="1" customWidth="1"/>
    <col min="3586" max="3586" width="31.7265625" style="55" customWidth="1"/>
    <col min="3587" max="3588" width="15.26953125" style="55" customWidth="1"/>
    <col min="3589" max="3589" width="16.54296875" style="55" customWidth="1"/>
    <col min="3590" max="3590" width="15" style="55" customWidth="1"/>
    <col min="3591" max="3840" width="9.26953125" style="55"/>
    <col min="3841" max="3841" width="0" style="55" hidden="1" customWidth="1"/>
    <col min="3842" max="3842" width="31.7265625" style="55" customWidth="1"/>
    <col min="3843" max="3844" width="15.26953125" style="55" customWidth="1"/>
    <col min="3845" max="3845" width="16.54296875" style="55" customWidth="1"/>
    <col min="3846" max="3846" width="15" style="55" customWidth="1"/>
    <col min="3847" max="4096" width="9.26953125" style="55"/>
    <col min="4097" max="4097" width="0" style="55" hidden="1" customWidth="1"/>
    <col min="4098" max="4098" width="31.7265625" style="55" customWidth="1"/>
    <col min="4099" max="4100" width="15.26953125" style="55" customWidth="1"/>
    <col min="4101" max="4101" width="16.54296875" style="55" customWidth="1"/>
    <col min="4102" max="4102" width="15" style="55" customWidth="1"/>
    <col min="4103" max="4352" width="9.26953125" style="55"/>
    <col min="4353" max="4353" width="0" style="55" hidden="1" customWidth="1"/>
    <col min="4354" max="4354" width="31.7265625" style="55" customWidth="1"/>
    <col min="4355" max="4356" width="15.26953125" style="55" customWidth="1"/>
    <col min="4357" max="4357" width="16.54296875" style="55" customWidth="1"/>
    <col min="4358" max="4358" width="15" style="55" customWidth="1"/>
    <col min="4359" max="4608" width="9.26953125" style="55"/>
    <col min="4609" max="4609" width="0" style="55" hidden="1" customWidth="1"/>
    <col min="4610" max="4610" width="31.7265625" style="55" customWidth="1"/>
    <col min="4611" max="4612" width="15.26953125" style="55" customWidth="1"/>
    <col min="4613" max="4613" width="16.54296875" style="55" customWidth="1"/>
    <col min="4614" max="4614" width="15" style="55" customWidth="1"/>
    <col min="4615" max="4864" width="9.26953125" style="55"/>
    <col min="4865" max="4865" width="0" style="55" hidden="1" customWidth="1"/>
    <col min="4866" max="4866" width="31.7265625" style="55" customWidth="1"/>
    <col min="4867" max="4868" width="15.26953125" style="55" customWidth="1"/>
    <col min="4869" max="4869" width="16.54296875" style="55" customWidth="1"/>
    <col min="4870" max="4870" width="15" style="55" customWidth="1"/>
    <col min="4871" max="5120" width="9.26953125" style="55"/>
    <col min="5121" max="5121" width="0" style="55" hidden="1" customWidth="1"/>
    <col min="5122" max="5122" width="31.7265625" style="55" customWidth="1"/>
    <col min="5123" max="5124" width="15.26953125" style="55" customWidth="1"/>
    <col min="5125" max="5125" width="16.54296875" style="55" customWidth="1"/>
    <col min="5126" max="5126" width="15" style="55" customWidth="1"/>
    <col min="5127" max="5376" width="9.26953125" style="55"/>
    <col min="5377" max="5377" width="0" style="55" hidden="1" customWidth="1"/>
    <col min="5378" max="5378" width="31.7265625" style="55" customWidth="1"/>
    <col min="5379" max="5380" width="15.26953125" style="55" customWidth="1"/>
    <col min="5381" max="5381" width="16.54296875" style="55" customWidth="1"/>
    <col min="5382" max="5382" width="15" style="55" customWidth="1"/>
    <col min="5383" max="5632" width="9.26953125" style="55"/>
    <col min="5633" max="5633" width="0" style="55" hidden="1" customWidth="1"/>
    <col min="5634" max="5634" width="31.7265625" style="55" customWidth="1"/>
    <col min="5635" max="5636" width="15.26953125" style="55" customWidth="1"/>
    <col min="5637" max="5637" width="16.54296875" style="55" customWidth="1"/>
    <col min="5638" max="5638" width="15" style="55" customWidth="1"/>
    <col min="5639" max="5888" width="9.26953125" style="55"/>
    <col min="5889" max="5889" width="0" style="55" hidden="1" customWidth="1"/>
    <col min="5890" max="5890" width="31.7265625" style="55" customWidth="1"/>
    <col min="5891" max="5892" width="15.26953125" style="55" customWidth="1"/>
    <col min="5893" max="5893" width="16.54296875" style="55" customWidth="1"/>
    <col min="5894" max="5894" width="15" style="55" customWidth="1"/>
    <col min="5895" max="6144" width="9.26953125" style="55"/>
    <col min="6145" max="6145" width="0" style="55" hidden="1" customWidth="1"/>
    <col min="6146" max="6146" width="31.7265625" style="55" customWidth="1"/>
    <col min="6147" max="6148" width="15.26953125" style="55" customWidth="1"/>
    <col min="6149" max="6149" width="16.54296875" style="55" customWidth="1"/>
    <col min="6150" max="6150" width="15" style="55" customWidth="1"/>
    <col min="6151" max="6400" width="9.26953125" style="55"/>
    <col min="6401" max="6401" width="0" style="55" hidden="1" customWidth="1"/>
    <col min="6402" max="6402" width="31.7265625" style="55" customWidth="1"/>
    <col min="6403" max="6404" width="15.26953125" style="55" customWidth="1"/>
    <col min="6405" max="6405" width="16.54296875" style="55" customWidth="1"/>
    <col min="6406" max="6406" width="15" style="55" customWidth="1"/>
    <col min="6407" max="6656" width="9.26953125" style="55"/>
    <col min="6657" max="6657" width="0" style="55" hidden="1" customWidth="1"/>
    <col min="6658" max="6658" width="31.7265625" style="55" customWidth="1"/>
    <col min="6659" max="6660" width="15.26953125" style="55" customWidth="1"/>
    <col min="6661" max="6661" width="16.54296875" style="55" customWidth="1"/>
    <col min="6662" max="6662" width="15" style="55" customWidth="1"/>
    <col min="6663" max="6912" width="9.26953125" style="55"/>
    <col min="6913" max="6913" width="0" style="55" hidden="1" customWidth="1"/>
    <col min="6914" max="6914" width="31.7265625" style="55" customWidth="1"/>
    <col min="6915" max="6916" width="15.26953125" style="55" customWidth="1"/>
    <col min="6917" max="6917" width="16.54296875" style="55" customWidth="1"/>
    <col min="6918" max="6918" width="15" style="55" customWidth="1"/>
    <col min="6919" max="7168" width="9.26953125" style="55"/>
    <col min="7169" max="7169" width="0" style="55" hidden="1" customWidth="1"/>
    <col min="7170" max="7170" width="31.7265625" style="55" customWidth="1"/>
    <col min="7171" max="7172" width="15.26953125" style="55" customWidth="1"/>
    <col min="7173" max="7173" width="16.54296875" style="55" customWidth="1"/>
    <col min="7174" max="7174" width="15" style="55" customWidth="1"/>
    <col min="7175" max="7424" width="9.26953125" style="55"/>
    <col min="7425" max="7425" width="0" style="55" hidden="1" customWidth="1"/>
    <col min="7426" max="7426" width="31.7265625" style="55" customWidth="1"/>
    <col min="7427" max="7428" width="15.26953125" style="55" customWidth="1"/>
    <col min="7429" max="7429" width="16.54296875" style="55" customWidth="1"/>
    <col min="7430" max="7430" width="15" style="55" customWidth="1"/>
    <col min="7431" max="7680" width="9.26953125" style="55"/>
    <col min="7681" max="7681" width="0" style="55" hidden="1" customWidth="1"/>
    <col min="7682" max="7682" width="31.7265625" style="55" customWidth="1"/>
    <col min="7683" max="7684" width="15.26953125" style="55" customWidth="1"/>
    <col min="7685" max="7685" width="16.54296875" style="55" customWidth="1"/>
    <col min="7686" max="7686" width="15" style="55" customWidth="1"/>
    <col min="7687" max="7936" width="9.26953125" style="55"/>
    <col min="7937" max="7937" width="0" style="55" hidden="1" customWidth="1"/>
    <col min="7938" max="7938" width="31.7265625" style="55" customWidth="1"/>
    <col min="7939" max="7940" width="15.26953125" style="55" customWidth="1"/>
    <col min="7941" max="7941" width="16.54296875" style="55" customWidth="1"/>
    <col min="7942" max="7942" width="15" style="55" customWidth="1"/>
    <col min="7943" max="8192" width="9.26953125" style="55"/>
    <col min="8193" max="8193" width="0" style="55" hidden="1" customWidth="1"/>
    <col min="8194" max="8194" width="31.7265625" style="55" customWidth="1"/>
    <col min="8195" max="8196" width="15.26953125" style="55" customWidth="1"/>
    <col min="8197" max="8197" width="16.54296875" style="55" customWidth="1"/>
    <col min="8198" max="8198" width="15" style="55" customWidth="1"/>
    <col min="8199" max="8448" width="9.26953125" style="55"/>
    <col min="8449" max="8449" width="0" style="55" hidden="1" customWidth="1"/>
    <col min="8450" max="8450" width="31.7265625" style="55" customWidth="1"/>
    <col min="8451" max="8452" width="15.26953125" style="55" customWidth="1"/>
    <col min="8453" max="8453" width="16.54296875" style="55" customWidth="1"/>
    <col min="8454" max="8454" width="15" style="55" customWidth="1"/>
    <col min="8455" max="8704" width="9.26953125" style="55"/>
    <col min="8705" max="8705" width="0" style="55" hidden="1" customWidth="1"/>
    <col min="8706" max="8706" width="31.7265625" style="55" customWidth="1"/>
    <col min="8707" max="8708" width="15.26953125" style="55" customWidth="1"/>
    <col min="8709" max="8709" width="16.54296875" style="55" customWidth="1"/>
    <col min="8710" max="8710" width="15" style="55" customWidth="1"/>
    <col min="8711" max="8960" width="9.26953125" style="55"/>
    <col min="8961" max="8961" width="0" style="55" hidden="1" customWidth="1"/>
    <col min="8962" max="8962" width="31.7265625" style="55" customWidth="1"/>
    <col min="8963" max="8964" width="15.26953125" style="55" customWidth="1"/>
    <col min="8965" max="8965" width="16.54296875" style="55" customWidth="1"/>
    <col min="8966" max="8966" width="15" style="55" customWidth="1"/>
    <col min="8967" max="9216" width="9.26953125" style="55"/>
    <col min="9217" max="9217" width="0" style="55" hidden="1" customWidth="1"/>
    <col min="9218" max="9218" width="31.7265625" style="55" customWidth="1"/>
    <col min="9219" max="9220" width="15.26953125" style="55" customWidth="1"/>
    <col min="9221" max="9221" width="16.54296875" style="55" customWidth="1"/>
    <col min="9222" max="9222" width="15" style="55" customWidth="1"/>
    <col min="9223" max="9472" width="9.26953125" style="55"/>
    <col min="9473" max="9473" width="0" style="55" hidden="1" customWidth="1"/>
    <col min="9474" max="9474" width="31.7265625" style="55" customWidth="1"/>
    <col min="9475" max="9476" width="15.26953125" style="55" customWidth="1"/>
    <col min="9477" max="9477" width="16.54296875" style="55" customWidth="1"/>
    <col min="9478" max="9478" width="15" style="55" customWidth="1"/>
    <col min="9479" max="9728" width="9.26953125" style="55"/>
    <col min="9729" max="9729" width="0" style="55" hidden="1" customWidth="1"/>
    <col min="9730" max="9730" width="31.7265625" style="55" customWidth="1"/>
    <col min="9731" max="9732" width="15.26953125" style="55" customWidth="1"/>
    <col min="9733" max="9733" width="16.54296875" style="55" customWidth="1"/>
    <col min="9734" max="9734" width="15" style="55" customWidth="1"/>
    <col min="9735" max="9984" width="9.26953125" style="55"/>
    <col min="9985" max="9985" width="0" style="55" hidden="1" customWidth="1"/>
    <col min="9986" max="9986" width="31.7265625" style="55" customWidth="1"/>
    <col min="9987" max="9988" width="15.26953125" style="55" customWidth="1"/>
    <col min="9989" max="9989" width="16.54296875" style="55" customWidth="1"/>
    <col min="9990" max="9990" width="15" style="55" customWidth="1"/>
    <col min="9991" max="10240" width="9.26953125" style="55"/>
    <col min="10241" max="10241" width="0" style="55" hidden="1" customWidth="1"/>
    <col min="10242" max="10242" width="31.7265625" style="55" customWidth="1"/>
    <col min="10243" max="10244" width="15.26953125" style="55" customWidth="1"/>
    <col min="10245" max="10245" width="16.54296875" style="55" customWidth="1"/>
    <col min="10246" max="10246" width="15" style="55" customWidth="1"/>
    <col min="10247" max="10496" width="9.26953125" style="55"/>
    <col min="10497" max="10497" width="0" style="55" hidden="1" customWidth="1"/>
    <col min="10498" max="10498" width="31.7265625" style="55" customWidth="1"/>
    <col min="10499" max="10500" width="15.26953125" style="55" customWidth="1"/>
    <col min="10501" max="10501" width="16.54296875" style="55" customWidth="1"/>
    <col min="10502" max="10502" width="15" style="55" customWidth="1"/>
    <col min="10503" max="10752" width="9.26953125" style="55"/>
    <col min="10753" max="10753" width="0" style="55" hidden="1" customWidth="1"/>
    <col min="10754" max="10754" width="31.7265625" style="55" customWidth="1"/>
    <col min="10755" max="10756" width="15.26953125" style="55" customWidth="1"/>
    <col min="10757" max="10757" width="16.54296875" style="55" customWidth="1"/>
    <col min="10758" max="10758" width="15" style="55" customWidth="1"/>
    <col min="10759" max="11008" width="9.26953125" style="55"/>
    <col min="11009" max="11009" width="0" style="55" hidden="1" customWidth="1"/>
    <col min="11010" max="11010" width="31.7265625" style="55" customWidth="1"/>
    <col min="11011" max="11012" width="15.26953125" style="55" customWidth="1"/>
    <col min="11013" max="11013" width="16.54296875" style="55" customWidth="1"/>
    <col min="11014" max="11014" width="15" style="55" customWidth="1"/>
    <col min="11015" max="11264" width="9.26953125" style="55"/>
    <col min="11265" max="11265" width="0" style="55" hidden="1" customWidth="1"/>
    <col min="11266" max="11266" width="31.7265625" style="55" customWidth="1"/>
    <col min="11267" max="11268" width="15.26953125" style="55" customWidth="1"/>
    <col min="11269" max="11269" width="16.54296875" style="55" customWidth="1"/>
    <col min="11270" max="11270" width="15" style="55" customWidth="1"/>
    <col min="11271" max="11520" width="9.26953125" style="55"/>
    <col min="11521" max="11521" width="0" style="55" hidden="1" customWidth="1"/>
    <col min="11522" max="11522" width="31.7265625" style="55" customWidth="1"/>
    <col min="11523" max="11524" width="15.26953125" style="55" customWidth="1"/>
    <col min="11525" max="11525" width="16.54296875" style="55" customWidth="1"/>
    <col min="11526" max="11526" width="15" style="55" customWidth="1"/>
    <col min="11527" max="11776" width="9.26953125" style="55"/>
    <col min="11777" max="11777" width="0" style="55" hidden="1" customWidth="1"/>
    <col min="11778" max="11778" width="31.7265625" style="55" customWidth="1"/>
    <col min="11779" max="11780" width="15.26953125" style="55" customWidth="1"/>
    <col min="11781" max="11781" width="16.54296875" style="55" customWidth="1"/>
    <col min="11782" max="11782" width="15" style="55" customWidth="1"/>
    <col min="11783" max="12032" width="9.26953125" style="55"/>
    <col min="12033" max="12033" width="0" style="55" hidden="1" customWidth="1"/>
    <col min="12034" max="12034" width="31.7265625" style="55" customWidth="1"/>
    <col min="12035" max="12036" width="15.26953125" style="55" customWidth="1"/>
    <col min="12037" max="12037" width="16.54296875" style="55" customWidth="1"/>
    <col min="12038" max="12038" width="15" style="55" customWidth="1"/>
    <col min="12039" max="12288" width="9.26953125" style="55"/>
    <col min="12289" max="12289" width="0" style="55" hidden="1" customWidth="1"/>
    <col min="12290" max="12290" width="31.7265625" style="55" customWidth="1"/>
    <col min="12291" max="12292" width="15.26953125" style="55" customWidth="1"/>
    <col min="12293" max="12293" width="16.54296875" style="55" customWidth="1"/>
    <col min="12294" max="12294" width="15" style="55" customWidth="1"/>
    <col min="12295" max="12544" width="9.26953125" style="55"/>
    <col min="12545" max="12545" width="0" style="55" hidden="1" customWidth="1"/>
    <col min="12546" max="12546" width="31.7265625" style="55" customWidth="1"/>
    <col min="12547" max="12548" width="15.26953125" style="55" customWidth="1"/>
    <col min="12549" max="12549" width="16.54296875" style="55" customWidth="1"/>
    <col min="12550" max="12550" width="15" style="55" customWidth="1"/>
    <col min="12551" max="12800" width="9.26953125" style="55"/>
    <col min="12801" max="12801" width="0" style="55" hidden="1" customWidth="1"/>
    <col min="12802" max="12802" width="31.7265625" style="55" customWidth="1"/>
    <col min="12803" max="12804" width="15.26953125" style="55" customWidth="1"/>
    <col min="12805" max="12805" width="16.54296875" style="55" customWidth="1"/>
    <col min="12806" max="12806" width="15" style="55" customWidth="1"/>
    <col min="12807" max="13056" width="9.26953125" style="55"/>
    <col min="13057" max="13057" width="0" style="55" hidden="1" customWidth="1"/>
    <col min="13058" max="13058" width="31.7265625" style="55" customWidth="1"/>
    <col min="13059" max="13060" width="15.26953125" style="55" customWidth="1"/>
    <col min="13061" max="13061" width="16.54296875" style="55" customWidth="1"/>
    <col min="13062" max="13062" width="15" style="55" customWidth="1"/>
    <col min="13063" max="13312" width="9.26953125" style="55"/>
    <col min="13313" max="13313" width="0" style="55" hidden="1" customWidth="1"/>
    <col min="13314" max="13314" width="31.7265625" style="55" customWidth="1"/>
    <col min="13315" max="13316" width="15.26953125" style="55" customWidth="1"/>
    <col min="13317" max="13317" width="16.54296875" style="55" customWidth="1"/>
    <col min="13318" max="13318" width="15" style="55" customWidth="1"/>
    <col min="13319" max="13568" width="9.26953125" style="55"/>
    <col min="13569" max="13569" width="0" style="55" hidden="1" customWidth="1"/>
    <col min="13570" max="13570" width="31.7265625" style="55" customWidth="1"/>
    <col min="13571" max="13572" width="15.26953125" style="55" customWidth="1"/>
    <col min="13573" max="13573" width="16.54296875" style="55" customWidth="1"/>
    <col min="13574" max="13574" width="15" style="55" customWidth="1"/>
    <col min="13575" max="13824" width="9.26953125" style="55"/>
    <col min="13825" max="13825" width="0" style="55" hidden="1" customWidth="1"/>
    <col min="13826" max="13826" width="31.7265625" style="55" customWidth="1"/>
    <col min="13827" max="13828" width="15.26953125" style="55" customWidth="1"/>
    <col min="13829" max="13829" width="16.54296875" style="55" customWidth="1"/>
    <col min="13830" max="13830" width="15" style="55" customWidth="1"/>
    <col min="13831" max="14080" width="9.26953125" style="55"/>
    <col min="14081" max="14081" width="0" style="55" hidden="1" customWidth="1"/>
    <col min="14082" max="14082" width="31.7265625" style="55" customWidth="1"/>
    <col min="14083" max="14084" width="15.26953125" style="55" customWidth="1"/>
    <col min="14085" max="14085" width="16.54296875" style="55" customWidth="1"/>
    <col min="14086" max="14086" width="15" style="55" customWidth="1"/>
    <col min="14087" max="14336" width="9.26953125" style="55"/>
    <col min="14337" max="14337" width="0" style="55" hidden="1" customWidth="1"/>
    <col min="14338" max="14338" width="31.7265625" style="55" customWidth="1"/>
    <col min="14339" max="14340" width="15.26953125" style="55" customWidth="1"/>
    <col min="14341" max="14341" width="16.54296875" style="55" customWidth="1"/>
    <col min="14342" max="14342" width="15" style="55" customWidth="1"/>
    <col min="14343" max="14592" width="9.26953125" style="55"/>
    <col min="14593" max="14593" width="0" style="55" hidden="1" customWidth="1"/>
    <col min="14594" max="14594" width="31.7265625" style="55" customWidth="1"/>
    <col min="14595" max="14596" width="15.26953125" style="55" customWidth="1"/>
    <col min="14597" max="14597" width="16.54296875" style="55" customWidth="1"/>
    <col min="14598" max="14598" width="15" style="55" customWidth="1"/>
    <col min="14599" max="14848" width="9.26953125" style="55"/>
    <col min="14849" max="14849" width="0" style="55" hidden="1" customWidth="1"/>
    <col min="14850" max="14850" width="31.7265625" style="55" customWidth="1"/>
    <col min="14851" max="14852" width="15.26953125" style="55" customWidth="1"/>
    <col min="14853" max="14853" width="16.54296875" style="55" customWidth="1"/>
    <col min="14854" max="14854" width="15" style="55" customWidth="1"/>
    <col min="14855" max="15104" width="9.26953125" style="55"/>
    <col min="15105" max="15105" width="0" style="55" hidden="1" customWidth="1"/>
    <col min="15106" max="15106" width="31.7265625" style="55" customWidth="1"/>
    <col min="15107" max="15108" width="15.26953125" style="55" customWidth="1"/>
    <col min="15109" max="15109" width="16.54296875" style="55" customWidth="1"/>
    <col min="15110" max="15110" width="15" style="55" customWidth="1"/>
    <col min="15111" max="15360" width="9.26953125" style="55"/>
    <col min="15361" max="15361" width="0" style="55" hidden="1" customWidth="1"/>
    <col min="15362" max="15362" width="31.7265625" style="55" customWidth="1"/>
    <col min="15363" max="15364" width="15.26953125" style="55" customWidth="1"/>
    <col min="15365" max="15365" width="16.54296875" style="55" customWidth="1"/>
    <col min="15366" max="15366" width="15" style="55" customWidth="1"/>
    <col min="15367" max="15616" width="9.26953125" style="55"/>
    <col min="15617" max="15617" width="0" style="55" hidden="1" customWidth="1"/>
    <col min="15618" max="15618" width="31.7265625" style="55" customWidth="1"/>
    <col min="15619" max="15620" width="15.26953125" style="55" customWidth="1"/>
    <col min="15621" max="15621" width="16.54296875" style="55" customWidth="1"/>
    <col min="15622" max="15622" width="15" style="55" customWidth="1"/>
    <col min="15623" max="15872" width="9.26953125" style="55"/>
    <col min="15873" max="15873" width="0" style="55" hidden="1" customWidth="1"/>
    <col min="15874" max="15874" width="31.7265625" style="55" customWidth="1"/>
    <col min="15875" max="15876" width="15.26953125" style="55" customWidth="1"/>
    <col min="15877" max="15877" width="16.54296875" style="55" customWidth="1"/>
    <col min="15878" max="15878" width="15" style="55" customWidth="1"/>
    <col min="15879" max="16128" width="9.26953125" style="55"/>
    <col min="16129" max="16129" width="0" style="55" hidden="1" customWidth="1"/>
    <col min="16130" max="16130" width="31.7265625" style="55" customWidth="1"/>
    <col min="16131" max="16132" width="15.26953125" style="55" customWidth="1"/>
    <col min="16133" max="16133" width="16.54296875" style="55" customWidth="1"/>
    <col min="16134" max="16134" width="15" style="55" customWidth="1"/>
    <col min="16135" max="16384" width="9.26953125" style="55"/>
  </cols>
  <sheetData>
    <row r="1" spans="1:6" ht="50.25" customHeight="1" x14ac:dyDescent="0.3">
      <c r="B1" s="298" t="s">
        <v>103</v>
      </c>
      <c r="C1" s="298"/>
      <c r="D1" s="298"/>
      <c r="E1" s="298"/>
      <c r="F1" s="298"/>
    </row>
    <row r="2" spans="1:6" ht="15.75" customHeight="1" x14ac:dyDescent="0.3">
      <c r="C2" s="308" t="s">
        <v>1</v>
      </c>
      <c r="D2" s="306" t="s">
        <v>2</v>
      </c>
      <c r="E2" s="306"/>
      <c r="F2" s="308" t="s">
        <v>5</v>
      </c>
    </row>
    <row r="3" spans="1:6" ht="39" customHeight="1" x14ac:dyDescent="0.3">
      <c r="A3" s="4"/>
      <c r="C3" s="301"/>
      <c r="D3" s="31" t="s">
        <v>3</v>
      </c>
      <c r="E3" s="31" t="s">
        <v>4</v>
      </c>
      <c r="F3" s="301"/>
    </row>
    <row r="4" spans="1:6" ht="28.5" customHeight="1" x14ac:dyDescent="0.3">
      <c r="A4" s="4"/>
      <c r="B4" s="11" t="s">
        <v>6</v>
      </c>
      <c r="C4" s="49">
        <v>1036</v>
      </c>
      <c r="D4" s="49">
        <v>224</v>
      </c>
      <c r="E4" s="49">
        <v>11</v>
      </c>
      <c r="F4" s="49">
        <v>0</v>
      </c>
    </row>
    <row r="5" spans="1:6" s="41" customFormat="1" ht="26.25" customHeight="1" x14ac:dyDescent="0.3">
      <c r="A5" s="12"/>
      <c r="B5" s="11" t="s">
        <v>7</v>
      </c>
      <c r="C5" s="34">
        <v>610</v>
      </c>
      <c r="D5" s="34">
        <v>115</v>
      </c>
      <c r="E5" s="34">
        <v>5</v>
      </c>
      <c r="F5" s="34">
        <v>0</v>
      </c>
    </row>
    <row r="6" spans="1:6" x14ac:dyDescent="0.3">
      <c r="A6" s="12">
        <v>51</v>
      </c>
      <c r="B6" s="55" t="s">
        <v>8</v>
      </c>
      <c r="C6" s="36">
        <v>39</v>
      </c>
      <c r="D6" s="36">
        <v>7</v>
      </c>
      <c r="E6" s="36">
        <v>0</v>
      </c>
      <c r="F6" s="36">
        <v>0</v>
      </c>
    </row>
    <row r="7" spans="1:6" x14ac:dyDescent="0.3">
      <c r="A7" s="12">
        <v>52</v>
      </c>
      <c r="B7" s="55" t="s">
        <v>9</v>
      </c>
      <c r="C7" s="36">
        <v>18</v>
      </c>
      <c r="D7" s="36">
        <v>2</v>
      </c>
      <c r="E7" s="36">
        <v>1</v>
      </c>
      <c r="F7" s="36">
        <v>0</v>
      </c>
    </row>
    <row r="8" spans="1:6" x14ac:dyDescent="0.3">
      <c r="A8" s="12">
        <v>86</v>
      </c>
      <c r="B8" s="55" t="s">
        <v>10</v>
      </c>
      <c r="C8" s="36">
        <v>23</v>
      </c>
      <c r="D8" s="36">
        <v>7</v>
      </c>
      <c r="E8" s="36">
        <v>0</v>
      </c>
      <c r="F8" s="36">
        <v>0</v>
      </c>
    </row>
    <row r="9" spans="1:6" x14ac:dyDescent="0.3">
      <c r="A9" s="12">
        <v>53</v>
      </c>
      <c r="B9" s="55" t="s">
        <v>11</v>
      </c>
      <c r="C9" s="36">
        <v>5</v>
      </c>
      <c r="D9" s="36">
        <v>1</v>
      </c>
      <c r="E9" s="36">
        <v>0</v>
      </c>
      <c r="F9" s="36">
        <v>0</v>
      </c>
    </row>
    <row r="10" spans="1:6" x14ac:dyDescent="0.3">
      <c r="A10" s="12">
        <v>54</v>
      </c>
      <c r="B10" s="55" t="s">
        <v>12</v>
      </c>
      <c r="C10" s="36">
        <v>23</v>
      </c>
      <c r="D10" s="36">
        <v>3</v>
      </c>
      <c r="E10" s="36">
        <v>0</v>
      </c>
      <c r="F10" s="36">
        <v>0</v>
      </c>
    </row>
    <row r="11" spans="1:6" x14ac:dyDescent="0.3">
      <c r="A11" s="12">
        <v>55</v>
      </c>
      <c r="B11" s="55" t="s">
        <v>13</v>
      </c>
      <c r="C11" s="36">
        <v>11</v>
      </c>
      <c r="D11" s="36">
        <v>4</v>
      </c>
      <c r="E11" s="36">
        <v>1</v>
      </c>
      <c r="F11" s="36">
        <v>0</v>
      </c>
    </row>
    <row r="12" spans="1:6" x14ac:dyDescent="0.3">
      <c r="A12" s="12">
        <v>56</v>
      </c>
      <c r="B12" s="55" t="s">
        <v>14</v>
      </c>
      <c r="C12" s="36">
        <v>4</v>
      </c>
      <c r="D12" s="36">
        <v>0</v>
      </c>
      <c r="E12" s="36">
        <v>0</v>
      </c>
      <c r="F12" s="36">
        <v>0</v>
      </c>
    </row>
    <row r="13" spans="1:6" x14ac:dyDescent="0.3">
      <c r="A13" s="12">
        <v>57</v>
      </c>
      <c r="B13" s="55" t="s">
        <v>15</v>
      </c>
      <c r="C13" s="36">
        <v>4</v>
      </c>
      <c r="D13" s="36">
        <v>0</v>
      </c>
      <c r="E13" s="36">
        <v>0</v>
      </c>
      <c r="F13" s="36">
        <v>0</v>
      </c>
    </row>
    <row r="14" spans="1:6" x14ac:dyDescent="0.3">
      <c r="A14" s="12">
        <v>59</v>
      </c>
      <c r="B14" s="55" t="s">
        <v>16</v>
      </c>
      <c r="C14" s="36">
        <v>5</v>
      </c>
      <c r="D14" s="36">
        <v>3</v>
      </c>
      <c r="E14" s="36">
        <v>0</v>
      </c>
      <c r="F14" s="36">
        <v>0</v>
      </c>
    </row>
    <row r="15" spans="1:6" x14ac:dyDescent="0.3">
      <c r="A15" s="12">
        <v>60</v>
      </c>
      <c r="B15" s="55" t="s">
        <v>17</v>
      </c>
      <c r="C15" s="36">
        <v>10</v>
      </c>
      <c r="D15" s="36">
        <v>3</v>
      </c>
      <c r="E15" s="36">
        <v>0</v>
      </c>
      <c r="F15" s="36">
        <v>0</v>
      </c>
    </row>
    <row r="16" spans="1:6" x14ac:dyDescent="0.3">
      <c r="A16" s="12">
        <v>61</v>
      </c>
      <c r="B16" s="38" t="s">
        <v>18</v>
      </c>
      <c r="C16" s="36">
        <v>28</v>
      </c>
      <c r="D16" s="36">
        <v>5</v>
      </c>
      <c r="E16" s="36">
        <v>1</v>
      </c>
      <c r="F16" s="36">
        <v>0</v>
      </c>
    </row>
    <row r="17" spans="1:6" s="183" customFormat="1" x14ac:dyDescent="0.3">
      <c r="A17" s="12"/>
      <c r="B17" s="130" t="s">
        <v>122</v>
      </c>
      <c r="C17" s="163">
        <v>40</v>
      </c>
      <c r="D17" s="163">
        <v>5</v>
      </c>
      <c r="E17" s="163">
        <v>0</v>
      </c>
      <c r="F17" s="163">
        <v>0</v>
      </c>
    </row>
    <row r="18" spans="1:6" x14ac:dyDescent="0.3">
      <c r="A18" s="12">
        <v>58</v>
      </c>
      <c r="B18" s="55" t="s">
        <v>20</v>
      </c>
      <c r="C18" s="36">
        <v>4</v>
      </c>
      <c r="D18" s="36">
        <v>0</v>
      </c>
      <c r="E18" s="36">
        <v>0</v>
      </c>
      <c r="F18" s="36">
        <v>0</v>
      </c>
    </row>
    <row r="19" spans="1:6" x14ac:dyDescent="0.3">
      <c r="A19" s="12">
        <v>63</v>
      </c>
      <c r="B19" s="55" t="s">
        <v>21</v>
      </c>
      <c r="C19" s="36">
        <v>28</v>
      </c>
      <c r="D19" s="36">
        <v>3</v>
      </c>
      <c r="E19" s="36">
        <v>0</v>
      </c>
      <c r="F19" s="36">
        <v>0</v>
      </c>
    </row>
    <row r="20" spans="1:6" x14ac:dyDescent="0.3">
      <c r="A20" s="12">
        <v>64</v>
      </c>
      <c r="B20" s="55" t="s">
        <v>22</v>
      </c>
      <c r="C20" s="36">
        <v>46</v>
      </c>
      <c r="D20" s="36">
        <v>5</v>
      </c>
      <c r="E20" s="36">
        <v>0</v>
      </c>
      <c r="F20" s="36">
        <v>0</v>
      </c>
    </row>
    <row r="21" spans="1:6" x14ac:dyDescent="0.3">
      <c r="A21" s="12">
        <v>65</v>
      </c>
      <c r="B21" s="55" t="s">
        <v>23</v>
      </c>
      <c r="C21" s="36">
        <v>17</v>
      </c>
      <c r="D21" s="36">
        <v>3</v>
      </c>
      <c r="E21" s="36">
        <v>0</v>
      </c>
      <c r="F21" s="36">
        <v>0</v>
      </c>
    </row>
    <row r="22" spans="1:6" x14ac:dyDescent="0.3">
      <c r="A22" s="12">
        <v>67</v>
      </c>
      <c r="B22" s="55" t="s">
        <v>24</v>
      </c>
      <c r="C22" s="36">
        <v>8</v>
      </c>
      <c r="D22" s="36">
        <v>3</v>
      </c>
      <c r="E22" s="36">
        <v>0</v>
      </c>
      <c r="F22" s="36">
        <v>0</v>
      </c>
    </row>
    <row r="23" spans="1:6" x14ac:dyDescent="0.3">
      <c r="A23" s="12">
        <v>68</v>
      </c>
      <c r="B23" s="55" t="s">
        <v>25</v>
      </c>
      <c r="C23" s="36">
        <v>34</v>
      </c>
      <c r="D23" s="36">
        <v>7</v>
      </c>
      <c r="E23" s="36">
        <v>0</v>
      </c>
      <c r="F23" s="36">
        <v>0</v>
      </c>
    </row>
    <row r="24" spans="1:6" x14ac:dyDescent="0.3">
      <c r="A24" s="12">
        <v>69</v>
      </c>
      <c r="B24" s="55" t="s">
        <v>26</v>
      </c>
      <c r="C24" s="36">
        <v>17</v>
      </c>
      <c r="D24" s="36">
        <v>5</v>
      </c>
      <c r="E24" s="36">
        <v>0</v>
      </c>
      <c r="F24" s="36">
        <v>0</v>
      </c>
    </row>
    <row r="25" spans="1:6" x14ac:dyDescent="0.3">
      <c r="A25" s="12">
        <v>70</v>
      </c>
      <c r="B25" s="55" t="s">
        <v>27</v>
      </c>
      <c r="C25" s="36">
        <v>8</v>
      </c>
      <c r="D25" s="36">
        <v>2</v>
      </c>
      <c r="E25" s="36">
        <v>0</v>
      </c>
      <c r="F25" s="36">
        <v>0</v>
      </c>
    </row>
    <row r="26" spans="1:6" x14ac:dyDescent="0.3">
      <c r="A26" s="12">
        <v>71</v>
      </c>
      <c r="B26" s="39" t="s">
        <v>28</v>
      </c>
      <c r="C26" s="36">
        <v>5</v>
      </c>
      <c r="D26" s="36">
        <v>1</v>
      </c>
      <c r="E26" s="36">
        <v>0</v>
      </c>
      <c r="F26" s="36">
        <v>0</v>
      </c>
    </row>
    <row r="27" spans="1:6" x14ac:dyDescent="0.3">
      <c r="A27" s="12">
        <v>73</v>
      </c>
      <c r="B27" s="55" t="s">
        <v>29</v>
      </c>
      <c r="C27" s="40">
        <v>21</v>
      </c>
      <c r="D27" s="40">
        <v>3</v>
      </c>
      <c r="E27" s="40">
        <v>1</v>
      </c>
      <c r="F27" s="40">
        <v>0</v>
      </c>
    </row>
    <row r="28" spans="1:6" x14ac:dyDescent="0.3">
      <c r="A28" s="12">
        <v>74</v>
      </c>
      <c r="B28" s="55" t="s">
        <v>30</v>
      </c>
      <c r="C28" s="36">
        <v>14</v>
      </c>
      <c r="D28" s="36">
        <v>4</v>
      </c>
      <c r="E28" s="36">
        <v>0</v>
      </c>
      <c r="F28" s="36">
        <v>0</v>
      </c>
    </row>
    <row r="29" spans="1:6" x14ac:dyDescent="0.3">
      <c r="A29" s="12">
        <v>75</v>
      </c>
      <c r="B29" s="55" t="s">
        <v>31</v>
      </c>
      <c r="C29" s="36">
        <v>19</v>
      </c>
      <c r="D29" s="36">
        <v>2</v>
      </c>
      <c r="E29" s="36">
        <v>0</v>
      </c>
      <c r="F29" s="36">
        <v>0</v>
      </c>
    </row>
    <row r="30" spans="1:6" x14ac:dyDescent="0.3">
      <c r="A30" s="12">
        <v>76</v>
      </c>
      <c r="B30" s="55" t="s">
        <v>32</v>
      </c>
      <c r="C30" s="36">
        <v>1</v>
      </c>
      <c r="D30" s="36">
        <v>0</v>
      </c>
      <c r="E30" s="36">
        <v>0</v>
      </c>
      <c r="F30" s="36">
        <v>0</v>
      </c>
    </row>
    <row r="31" spans="1:6" x14ac:dyDescent="0.3">
      <c r="A31" s="12">
        <v>79</v>
      </c>
      <c r="B31" s="55" t="s">
        <v>33</v>
      </c>
      <c r="C31" s="36">
        <v>13</v>
      </c>
      <c r="D31" s="36">
        <v>7</v>
      </c>
      <c r="E31" s="36">
        <v>0</v>
      </c>
      <c r="F31" s="36">
        <v>0</v>
      </c>
    </row>
    <row r="32" spans="1:6" x14ac:dyDescent="0.3">
      <c r="A32" s="12">
        <v>80</v>
      </c>
      <c r="B32" s="55" t="s">
        <v>34</v>
      </c>
      <c r="C32" s="36">
        <v>11</v>
      </c>
      <c r="D32" s="36">
        <v>1</v>
      </c>
      <c r="E32" s="36">
        <v>0</v>
      </c>
      <c r="F32" s="36">
        <v>0</v>
      </c>
    </row>
    <row r="33" spans="1:6" x14ac:dyDescent="0.3">
      <c r="A33" s="12">
        <v>81</v>
      </c>
      <c r="B33" s="55" t="s">
        <v>35</v>
      </c>
      <c r="C33" s="36">
        <v>17</v>
      </c>
      <c r="D33" s="36">
        <v>4</v>
      </c>
      <c r="E33" s="36">
        <v>0</v>
      </c>
      <c r="F33" s="36">
        <v>0</v>
      </c>
    </row>
    <row r="34" spans="1:6" x14ac:dyDescent="0.3">
      <c r="A34" s="12">
        <v>83</v>
      </c>
      <c r="B34" s="55" t="s">
        <v>36</v>
      </c>
      <c r="C34" s="36">
        <v>13</v>
      </c>
      <c r="D34" s="36">
        <v>0</v>
      </c>
      <c r="E34" s="36">
        <v>0</v>
      </c>
      <c r="F34" s="36">
        <v>0</v>
      </c>
    </row>
    <row r="35" spans="1:6" x14ac:dyDescent="0.3">
      <c r="A35" s="12">
        <v>84</v>
      </c>
      <c r="B35" s="55" t="s">
        <v>37</v>
      </c>
      <c r="C35" s="36">
        <v>19</v>
      </c>
      <c r="D35" s="36">
        <v>3</v>
      </c>
      <c r="E35" s="36">
        <v>0</v>
      </c>
      <c r="F35" s="36">
        <v>0</v>
      </c>
    </row>
    <row r="36" spans="1:6" x14ac:dyDescent="0.3">
      <c r="A36" s="12">
        <v>85</v>
      </c>
      <c r="B36" s="55" t="s">
        <v>38</v>
      </c>
      <c r="C36" s="36">
        <v>22</v>
      </c>
      <c r="D36" s="36">
        <v>4</v>
      </c>
      <c r="E36" s="36">
        <v>0</v>
      </c>
      <c r="F36" s="36">
        <v>0</v>
      </c>
    </row>
    <row r="37" spans="1:6" x14ac:dyDescent="0.3">
      <c r="A37" s="12">
        <v>87</v>
      </c>
      <c r="B37" s="55" t="s">
        <v>39</v>
      </c>
      <c r="C37" s="36">
        <v>13</v>
      </c>
      <c r="D37" s="36">
        <v>3</v>
      </c>
      <c r="E37" s="36">
        <v>0</v>
      </c>
      <c r="F37" s="36">
        <v>0</v>
      </c>
    </row>
    <row r="38" spans="1:6" x14ac:dyDescent="0.3">
      <c r="A38" s="12">
        <v>90</v>
      </c>
      <c r="B38" s="55" t="s">
        <v>40</v>
      </c>
      <c r="C38" s="36">
        <v>24</v>
      </c>
      <c r="D38" s="36">
        <v>3</v>
      </c>
      <c r="E38" s="36">
        <v>0</v>
      </c>
      <c r="F38" s="36">
        <v>0</v>
      </c>
    </row>
    <row r="39" spans="1:6" x14ac:dyDescent="0.3">
      <c r="A39" s="12">
        <v>91</v>
      </c>
      <c r="B39" s="55" t="s">
        <v>41</v>
      </c>
      <c r="C39" s="36">
        <v>11</v>
      </c>
      <c r="D39" s="36">
        <v>3</v>
      </c>
      <c r="E39" s="36">
        <v>0</v>
      </c>
      <c r="F39" s="36">
        <v>0</v>
      </c>
    </row>
    <row r="40" spans="1:6" x14ac:dyDescent="0.3">
      <c r="A40" s="12">
        <v>92</v>
      </c>
      <c r="B40" s="55" t="s">
        <v>42</v>
      </c>
      <c r="C40" s="36">
        <v>18</v>
      </c>
      <c r="D40" s="36">
        <v>5</v>
      </c>
      <c r="E40" s="36">
        <v>0</v>
      </c>
      <c r="F40" s="36">
        <v>0</v>
      </c>
    </row>
    <row r="41" spans="1:6" x14ac:dyDescent="0.3">
      <c r="A41" s="12">
        <v>94</v>
      </c>
      <c r="B41" s="55" t="s">
        <v>43</v>
      </c>
      <c r="C41" s="36">
        <v>7</v>
      </c>
      <c r="D41" s="36">
        <v>2</v>
      </c>
      <c r="E41" s="36">
        <v>0</v>
      </c>
      <c r="F41" s="36">
        <v>0</v>
      </c>
    </row>
    <row r="42" spans="1:6" x14ac:dyDescent="0.3">
      <c r="A42" s="12">
        <v>96</v>
      </c>
      <c r="B42" s="55" t="s">
        <v>44</v>
      </c>
      <c r="C42" s="36">
        <v>10</v>
      </c>
      <c r="D42" s="36">
        <v>2</v>
      </c>
      <c r="E42" s="36">
        <v>1</v>
      </c>
      <c r="F42" s="36">
        <v>0</v>
      </c>
    </row>
    <row r="43" spans="1:6" x14ac:dyDescent="0.3">
      <c r="A43" s="12">
        <v>72</v>
      </c>
      <c r="B43" s="39" t="s">
        <v>46</v>
      </c>
      <c r="C43" s="36">
        <v>0</v>
      </c>
      <c r="D43" s="36">
        <v>0</v>
      </c>
      <c r="E43" s="36">
        <v>0</v>
      </c>
      <c r="F43" s="36">
        <v>0</v>
      </c>
    </row>
    <row r="44" spans="1:6" s="41" customFormat="1" ht="26.25" customHeight="1" x14ac:dyDescent="0.3">
      <c r="A44" s="1"/>
      <c r="B44" s="11" t="s">
        <v>47</v>
      </c>
      <c r="C44" s="34">
        <v>426</v>
      </c>
      <c r="D44" s="34">
        <v>109</v>
      </c>
      <c r="E44" s="34">
        <v>6</v>
      </c>
      <c r="F44" s="34">
        <v>0</v>
      </c>
    </row>
    <row r="45" spans="1:6" x14ac:dyDescent="0.3">
      <c r="A45" s="12">
        <v>66</v>
      </c>
      <c r="B45" s="55" t="s">
        <v>48</v>
      </c>
      <c r="C45" s="36">
        <v>61</v>
      </c>
      <c r="D45" s="36">
        <v>12</v>
      </c>
      <c r="E45" s="36">
        <v>1</v>
      </c>
      <c r="F45" s="36">
        <v>0</v>
      </c>
    </row>
    <row r="46" spans="1:6" x14ac:dyDescent="0.3">
      <c r="A46" s="12">
        <v>78</v>
      </c>
      <c r="B46" s="55" t="s">
        <v>49</v>
      </c>
      <c r="C46" s="37">
        <v>14</v>
      </c>
      <c r="D46" s="37">
        <v>3</v>
      </c>
      <c r="E46" s="37">
        <v>0</v>
      </c>
      <c r="F46" s="37">
        <v>0</v>
      </c>
    </row>
    <row r="47" spans="1:6" x14ac:dyDescent="0.3">
      <c r="A47" s="12">
        <v>89</v>
      </c>
      <c r="B47" s="55" t="s">
        <v>50</v>
      </c>
      <c r="C47" s="37">
        <v>34</v>
      </c>
      <c r="D47" s="37">
        <v>7</v>
      </c>
      <c r="E47" s="37">
        <v>0</v>
      </c>
      <c r="F47" s="37">
        <v>0</v>
      </c>
    </row>
    <row r="48" spans="1:6" x14ac:dyDescent="0.3">
      <c r="A48" s="12">
        <v>93</v>
      </c>
      <c r="B48" s="55" t="s">
        <v>51</v>
      </c>
      <c r="C48" s="37">
        <v>13</v>
      </c>
      <c r="D48" s="37">
        <v>2</v>
      </c>
      <c r="E48" s="37">
        <v>3</v>
      </c>
      <c r="F48" s="37">
        <v>0</v>
      </c>
    </row>
    <row r="49" spans="1:6" x14ac:dyDescent="0.3">
      <c r="A49" s="12">
        <v>95</v>
      </c>
      <c r="B49" s="55" t="s">
        <v>52</v>
      </c>
      <c r="C49" s="37">
        <v>37</v>
      </c>
      <c r="D49" s="37">
        <v>4</v>
      </c>
      <c r="E49" s="37">
        <v>0</v>
      </c>
      <c r="F49" s="37">
        <v>0</v>
      </c>
    </row>
    <row r="50" spans="1:6" x14ac:dyDescent="0.3">
      <c r="A50" s="12">
        <v>97</v>
      </c>
      <c r="B50" s="55" t="s">
        <v>53</v>
      </c>
      <c r="C50" s="37">
        <v>57</v>
      </c>
      <c r="D50" s="37">
        <v>10</v>
      </c>
      <c r="E50" s="37">
        <v>0</v>
      </c>
      <c r="F50" s="37">
        <v>0</v>
      </c>
    </row>
    <row r="51" spans="1:6" x14ac:dyDescent="0.3">
      <c r="A51" s="12">
        <v>77</v>
      </c>
      <c r="B51" s="58" t="s">
        <v>54</v>
      </c>
      <c r="C51" s="45">
        <v>210</v>
      </c>
      <c r="D51" s="45">
        <v>71</v>
      </c>
      <c r="E51" s="45">
        <v>2</v>
      </c>
      <c r="F51" s="45">
        <v>0</v>
      </c>
    </row>
    <row r="52" spans="1:6" x14ac:dyDescent="0.3">
      <c r="C52" s="25"/>
      <c r="D52" s="25"/>
      <c r="E52" s="25"/>
      <c r="F52" s="25"/>
    </row>
    <row r="53" spans="1:6" x14ac:dyDescent="0.3">
      <c r="B53" s="12" t="s">
        <v>55</v>
      </c>
    </row>
    <row r="54" spans="1:6" ht="23.25" customHeight="1" x14ac:dyDescent="0.3">
      <c r="B54" s="291" t="s">
        <v>65</v>
      </c>
      <c r="C54" s="292"/>
      <c r="D54" s="292"/>
      <c r="E54" s="292"/>
      <c r="F54" s="292"/>
    </row>
    <row r="55" spans="1:6" ht="15" customHeight="1" x14ac:dyDescent="0.3">
      <c r="B55" s="292"/>
      <c r="C55" s="292"/>
      <c r="D55" s="292"/>
      <c r="E55" s="292"/>
      <c r="F55" s="292"/>
    </row>
    <row r="56" spans="1:6" ht="13.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5.75" customHeight="1" x14ac:dyDescent="0.3">
      <c r="B58" s="292"/>
      <c r="C58" s="292"/>
      <c r="D58" s="292"/>
      <c r="E58" s="292"/>
      <c r="F58" s="292"/>
    </row>
    <row r="59" spans="1:6" ht="39" customHeight="1" x14ac:dyDescent="0.3">
      <c r="B59" s="292"/>
      <c r="C59" s="292"/>
      <c r="D59" s="292"/>
      <c r="E59" s="292"/>
      <c r="F59" s="292"/>
    </row>
    <row r="60" spans="1:6" ht="15" customHeight="1" x14ac:dyDescent="0.3">
      <c r="B60" s="57"/>
      <c r="C60" s="57"/>
      <c r="D60" s="57"/>
      <c r="E60" s="57"/>
      <c r="F60" s="57"/>
    </row>
    <row r="61" spans="1:6" x14ac:dyDescent="0.3">
      <c r="B61" s="24" t="s">
        <v>57</v>
      </c>
    </row>
    <row r="63" spans="1:6" x14ac:dyDescent="0.3">
      <c r="B63" s="27"/>
    </row>
  </sheetData>
  <mergeCells count="5">
    <mergeCell ref="B1:F1"/>
    <mergeCell ref="C2:C3"/>
    <mergeCell ref="D2:E2"/>
    <mergeCell ref="F2:F3"/>
    <mergeCell ref="B54:F5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22"/>
  </sheetPr>
  <dimension ref="A1:I66"/>
  <sheetViews>
    <sheetView showGridLines="0" zoomScale="85" workbookViewId="0">
      <pane xSplit="2" ySplit="3" topLeftCell="C4" activePane="bottomRight" state="frozen"/>
      <selection activeCell="A4" sqref="A2:J4"/>
      <selection pane="topRight" activeCell="A4" sqref="A2:J4"/>
      <selection pane="bottomLeft" activeCell="A4" sqref="A2:J4"/>
      <selection pane="bottomRight" activeCell="A4" sqref="A2:J4"/>
    </sheetView>
  </sheetViews>
  <sheetFormatPr defaultRowHeight="12.5" x14ac:dyDescent="0.3"/>
  <cols>
    <col min="1" max="1" width="5.7265625" style="1" hidden="1" customWidth="1"/>
    <col min="2" max="2" width="28.7265625" style="122" customWidth="1"/>
    <col min="3" max="4" width="20" style="122" customWidth="1"/>
    <col min="5" max="5" width="15.26953125" style="122" customWidth="1"/>
    <col min="6" max="6" width="17.7265625" style="122" customWidth="1"/>
    <col min="7" max="255" width="9.26953125" style="122"/>
    <col min="256" max="256" width="0" style="122" hidden="1" customWidth="1"/>
    <col min="257" max="257" width="2.54296875" style="122" customWidth="1"/>
    <col min="258" max="258" width="28.7265625" style="122" customWidth="1"/>
    <col min="259" max="260" width="20" style="122" customWidth="1"/>
    <col min="261" max="261" width="15.26953125" style="122" customWidth="1"/>
    <col min="262" max="262" width="17.7265625" style="122" customWidth="1"/>
    <col min="263" max="511" width="9.26953125" style="122"/>
    <col min="512" max="512" width="0" style="122" hidden="1" customWidth="1"/>
    <col min="513" max="513" width="2.54296875" style="122" customWidth="1"/>
    <col min="514" max="514" width="28.7265625" style="122" customWidth="1"/>
    <col min="515" max="516" width="20" style="122" customWidth="1"/>
    <col min="517" max="517" width="15.26953125" style="122" customWidth="1"/>
    <col min="518" max="518" width="17.7265625" style="122" customWidth="1"/>
    <col min="519" max="767" width="9.26953125" style="122"/>
    <col min="768" max="768" width="0" style="122" hidden="1" customWidth="1"/>
    <col min="769" max="769" width="2.54296875" style="122" customWidth="1"/>
    <col min="770" max="770" width="28.7265625" style="122" customWidth="1"/>
    <col min="771" max="772" width="20" style="122" customWidth="1"/>
    <col min="773" max="773" width="15.26953125" style="122" customWidth="1"/>
    <col min="774" max="774" width="17.7265625" style="122" customWidth="1"/>
    <col min="775" max="1023" width="9.26953125" style="122"/>
    <col min="1024" max="1024" width="0" style="122" hidden="1" customWidth="1"/>
    <col min="1025" max="1025" width="2.54296875" style="122" customWidth="1"/>
    <col min="1026" max="1026" width="28.7265625" style="122" customWidth="1"/>
    <col min="1027" max="1028" width="20" style="122" customWidth="1"/>
    <col min="1029" max="1029" width="15.26953125" style="122" customWidth="1"/>
    <col min="1030" max="1030" width="17.7265625" style="122" customWidth="1"/>
    <col min="1031" max="1279" width="9.26953125" style="122"/>
    <col min="1280" max="1280" width="0" style="122" hidden="1" customWidth="1"/>
    <col min="1281" max="1281" width="2.54296875" style="122" customWidth="1"/>
    <col min="1282" max="1282" width="28.7265625" style="122" customWidth="1"/>
    <col min="1283" max="1284" width="20" style="122" customWidth="1"/>
    <col min="1285" max="1285" width="15.26953125" style="122" customWidth="1"/>
    <col min="1286" max="1286" width="17.7265625" style="122" customWidth="1"/>
    <col min="1287" max="1535" width="9.26953125" style="122"/>
    <col min="1536" max="1536" width="0" style="122" hidden="1" customWidth="1"/>
    <col min="1537" max="1537" width="2.54296875" style="122" customWidth="1"/>
    <col min="1538" max="1538" width="28.7265625" style="122" customWidth="1"/>
    <col min="1539" max="1540" width="20" style="122" customWidth="1"/>
    <col min="1541" max="1541" width="15.26953125" style="122" customWidth="1"/>
    <col min="1542" max="1542" width="17.7265625" style="122" customWidth="1"/>
    <col min="1543" max="1791" width="9.26953125" style="122"/>
    <col min="1792" max="1792" width="0" style="122" hidden="1" customWidth="1"/>
    <col min="1793" max="1793" width="2.54296875" style="122" customWidth="1"/>
    <col min="1794" max="1794" width="28.7265625" style="122" customWidth="1"/>
    <col min="1795" max="1796" width="20" style="122" customWidth="1"/>
    <col min="1797" max="1797" width="15.26953125" style="122" customWidth="1"/>
    <col min="1798" max="1798" width="17.7265625" style="122" customWidth="1"/>
    <col min="1799" max="2047" width="9.26953125" style="122"/>
    <col min="2048" max="2048" width="0" style="122" hidden="1" customWidth="1"/>
    <col min="2049" max="2049" width="2.54296875" style="122" customWidth="1"/>
    <col min="2050" max="2050" width="28.7265625" style="122" customWidth="1"/>
    <col min="2051" max="2052" width="20" style="122" customWidth="1"/>
    <col min="2053" max="2053" width="15.26953125" style="122" customWidth="1"/>
    <col min="2054" max="2054" width="17.7265625" style="122" customWidth="1"/>
    <col min="2055" max="2303" width="9.26953125" style="122"/>
    <col min="2304" max="2304" width="0" style="122" hidden="1" customWidth="1"/>
    <col min="2305" max="2305" width="2.54296875" style="122" customWidth="1"/>
    <col min="2306" max="2306" width="28.7265625" style="122" customWidth="1"/>
    <col min="2307" max="2308" width="20" style="122" customWidth="1"/>
    <col min="2309" max="2309" width="15.26953125" style="122" customWidth="1"/>
    <col min="2310" max="2310" width="17.7265625" style="122" customWidth="1"/>
    <col min="2311" max="2559" width="9.26953125" style="122"/>
    <col min="2560" max="2560" width="0" style="122" hidden="1" customWidth="1"/>
    <col min="2561" max="2561" width="2.54296875" style="122" customWidth="1"/>
    <col min="2562" max="2562" width="28.7265625" style="122" customWidth="1"/>
    <col min="2563" max="2564" width="20" style="122" customWidth="1"/>
    <col min="2565" max="2565" width="15.26953125" style="122" customWidth="1"/>
    <col min="2566" max="2566" width="17.7265625" style="122" customWidth="1"/>
    <col min="2567" max="2815" width="9.26953125" style="122"/>
    <col min="2816" max="2816" width="0" style="122" hidden="1" customWidth="1"/>
    <col min="2817" max="2817" width="2.54296875" style="122" customWidth="1"/>
    <col min="2818" max="2818" width="28.7265625" style="122" customWidth="1"/>
    <col min="2819" max="2820" width="20" style="122" customWidth="1"/>
    <col min="2821" max="2821" width="15.26953125" style="122" customWidth="1"/>
    <col min="2822" max="2822" width="17.7265625" style="122" customWidth="1"/>
    <col min="2823" max="3071" width="9.26953125" style="122"/>
    <col min="3072" max="3072" width="0" style="122" hidden="1" customWidth="1"/>
    <col min="3073" max="3073" width="2.54296875" style="122" customWidth="1"/>
    <col min="3074" max="3074" width="28.7265625" style="122" customWidth="1"/>
    <col min="3075" max="3076" width="20" style="122" customWidth="1"/>
    <col min="3077" max="3077" width="15.26953125" style="122" customWidth="1"/>
    <col min="3078" max="3078" width="17.7265625" style="122" customWidth="1"/>
    <col min="3079" max="3327" width="9.26953125" style="122"/>
    <col min="3328" max="3328" width="0" style="122" hidden="1" customWidth="1"/>
    <col min="3329" max="3329" width="2.54296875" style="122" customWidth="1"/>
    <col min="3330" max="3330" width="28.7265625" style="122" customWidth="1"/>
    <col min="3331" max="3332" width="20" style="122" customWidth="1"/>
    <col min="3333" max="3333" width="15.26953125" style="122" customWidth="1"/>
    <col min="3334" max="3334" width="17.7265625" style="122" customWidth="1"/>
    <col min="3335" max="3583" width="9.26953125" style="122"/>
    <col min="3584" max="3584" width="0" style="122" hidden="1" customWidth="1"/>
    <col min="3585" max="3585" width="2.54296875" style="122" customWidth="1"/>
    <col min="3586" max="3586" width="28.7265625" style="122" customWidth="1"/>
    <col min="3587" max="3588" width="20" style="122" customWidth="1"/>
    <col min="3589" max="3589" width="15.26953125" style="122" customWidth="1"/>
    <col min="3590" max="3590" width="17.7265625" style="122" customWidth="1"/>
    <col min="3591" max="3839" width="9.26953125" style="122"/>
    <col min="3840" max="3840" width="0" style="122" hidden="1" customWidth="1"/>
    <col min="3841" max="3841" width="2.54296875" style="122" customWidth="1"/>
    <col min="3842" max="3842" width="28.7265625" style="122" customWidth="1"/>
    <col min="3843" max="3844" width="20" style="122" customWidth="1"/>
    <col min="3845" max="3845" width="15.26953125" style="122" customWidth="1"/>
    <col min="3846" max="3846" width="17.7265625" style="122" customWidth="1"/>
    <col min="3847" max="4095" width="9.26953125" style="122"/>
    <col min="4096" max="4096" width="0" style="122" hidden="1" customWidth="1"/>
    <col min="4097" max="4097" width="2.54296875" style="122" customWidth="1"/>
    <col min="4098" max="4098" width="28.7265625" style="122" customWidth="1"/>
    <col min="4099" max="4100" width="20" style="122" customWidth="1"/>
    <col min="4101" max="4101" width="15.26953125" style="122" customWidth="1"/>
    <col min="4102" max="4102" width="17.7265625" style="122" customWidth="1"/>
    <col min="4103" max="4351" width="9.26953125" style="122"/>
    <col min="4352" max="4352" width="0" style="122" hidden="1" customWidth="1"/>
    <col min="4353" max="4353" width="2.54296875" style="122" customWidth="1"/>
    <col min="4354" max="4354" width="28.7265625" style="122" customWidth="1"/>
    <col min="4355" max="4356" width="20" style="122" customWidth="1"/>
    <col min="4357" max="4357" width="15.26953125" style="122" customWidth="1"/>
    <col min="4358" max="4358" width="17.7265625" style="122" customWidth="1"/>
    <col min="4359" max="4607" width="9.26953125" style="122"/>
    <col min="4608" max="4608" width="0" style="122" hidden="1" customWidth="1"/>
    <col min="4609" max="4609" width="2.54296875" style="122" customWidth="1"/>
    <col min="4610" max="4610" width="28.7265625" style="122" customWidth="1"/>
    <col min="4611" max="4612" width="20" style="122" customWidth="1"/>
    <col min="4613" max="4613" width="15.26953125" style="122" customWidth="1"/>
    <col min="4614" max="4614" width="17.7265625" style="122" customWidth="1"/>
    <col min="4615" max="4863" width="9.26953125" style="122"/>
    <col min="4864" max="4864" width="0" style="122" hidden="1" customWidth="1"/>
    <col min="4865" max="4865" width="2.54296875" style="122" customWidth="1"/>
    <col min="4866" max="4866" width="28.7265625" style="122" customWidth="1"/>
    <col min="4867" max="4868" width="20" style="122" customWidth="1"/>
    <col min="4869" max="4869" width="15.26953125" style="122" customWidth="1"/>
    <col min="4870" max="4870" width="17.7265625" style="122" customWidth="1"/>
    <col min="4871" max="5119" width="9.26953125" style="122"/>
    <col min="5120" max="5120" width="0" style="122" hidden="1" customWidth="1"/>
    <col min="5121" max="5121" width="2.54296875" style="122" customWidth="1"/>
    <col min="5122" max="5122" width="28.7265625" style="122" customWidth="1"/>
    <col min="5123" max="5124" width="20" style="122" customWidth="1"/>
    <col min="5125" max="5125" width="15.26953125" style="122" customWidth="1"/>
    <col min="5126" max="5126" width="17.7265625" style="122" customWidth="1"/>
    <col min="5127" max="5375" width="9.26953125" style="122"/>
    <col min="5376" max="5376" width="0" style="122" hidden="1" customWidth="1"/>
    <col min="5377" max="5377" width="2.54296875" style="122" customWidth="1"/>
    <col min="5378" max="5378" width="28.7265625" style="122" customWidth="1"/>
    <col min="5379" max="5380" width="20" style="122" customWidth="1"/>
    <col min="5381" max="5381" width="15.26953125" style="122" customWidth="1"/>
    <col min="5382" max="5382" width="17.7265625" style="122" customWidth="1"/>
    <col min="5383" max="5631" width="9.26953125" style="122"/>
    <col min="5632" max="5632" width="0" style="122" hidden="1" customWidth="1"/>
    <col min="5633" max="5633" width="2.54296875" style="122" customWidth="1"/>
    <col min="5634" max="5634" width="28.7265625" style="122" customWidth="1"/>
    <col min="5635" max="5636" width="20" style="122" customWidth="1"/>
    <col min="5637" max="5637" width="15.26953125" style="122" customWidth="1"/>
    <col min="5638" max="5638" width="17.7265625" style="122" customWidth="1"/>
    <col min="5639" max="5887" width="9.26953125" style="122"/>
    <col min="5888" max="5888" width="0" style="122" hidden="1" customWidth="1"/>
    <col min="5889" max="5889" width="2.54296875" style="122" customWidth="1"/>
    <col min="5890" max="5890" width="28.7265625" style="122" customWidth="1"/>
    <col min="5891" max="5892" width="20" style="122" customWidth="1"/>
    <col min="5893" max="5893" width="15.26953125" style="122" customWidth="1"/>
    <col min="5894" max="5894" width="17.7265625" style="122" customWidth="1"/>
    <col min="5895" max="6143" width="9.26953125" style="122"/>
    <col min="6144" max="6144" width="0" style="122" hidden="1" customWidth="1"/>
    <col min="6145" max="6145" width="2.54296875" style="122" customWidth="1"/>
    <col min="6146" max="6146" width="28.7265625" style="122" customWidth="1"/>
    <col min="6147" max="6148" width="20" style="122" customWidth="1"/>
    <col min="6149" max="6149" width="15.26953125" style="122" customWidth="1"/>
    <col min="6150" max="6150" width="17.7265625" style="122" customWidth="1"/>
    <col min="6151" max="6399" width="9.26953125" style="122"/>
    <col min="6400" max="6400" width="0" style="122" hidden="1" customWidth="1"/>
    <col min="6401" max="6401" width="2.54296875" style="122" customWidth="1"/>
    <col min="6402" max="6402" width="28.7265625" style="122" customWidth="1"/>
    <col min="6403" max="6404" width="20" style="122" customWidth="1"/>
    <col min="6405" max="6405" width="15.26953125" style="122" customWidth="1"/>
    <col min="6406" max="6406" width="17.7265625" style="122" customWidth="1"/>
    <col min="6407" max="6655" width="9.26953125" style="122"/>
    <col min="6656" max="6656" width="0" style="122" hidden="1" customWidth="1"/>
    <col min="6657" max="6657" width="2.54296875" style="122" customWidth="1"/>
    <col min="6658" max="6658" width="28.7265625" style="122" customWidth="1"/>
    <col min="6659" max="6660" width="20" style="122" customWidth="1"/>
    <col min="6661" max="6661" width="15.26953125" style="122" customWidth="1"/>
    <col min="6662" max="6662" width="17.7265625" style="122" customWidth="1"/>
    <col min="6663" max="6911" width="9.26953125" style="122"/>
    <col min="6912" max="6912" width="0" style="122" hidden="1" customWidth="1"/>
    <col min="6913" max="6913" width="2.54296875" style="122" customWidth="1"/>
    <col min="6914" max="6914" width="28.7265625" style="122" customWidth="1"/>
    <col min="6915" max="6916" width="20" style="122" customWidth="1"/>
    <col min="6917" max="6917" width="15.26953125" style="122" customWidth="1"/>
    <col min="6918" max="6918" width="17.7265625" style="122" customWidth="1"/>
    <col min="6919" max="7167" width="9.26953125" style="122"/>
    <col min="7168" max="7168" width="0" style="122" hidden="1" customWidth="1"/>
    <col min="7169" max="7169" width="2.54296875" style="122" customWidth="1"/>
    <col min="7170" max="7170" width="28.7265625" style="122" customWidth="1"/>
    <col min="7171" max="7172" width="20" style="122" customWidth="1"/>
    <col min="7173" max="7173" width="15.26953125" style="122" customWidth="1"/>
    <col min="7174" max="7174" width="17.7265625" style="122" customWidth="1"/>
    <col min="7175" max="7423" width="9.26953125" style="122"/>
    <col min="7424" max="7424" width="0" style="122" hidden="1" customWidth="1"/>
    <col min="7425" max="7425" width="2.54296875" style="122" customWidth="1"/>
    <col min="7426" max="7426" width="28.7265625" style="122" customWidth="1"/>
    <col min="7427" max="7428" width="20" style="122" customWidth="1"/>
    <col min="7429" max="7429" width="15.26953125" style="122" customWidth="1"/>
    <col min="7430" max="7430" width="17.7265625" style="122" customWidth="1"/>
    <col min="7431" max="7679" width="9.26953125" style="122"/>
    <col min="7680" max="7680" width="0" style="122" hidden="1" customWidth="1"/>
    <col min="7681" max="7681" width="2.54296875" style="122" customWidth="1"/>
    <col min="7682" max="7682" width="28.7265625" style="122" customWidth="1"/>
    <col min="7683" max="7684" width="20" style="122" customWidth="1"/>
    <col min="7685" max="7685" width="15.26953125" style="122" customWidth="1"/>
    <col min="7686" max="7686" width="17.7265625" style="122" customWidth="1"/>
    <col min="7687" max="7935" width="9.26953125" style="122"/>
    <col min="7936" max="7936" width="0" style="122" hidden="1" customWidth="1"/>
    <col min="7937" max="7937" width="2.54296875" style="122" customWidth="1"/>
    <col min="7938" max="7938" width="28.7265625" style="122" customWidth="1"/>
    <col min="7939" max="7940" width="20" style="122" customWidth="1"/>
    <col min="7941" max="7941" width="15.26953125" style="122" customWidth="1"/>
    <col min="7942" max="7942" width="17.7265625" style="122" customWidth="1"/>
    <col min="7943" max="8191" width="9.26953125" style="122"/>
    <col min="8192" max="8192" width="0" style="122" hidden="1" customWidth="1"/>
    <col min="8193" max="8193" width="2.54296875" style="122" customWidth="1"/>
    <col min="8194" max="8194" width="28.7265625" style="122" customWidth="1"/>
    <col min="8195" max="8196" width="20" style="122" customWidth="1"/>
    <col min="8197" max="8197" width="15.26953125" style="122" customWidth="1"/>
    <col min="8198" max="8198" width="17.7265625" style="122" customWidth="1"/>
    <col min="8199" max="8447" width="9.26953125" style="122"/>
    <col min="8448" max="8448" width="0" style="122" hidden="1" customWidth="1"/>
    <col min="8449" max="8449" width="2.54296875" style="122" customWidth="1"/>
    <col min="8450" max="8450" width="28.7265625" style="122" customWidth="1"/>
    <col min="8451" max="8452" width="20" style="122" customWidth="1"/>
    <col min="8453" max="8453" width="15.26953125" style="122" customWidth="1"/>
    <col min="8454" max="8454" width="17.7265625" style="122" customWidth="1"/>
    <col min="8455" max="8703" width="9.26953125" style="122"/>
    <col min="8704" max="8704" width="0" style="122" hidden="1" customWidth="1"/>
    <col min="8705" max="8705" width="2.54296875" style="122" customWidth="1"/>
    <col min="8706" max="8706" width="28.7265625" style="122" customWidth="1"/>
    <col min="8707" max="8708" width="20" style="122" customWidth="1"/>
    <col min="8709" max="8709" width="15.26953125" style="122" customWidth="1"/>
    <col min="8710" max="8710" width="17.7265625" style="122" customWidth="1"/>
    <col min="8711" max="8959" width="9.26953125" style="122"/>
    <col min="8960" max="8960" width="0" style="122" hidden="1" customWidth="1"/>
    <col min="8961" max="8961" width="2.54296875" style="122" customWidth="1"/>
    <col min="8962" max="8962" width="28.7265625" style="122" customWidth="1"/>
    <col min="8963" max="8964" width="20" style="122" customWidth="1"/>
    <col min="8965" max="8965" width="15.26953125" style="122" customWidth="1"/>
    <col min="8966" max="8966" width="17.7265625" style="122" customWidth="1"/>
    <col min="8967" max="9215" width="9.26953125" style="122"/>
    <col min="9216" max="9216" width="0" style="122" hidden="1" customWidth="1"/>
    <col min="9217" max="9217" width="2.54296875" style="122" customWidth="1"/>
    <col min="9218" max="9218" width="28.7265625" style="122" customWidth="1"/>
    <col min="9219" max="9220" width="20" style="122" customWidth="1"/>
    <col min="9221" max="9221" width="15.26953125" style="122" customWidth="1"/>
    <col min="9222" max="9222" width="17.7265625" style="122" customWidth="1"/>
    <col min="9223" max="9471" width="9.26953125" style="122"/>
    <col min="9472" max="9472" width="0" style="122" hidden="1" customWidth="1"/>
    <col min="9473" max="9473" width="2.54296875" style="122" customWidth="1"/>
    <col min="9474" max="9474" width="28.7265625" style="122" customWidth="1"/>
    <col min="9475" max="9476" width="20" style="122" customWidth="1"/>
    <col min="9477" max="9477" width="15.26953125" style="122" customWidth="1"/>
    <col min="9478" max="9478" width="17.7265625" style="122" customWidth="1"/>
    <col min="9479" max="9727" width="9.26953125" style="122"/>
    <col min="9728" max="9728" width="0" style="122" hidden="1" customWidth="1"/>
    <col min="9729" max="9729" width="2.54296875" style="122" customWidth="1"/>
    <col min="9730" max="9730" width="28.7265625" style="122" customWidth="1"/>
    <col min="9731" max="9732" width="20" style="122" customWidth="1"/>
    <col min="9733" max="9733" width="15.26953125" style="122" customWidth="1"/>
    <col min="9734" max="9734" width="17.7265625" style="122" customWidth="1"/>
    <col min="9735" max="9983" width="9.26953125" style="122"/>
    <col min="9984" max="9984" width="0" style="122" hidden="1" customWidth="1"/>
    <col min="9985" max="9985" width="2.54296875" style="122" customWidth="1"/>
    <col min="9986" max="9986" width="28.7265625" style="122" customWidth="1"/>
    <col min="9987" max="9988" width="20" style="122" customWidth="1"/>
    <col min="9989" max="9989" width="15.26953125" style="122" customWidth="1"/>
    <col min="9990" max="9990" width="17.7265625" style="122" customWidth="1"/>
    <col min="9991" max="10239" width="9.26953125" style="122"/>
    <col min="10240" max="10240" width="0" style="122" hidden="1" customWidth="1"/>
    <col min="10241" max="10241" width="2.54296875" style="122" customWidth="1"/>
    <col min="10242" max="10242" width="28.7265625" style="122" customWidth="1"/>
    <col min="10243" max="10244" width="20" style="122" customWidth="1"/>
    <col min="10245" max="10245" width="15.26953125" style="122" customWidth="1"/>
    <col min="10246" max="10246" width="17.7265625" style="122" customWidth="1"/>
    <col min="10247" max="10495" width="9.26953125" style="122"/>
    <col min="10496" max="10496" width="0" style="122" hidden="1" customWidth="1"/>
    <col min="10497" max="10497" width="2.54296875" style="122" customWidth="1"/>
    <col min="10498" max="10498" width="28.7265625" style="122" customWidth="1"/>
    <col min="10499" max="10500" width="20" style="122" customWidth="1"/>
    <col min="10501" max="10501" width="15.26953125" style="122" customWidth="1"/>
    <col min="10502" max="10502" width="17.7265625" style="122" customWidth="1"/>
    <col min="10503" max="10751" width="9.26953125" style="122"/>
    <col min="10752" max="10752" width="0" style="122" hidden="1" customWidth="1"/>
    <col min="10753" max="10753" width="2.54296875" style="122" customWidth="1"/>
    <col min="10754" max="10754" width="28.7265625" style="122" customWidth="1"/>
    <col min="10755" max="10756" width="20" style="122" customWidth="1"/>
    <col min="10757" max="10757" width="15.26953125" style="122" customWidth="1"/>
    <col min="10758" max="10758" width="17.7265625" style="122" customWidth="1"/>
    <col min="10759" max="11007" width="9.26953125" style="122"/>
    <col min="11008" max="11008" width="0" style="122" hidden="1" customWidth="1"/>
    <col min="11009" max="11009" width="2.54296875" style="122" customWidth="1"/>
    <col min="11010" max="11010" width="28.7265625" style="122" customWidth="1"/>
    <col min="11011" max="11012" width="20" style="122" customWidth="1"/>
    <col min="11013" max="11013" width="15.26953125" style="122" customWidth="1"/>
    <col min="11014" max="11014" width="17.7265625" style="122" customWidth="1"/>
    <col min="11015" max="11263" width="9.26953125" style="122"/>
    <col min="11264" max="11264" width="0" style="122" hidden="1" customWidth="1"/>
    <col min="11265" max="11265" width="2.54296875" style="122" customWidth="1"/>
    <col min="11266" max="11266" width="28.7265625" style="122" customWidth="1"/>
    <col min="11267" max="11268" width="20" style="122" customWidth="1"/>
    <col min="11269" max="11269" width="15.26953125" style="122" customWidth="1"/>
    <col min="11270" max="11270" width="17.7265625" style="122" customWidth="1"/>
    <col min="11271" max="11519" width="9.26953125" style="122"/>
    <col min="11520" max="11520" width="0" style="122" hidden="1" customWidth="1"/>
    <col min="11521" max="11521" width="2.54296875" style="122" customWidth="1"/>
    <col min="11522" max="11522" width="28.7265625" style="122" customWidth="1"/>
    <col min="11523" max="11524" width="20" style="122" customWidth="1"/>
    <col min="11525" max="11525" width="15.26953125" style="122" customWidth="1"/>
    <col min="11526" max="11526" width="17.7265625" style="122" customWidth="1"/>
    <col min="11527" max="11775" width="9.26953125" style="122"/>
    <col min="11776" max="11776" width="0" style="122" hidden="1" customWidth="1"/>
    <col min="11777" max="11777" width="2.54296875" style="122" customWidth="1"/>
    <col min="11778" max="11778" width="28.7265625" style="122" customWidth="1"/>
    <col min="11779" max="11780" width="20" style="122" customWidth="1"/>
    <col min="11781" max="11781" width="15.26953125" style="122" customWidth="1"/>
    <col min="11782" max="11782" width="17.7265625" style="122" customWidth="1"/>
    <col min="11783" max="12031" width="9.26953125" style="122"/>
    <col min="12032" max="12032" width="0" style="122" hidden="1" customWidth="1"/>
    <col min="12033" max="12033" width="2.54296875" style="122" customWidth="1"/>
    <col min="12034" max="12034" width="28.7265625" style="122" customWidth="1"/>
    <col min="12035" max="12036" width="20" style="122" customWidth="1"/>
    <col min="12037" max="12037" width="15.26953125" style="122" customWidth="1"/>
    <col min="12038" max="12038" width="17.7265625" style="122" customWidth="1"/>
    <col min="12039" max="12287" width="9.26953125" style="122"/>
    <col min="12288" max="12288" width="0" style="122" hidden="1" customWidth="1"/>
    <col min="12289" max="12289" width="2.54296875" style="122" customWidth="1"/>
    <col min="12290" max="12290" width="28.7265625" style="122" customWidth="1"/>
    <col min="12291" max="12292" width="20" style="122" customWidth="1"/>
    <col min="12293" max="12293" width="15.26953125" style="122" customWidth="1"/>
    <col min="12294" max="12294" width="17.7265625" style="122" customWidth="1"/>
    <col min="12295" max="12543" width="9.26953125" style="122"/>
    <col min="12544" max="12544" width="0" style="122" hidden="1" customWidth="1"/>
    <col min="12545" max="12545" width="2.54296875" style="122" customWidth="1"/>
    <col min="12546" max="12546" width="28.7265625" style="122" customWidth="1"/>
    <col min="12547" max="12548" width="20" style="122" customWidth="1"/>
    <col min="12549" max="12549" width="15.26953125" style="122" customWidth="1"/>
    <col min="12550" max="12550" width="17.7265625" style="122" customWidth="1"/>
    <col min="12551" max="12799" width="9.26953125" style="122"/>
    <col min="12800" max="12800" width="0" style="122" hidden="1" customWidth="1"/>
    <col min="12801" max="12801" width="2.54296875" style="122" customWidth="1"/>
    <col min="12802" max="12802" width="28.7265625" style="122" customWidth="1"/>
    <col min="12803" max="12804" width="20" style="122" customWidth="1"/>
    <col min="12805" max="12805" width="15.26953125" style="122" customWidth="1"/>
    <col min="12806" max="12806" width="17.7265625" style="122" customWidth="1"/>
    <col min="12807" max="13055" width="9.26953125" style="122"/>
    <col min="13056" max="13056" width="0" style="122" hidden="1" customWidth="1"/>
    <col min="13057" max="13057" width="2.54296875" style="122" customWidth="1"/>
    <col min="13058" max="13058" width="28.7265625" style="122" customWidth="1"/>
    <col min="13059" max="13060" width="20" style="122" customWidth="1"/>
    <col min="13061" max="13061" width="15.26953125" style="122" customWidth="1"/>
    <col min="13062" max="13062" width="17.7265625" style="122" customWidth="1"/>
    <col min="13063" max="13311" width="9.26953125" style="122"/>
    <col min="13312" max="13312" width="0" style="122" hidden="1" customWidth="1"/>
    <col min="13313" max="13313" width="2.54296875" style="122" customWidth="1"/>
    <col min="13314" max="13314" width="28.7265625" style="122" customWidth="1"/>
    <col min="13315" max="13316" width="20" style="122" customWidth="1"/>
    <col min="13317" max="13317" width="15.26953125" style="122" customWidth="1"/>
    <col min="13318" max="13318" width="17.7265625" style="122" customWidth="1"/>
    <col min="13319" max="13567" width="9.26953125" style="122"/>
    <col min="13568" max="13568" width="0" style="122" hidden="1" customWidth="1"/>
    <col min="13569" max="13569" width="2.54296875" style="122" customWidth="1"/>
    <col min="13570" max="13570" width="28.7265625" style="122" customWidth="1"/>
    <col min="13571" max="13572" width="20" style="122" customWidth="1"/>
    <col min="13573" max="13573" width="15.26953125" style="122" customWidth="1"/>
    <col min="13574" max="13574" width="17.7265625" style="122" customWidth="1"/>
    <col min="13575" max="13823" width="9.26953125" style="122"/>
    <col min="13824" max="13824" width="0" style="122" hidden="1" customWidth="1"/>
    <col min="13825" max="13825" width="2.54296875" style="122" customWidth="1"/>
    <col min="13826" max="13826" width="28.7265625" style="122" customWidth="1"/>
    <col min="13827" max="13828" width="20" style="122" customWidth="1"/>
    <col min="13829" max="13829" width="15.26953125" style="122" customWidth="1"/>
    <col min="13830" max="13830" width="17.7265625" style="122" customWidth="1"/>
    <col min="13831" max="14079" width="9.26953125" style="122"/>
    <col min="14080" max="14080" width="0" style="122" hidden="1" customWidth="1"/>
    <col min="14081" max="14081" width="2.54296875" style="122" customWidth="1"/>
    <col min="14082" max="14082" width="28.7265625" style="122" customWidth="1"/>
    <col min="14083" max="14084" width="20" style="122" customWidth="1"/>
    <col min="14085" max="14085" width="15.26953125" style="122" customWidth="1"/>
    <col min="14086" max="14086" width="17.7265625" style="122" customWidth="1"/>
    <col min="14087" max="14335" width="9.26953125" style="122"/>
    <col min="14336" max="14336" width="0" style="122" hidden="1" customWidth="1"/>
    <col min="14337" max="14337" width="2.54296875" style="122" customWidth="1"/>
    <col min="14338" max="14338" width="28.7265625" style="122" customWidth="1"/>
    <col min="14339" max="14340" width="20" style="122" customWidth="1"/>
    <col min="14341" max="14341" width="15.26953125" style="122" customWidth="1"/>
    <col min="14342" max="14342" width="17.7265625" style="122" customWidth="1"/>
    <col min="14343" max="14591" width="9.26953125" style="122"/>
    <col min="14592" max="14592" width="0" style="122" hidden="1" customWidth="1"/>
    <col min="14593" max="14593" width="2.54296875" style="122" customWidth="1"/>
    <col min="14594" max="14594" width="28.7265625" style="122" customWidth="1"/>
    <col min="14595" max="14596" width="20" style="122" customWidth="1"/>
    <col min="14597" max="14597" width="15.26953125" style="122" customWidth="1"/>
    <col min="14598" max="14598" width="17.7265625" style="122" customWidth="1"/>
    <col min="14599" max="14847" width="9.26953125" style="122"/>
    <col min="14848" max="14848" width="0" style="122" hidden="1" customWidth="1"/>
    <col min="14849" max="14849" width="2.54296875" style="122" customWidth="1"/>
    <col min="14850" max="14850" width="28.7265625" style="122" customWidth="1"/>
    <col min="14851" max="14852" width="20" style="122" customWidth="1"/>
    <col min="14853" max="14853" width="15.26953125" style="122" customWidth="1"/>
    <col min="14854" max="14854" width="17.7265625" style="122" customWidth="1"/>
    <col min="14855" max="15103" width="9.26953125" style="122"/>
    <col min="15104" max="15104" width="0" style="122" hidden="1" customWidth="1"/>
    <col min="15105" max="15105" width="2.54296875" style="122" customWidth="1"/>
    <col min="15106" max="15106" width="28.7265625" style="122" customWidth="1"/>
    <col min="15107" max="15108" width="20" style="122" customWidth="1"/>
    <col min="15109" max="15109" width="15.26953125" style="122" customWidth="1"/>
    <col min="15110" max="15110" width="17.7265625" style="122" customWidth="1"/>
    <col min="15111" max="15359" width="9.26953125" style="122"/>
    <col min="15360" max="15360" width="0" style="122" hidden="1" customWidth="1"/>
    <col min="15361" max="15361" width="2.54296875" style="122" customWidth="1"/>
    <col min="15362" max="15362" width="28.7265625" style="122" customWidth="1"/>
    <col min="15363" max="15364" width="20" style="122" customWidth="1"/>
    <col min="15365" max="15365" width="15.26953125" style="122" customWidth="1"/>
    <col min="15366" max="15366" width="17.7265625" style="122" customWidth="1"/>
    <col min="15367" max="15615" width="9.26953125" style="122"/>
    <col min="15616" max="15616" width="0" style="122" hidden="1" customWidth="1"/>
    <col min="15617" max="15617" width="2.54296875" style="122" customWidth="1"/>
    <col min="15618" max="15618" width="28.7265625" style="122" customWidth="1"/>
    <col min="15619" max="15620" width="20" style="122" customWidth="1"/>
    <col min="15621" max="15621" width="15.26953125" style="122" customWidth="1"/>
    <col min="15622" max="15622" width="17.7265625" style="122" customWidth="1"/>
    <col min="15623" max="15871" width="9.26953125" style="122"/>
    <col min="15872" max="15872" width="0" style="122" hidden="1" customWidth="1"/>
    <col min="15873" max="15873" width="2.54296875" style="122" customWidth="1"/>
    <col min="15874" max="15874" width="28.7265625" style="122" customWidth="1"/>
    <col min="15875" max="15876" width="20" style="122" customWidth="1"/>
    <col min="15877" max="15877" width="15.26953125" style="122" customWidth="1"/>
    <col min="15878" max="15878" width="17.7265625" style="122" customWidth="1"/>
    <col min="15879" max="16127" width="9.26953125" style="122"/>
    <col min="16128" max="16128" width="0" style="122" hidden="1" customWidth="1"/>
    <col min="16129" max="16129" width="2.54296875" style="122" customWidth="1"/>
    <col min="16130" max="16130" width="28.7265625" style="122" customWidth="1"/>
    <col min="16131" max="16132" width="20" style="122" customWidth="1"/>
    <col min="16133" max="16133" width="15.26953125" style="122" customWidth="1"/>
    <col min="16134" max="16134" width="17.7265625" style="122" customWidth="1"/>
    <col min="16135" max="16384" width="9.26953125" style="122"/>
  </cols>
  <sheetData>
    <row r="1" spans="1:9" ht="60" customHeight="1" x14ac:dyDescent="0.3">
      <c r="B1" s="286" t="s">
        <v>96</v>
      </c>
      <c r="C1" s="286"/>
      <c r="D1" s="286"/>
      <c r="E1" s="286"/>
      <c r="F1" s="286"/>
    </row>
    <row r="2" spans="1:9" ht="14.5" x14ac:dyDescent="0.3">
      <c r="B2" s="287"/>
      <c r="C2" s="288" t="s">
        <v>1</v>
      </c>
      <c r="D2" s="290" t="s">
        <v>2</v>
      </c>
      <c r="E2" s="290"/>
    </row>
    <row r="3" spans="1:9" ht="27" x14ac:dyDescent="0.3">
      <c r="A3" s="4"/>
      <c r="B3" s="287"/>
      <c r="C3" s="289"/>
      <c r="D3" s="123" t="s">
        <v>3</v>
      </c>
      <c r="E3" s="123" t="s">
        <v>4</v>
      </c>
      <c r="F3" s="123" t="s">
        <v>5</v>
      </c>
    </row>
    <row r="4" spans="1:9" ht="24" customHeight="1" x14ac:dyDescent="0.3">
      <c r="A4" s="4"/>
      <c r="B4" s="124" t="s">
        <v>6</v>
      </c>
      <c r="C4" s="125">
        <v>3383</v>
      </c>
      <c r="D4" s="125">
        <v>665</v>
      </c>
      <c r="E4" s="125">
        <v>60</v>
      </c>
      <c r="F4" s="125">
        <v>0</v>
      </c>
    </row>
    <row r="5" spans="1:9" s="127" customFormat="1" ht="25.5" customHeight="1" x14ac:dyDescent="0.3">
      <c r="A5" s="9"/>
      <c r="B5" s="126" t="s">
        <v>7</v>
      </c>
      <c r="C5" s="125">
        <v>2337</v>
      </c>
      <c r="D5" s="125">
        <v>447</v>
      </c>
      <c r="E5" s="125">
        <v>42</v>
      </c>
      <c r="F5" s="125">
        <v>0</v>
      </c>
    </row>
    <row r="6" spans="1:9" ht="12.75" customHeight="1" x14ac:dyDescent="0.3">
      <c r="A6" s="12">
        <v>51</v>
      </c>
      <c r="B6" s="128" t="s">
        <v>8</v>
      </c>
      <c r="C6" s="163">
        <v>79</v>
      </c>
      <c r="D6" s="163">
        <v>18</v>
      </c>
      <c r="E6" s="163">
        <v>0</v>
      </c>
      <c r="F6" s="163">
        <v>0</v>
      </c>
    </row>
    <row r="7" spans="1:9" ht="12.75" customHeight="1" x14ac:dyDescent="0.3">
      <c r="A7" s="12">
        <v>52</v>
      </c>
      <c r="B7" s="128" t="s">
        <v>9</v>
      </c>
      <c r="C7" s="163">
        <v>72</v>
      </c>
      <c r="D7" s="163">
        <v>15</v>
      </c>
      <c r="E7" s="163">
        <v>0</v>
      </c>
      <c r="F7" s="163">
        <v>0</v>
      </c>
    </row>
    <row r="8" spans="1:9" x14ac:dyDescent="0.3">
      <c r="A8" s="12">
        <v>86</v>
      </c>
      <c r="B8" s="128" t="s">
        <v>10</v>
      </c>
      <c r="C8" s="163">
        <v>60</v>
      </c>
      <c r="D8" s="163">
        <v>9</v>
      </c>
      <c r="E8" s="163">
        <v>2</v>
      </c>
      <c r="F8" s="163">
        <v>0</v>
      </c>
    </row>
    <row r="9" spans="1:9" ht="12.75" customHeight="1" x14ac:dyDescent="0.3">
      <c r="A9" s="12">
        <v>53</v>
      </c>
      <c r="B9" s="128" t="s">
        <v>11</v>
      </c>
      <c r="C9" s="163">
        <v>40</v>
      </c>
      <c r="D9" s="163">
        <v>11</v>
      </c>
      <c r="E9" s="163">
        <v>1</v>
      </c>
      <c r="F9" s="163">
        <v>0</v>
      </c>
    </row>
    <row r="10" spans="1:9" ht="12.75" customHeight="1" x14ac:dyDescent="0.3">
      <c r="A10" s="12">
        <v>54</v>
      </c>
      <c r="B10" s="128" t="s">
        <v>12</v>
      </c>
      <c r="C10" s="163">
        <v>87</v>
      </c>
      <c r="D10" s="163">
        <v>8</v>
      </c>
      <c r="E10" s="163">
        <v>0</v>
      </c>
      <c r="F10" s="163">
        <v>0</v>
      </c>
    </row>
    <row r="11" spans="1:9" ht="12.75" customHeight="1" x14ac:dyDescent="0.3">
      <c r="A11" s="12">
        <v>55</v>
      </c>
      <c r="B11" s="128" t="s">
        <v>13</v>
      </c>
      <c r="C11" s="163">
        <v>45</v>
      </c>
      <c r="D11" s="163">
        <v>5</v>
      </c>
      <c r="E11" s="163">
        <v>2</v>
      </c>
      <c r="F11" s="163">
        <v>0</v>
      </c>
    </row>
    <row r="12" spans="1:9" ht="12.75" customHeight="1" x14ac:dyDescent="0.3">
      <c r="A12" s="12">
        <v>56</v>
      </c>
      <c r="B12" s="128" t="s">
        <v>14</v>
      </c>
      <c r="C12" s="163">
        <v>45</v>
      </c>
      <c r="D12" s="163">
        <v>2</v>
      </c>
      <c r="E12" s="163">
        <v>2</v>
      </c>
      <c r="F12" s="163">
        <v>0</v>
      </c>
      <c r="I12" s="172"/>
    </row>
    <row r="13" spans="1:9" ht="12.75" customHeight="1" x14ac:dyDescent="0.3">
      <c r="A13" s="12">
        <v>57</v>
      </c>
      <c r="B13" s="128" t="s">
        <v>15</v>
      </c>
      <c r="C13" s="163">
        <v>38</v>
      </c>
      <c r="D13" s="163">
        <v>3</v>
      </c>
      <c r="E13" s="163">
        <v>0</v>
      </c>
      <c r="F13" s="163">
        <v>0</v>
      </c>
      <c r="I13" s="172"/>
    </row>
    <row r="14" spans="1:9" ht="12.75" customHeight="1" x14ac:dyDescent="0.3">
      <c r="A14" s="12">
        <v>59</v>
      </c>
      <c r="B14" s="128" t="s">
        <v>16</v>
      </c>
      <c r="C14" s="163">
        <v>33</v>
      </c>
      <c r="D14" s="163">
        <v>6</v>
      </c>
      <c r="E14" s="163">
        <v>0</v>
      </c>
      <c r="F14" s="163">
        <v>0</v>
      </c>
    </row>
    <row r="15" spans="1:9" ht="12.75" customHeight="1" x14ac:dyDescent="0.3">
      <c r="A15" s="12">
        <v>60</v>
      </c>
      <c r="B15" s="128" t="s">
        <v>17</v>
      </c>
      <c r="C15" s="163">
        <v>40</v>
      </c>
      <c r="D15" s="163">
        <v>7</v>
      </c>
      <c r="E15" s="163">
        <v>0</v>
      </c>
      <c r="F15" s="163">
        <v>0</v>
      </c>
    </row>
    <row r="16" spans="1:9" ht="12.75" customHeight="1" x14ac:dyDescent="0.3">
      <c r="A16" s="12">
        <v>61</v>
      </c>
      <c r="B16" s="130" t="s">
        <v>18</v>
      </c>
      <c r="C16" s="163">
        <v>80</v>
      </c>
      <c r="D16" s="163">
        <v>13</v>
      </c>
      <c r="E16" s="163">
        <v>3</v>
      </c>
      <c r="F16" s="163">
        <v>0</v>
      </c>
    </row>
    <row r="17" spans="1:9" s="181" customFormat="1" ht="12.75" customHeight="1" x14ac:dyDescent="0.3">
      <c r="A17" s="12"/>
      <c r="B17" s="130" t="s">
        <v>122</v>
      </c>
      <c r="C17" s="163">
        <v>99</v>
      </c>
      <c r="D17" s="163">
        <v>15</v>
      </c>
      <c r="E17" s="163">
        <v>0</v>
      </c>
      <c r="F17" s="163">
        <v>0</v>
      </c>
    </row>
    <row r="18" spans="1:9" ht="12.75" customHeight="1" x14ac:dyDescent="0.3">
      <c r="A18" s="12">
        <v>58</v>
      </c>
      <c r="B18" s="128" t="s">
        <v>20</v>
      </c>
      <c r="C18" s="163">
        <v>15</v>
      </c>
      <c r="D18" s="163">
        <v>2</v>
      </c>
      <c r="E18" s="163">
        <v>0</v>
      </c>
      <c r="F18" s="163">
        <v>0</v>
      </c>
    </row>
    <row r="19" spans="1:9" ht="12.75" customHeight="1" x14ac:dyDescent="0.3">
      <c r="A19" s="12">
        <v>63</v>
      </c>
      <c r="B19" s="128" t="s">
        <v>21</v>
      </c>
      <c r="C19" s="163">
        <v>88</v>
      </c>
      <c r="D19" s="163">
        <v>16</v>
      </c>
      <c r="E19" s="163">
        <v>0</v>
      </c>
      <c r="F19" s="163">
        <v>0</v>
      </c>
    </row>
    <row r="20" spans="1:9" ht="12.75" customHeight="1" x14ac:dyDescent="0.3">
      <c r="A20" s="12">
        <v>64</v>
      </c>
      <c r="B20" s="128" t="s">
        <v>22</v>
      </c>
      <c r="C20" s="163">
        <v>144</v>
      </c>
      <c r="D20" s="163">
        <v>39</v>
      </c>
      <c r="E20" s="163">
        <v>6</v>
      </c>
      <c r="F20" s="163">
        <v>0</v>
      </c>
    </row>
    <row r="21" spans="1:9" x14ac:dyDescent="0.3">
      <c r="A21" s="12">
        <v>65</v>
      </c>
      <c r="B21" s="128" t="s">
        <v>23</v>
      </c>
      <c r="C21" s="163">
        <v>63</v>
      </c>
      <c r="D21" s="163">
        <v>12</v>
      </c>
      <c r="E21" s="163">
        <v>1</v>
      </c>
      <c r="F21" s="163">
        <v>0</v>
      </c>
    </row>
    <row r="22" spans="1:9" ht="12.75" customHeight="1" x14ac:dyDescent="0.3">
      <c r="A22" s="12">
        <v>67</v>
      </c>
      <c r="B22" s="128" t="s">
        <v>24</v>
      </c>
      <c r="C22" s="163">
        <v>93</v>
      </c>
      <c r="D22" s="163">
        <v>21</v>
      </c>
      <c r="E22" s="163">
        <v>7</v>
      </c>
      <c r="F22" s="163">
        <v>0</v>
      </c>
    </row>
    <row r="23" spans="1:9" x14ac:dyDescent="0.3">
      <c r="A23" s="12">
        <v>68</v>
      </c>
      <c r="B23" s="128" t="s">
        <v>25</v>
      </c>
      <c r="C23" s="163">
        <v>88</v>
      </c>
      <c r="D23" s="163">
        <v>19</v>
      </c>
      <c r="E23" s="163">
        <v>2</v>
      </c>
      <c r="F23" s="163">
        <v>0</v>
      </c>
    </row>
    <row r="24" spans="1:9" x14ac:dyDescent="0.3">
      <c r="A24" s="12">
        <v>69</v>
      </c>
      <c r="B24" s="128" t="s">
        <v>26</v>
      </c>
      <c r="C24" s="163">
        <v>65</v>
      </c>
      <c r="D24" s="163">
        <v>17</v>
      </c>
      <c r="E24" s="163">
        <v>3</v>
      </c>
      <c r="F24" s="163">
        <v>0</v>
      </c>
    </row>
    <row r="25" spans="1:9" x14ac:dyDescent="0.3">
      <c r="A25" s="12">
        <v>70</v>
      </c>
      <c r="B25" s="128" t="s">
        <v>27</v>
      </c>
      <c r="C25" s="163">
        <v>74</v>
      </c>
      <c r="D25" s="163">
        <v>12</v>
      </c>
      <c r="E25" s="163">
        <v>3</v>
      </c>
      <c r="F25" s="163">
        <v>0</v>
      </c>
    </row>
    <row r="26" spans="1:9" x14ac:dyDescent="0.3">
      <c r="A26" s="12">
        <v>71</v>
      </c>
      <c r="B26" s="131" t="s">
        <v>28</v>
      </c>
      <c r="C26" s="163">
        <v>12</v>
      </c>
      <c r="D26" s="163">
        <v>4</v>
      </c>
      <c r="E26" s="163">
        <v>0</v>
      </c>
      <c r="F26" s="163">
        <v>0</v>
      </c>
    </row>
    <row r="27" spans="1:9" x14ac:dyDescent="0.3">
      <c r="A27" s="12">
        <v>73</v>
      </c>
      <c r="B27" s="128" t="s">
        <v>29</v>
      </c>
      <c r="C27" s="132">
        <v>75</v>
      </c>
      <c r="D27" s="132">
        <v>14</v>
      </c>
      <c r="E27" s="132">
        <v>0</v>
      </c>
      <c r="F27" s="132">
        <v>0</v>
      </c>
    </row>
    <row r="28" spans="1:9" x14ac:dyDescent="0.3">
      <c r="A28" s="12">
        <v>74</v>
      </c>
      <c r="B28" s="128" t="s">
        <v>30</v>
      </c>
      <c r="C28" s="163">
        <v>62</v>
      </c>
      <c r="D28" s="163">
        <v>16</v>
      </c>
      <c r="E28" s="163">
        <v>0</v>
      </c>
      <c r="F28" s="163">
        <v>0</v>
      </c>
    </row>
    <row r="29" spans="1:9" x14ac:dyDescent="0.3">
      <c r="A29" s="12">
        <v>75</v>
      </c>
      <c r="B29" s="128" t="s">
        <v>31</v>
      </c>
      <c r="C29" s="163">
        <v>56</v>
      </c>
      <c r="D29" s="163">
        <v>13</v>
      </c>
      <c r="E29" s="163">
        <v>0</v>
      </c>
      <c r="F29" s="163">
        <v>0</v>
      </c>
    </row>
    <row r="30" spans="1:9" x14ac:dyDescent="0.3">
      <c r="A30" s="12">
        <v>76</v>
      </c>
      <c r="B30" s="128" t="s">
        <v>32</v>
      </c>
      <c r="C30" s="163">
        <v>31</v>
      </c>
      <c r="D30" s="163">
        <v>8</v>
      </c>
      <c r="E30" s="163">
        <v>2</v>
      </c>
      <c r="F30" s="163">
        <v>0</v>
      </c>
    </row>
    <row r="31" spans="1:9" x14ac:dyDescent="0.3">
      <c r="A31" s="12">
        <v>79</v>
      </c>
      <c r="B31" s="128" t="s">
        <v>33</v>
      </c>
      <c r="C31" s="163">
        <v>76</v>
      </c>
      <c r="D31" s="163">
        <v>25</v>
      </c>
      <c r="E31" s="163">
        <v>0</v>
      </c>
      <c r="F31" s="163">
        <v>0</v>
      </c>
      <c r="I31" s="173"/>
    </row>
    <row r="32" spans="1:9" x14ac:dyDescent="0.3">
      <c r="A32" s="12">
        <v>80</v>
      </c>
      <c r="B32" s="128" t="s">
        <v>34</v>
      </c>
      <c r="C32" s="163">
        <v>64</v>
      </c>
      <c r="D32" s="163">
        <v>11</v>
      </c>
      <c r="E32" s="163">
        <v>0</v>
      </c>
      <c r="F32" s="163">
        <v>0</v>
      </c>
    </row>
    <row r="33" spans="1:6" x14ac:dyDescent="0.3">
      <c r="A33" s="12">
        <v>81</v>
      </c>
      <c r="B33" s="128" t="s">
        <v>35</v>
      </c>
      <c r="C33" s="163">
        <v>86</v>
      </c>
      <c r="D33" s="163">
        <v>9</v>
      </c>
      <c r="E33" s="163">
        <v>0</v>
      </c>
      <c r="F33" s="163">
        <v>0</v>
      </c>
    </row>
    <row r="34" spans="1:6" x14ac:dyDescent="0.3">
      <c r="A34" s="12">
        <v>83</v>
      </c>
      <c r="B34" s="128" t="s">
        <v>36</v>
      </c>
      <c r="C34" s="163">
        <v>26</v>
      </c>
      <c r="D34" s="163">
        <v>6</v>
      </c>
      <c r="E34" s="163">
        <v>0</v>
      </c>
      <c r="F34" s="163">
        <v>0</v>
      </c>
    </row>
    <row r="35" spans="1:6" x14ac:dyDescent="0.3">
      <c r="A35" s="12">
        <v>84</v>
      </c>
      <c r="B35" s="128" t="s">
        <v>37</v>
      </c>
      <c r="C35" s="163">
        <v>61</v>
      </c>
      <c r="D35" s="163">
        <v>17</v>
      </c>
      <c r="E35" s="163">
        <v>2</v>
      </c>
      <c r="F35" s="163">
        <v>0</v>
      </c>
    </row>
    <row r="36" spans="1:6" x14ac:dyDescent="0.3">
      <c r="A36" s="12">
        <v>85</v>
      </c>
      <c r="B36" s="128" t="s">
        <v>38</v>
      </c>
      <c r="C36" s="163">
        <v>62</v>
      </c>
      <c r="D36" s="163">
        <v>4</v>
      </c>
      <c r="E36" s="163">
        <v>2</v>
      </c>
      <c r="F36" s="163">
        <v>0</v>
      </c>
    </row>
    <row r="37" spans="1:6" x14ac:dyDescent="0.3">
      <c r="A37" s="12">
        <v>87</v>
      </c>
      <c r="B37" s="128" t="s">
        <v>39</v>
      </c>
      <c r="C37" s="163">
        <v>45</v>
      </c>
      <c r="D37" s="163">
        <v>9</v>
      </c>
      <c r="E37" s="163">
        <v>0</v>
      </c>
      <c r="F37" s="163">
        <v>0</v>
      </c>
    </row>
    <row r="38" spans="1:6" x14ac:dyDescent="0.3">
      <c r="A38" s="12">
        <v>90</v>
      </c>
      <c r="B38" s="128" t="s">
        <v>40</v>
      </c>
      <c r="C38" s="163">
        <v>90</v>
      </c>
      <c r="D38" s="163">
        <v>13</v>
      </c>
      <c r="E38" s="163">
        <v>0</v>
      </c>
      <c r="F38" s="163">
        <v>0</v>
      </c>
    </row>
    <row r="39" spans="1:6" x14ac:dyDescent="0.3">
      <c r="A39" s="12">
        <v>91</v>
      </c>
      <c r="B39" s="128" t="s">
        <v>41</v>
      </c>
      <c r="C39" s="163">
        <v>73</v>
      </c>
      <c r="D39" s="163">
        <v>4</v>
      </c>
      <c r="E39" s="163">
        <v>1</v>
      </c>
      <c r="F39" s="163">
        <v>0</v>
      </c>
    </row>
    <row r="40" spans="1:6" x14ac:dyDescent="0.3">
      <c r="A40" s="12">
        <v>92</v>
      </c>
      <c r="B40" s="128" t="s">
        <v>42</v>
      </c>
      <c r="C40" s="163">
        <v>75</v>
      </c>
      <c r="D40" s="163">
        <v>18</v>
      </c>
      <c r="E40" s="163">
        <v>1</v>
      </c>
      <c r="F40" s="163">
        <v>0</v>
      </c>
    </row>
    <row r="41" spans="1:6" x14ac:dyDescent="0.3">
      <c r="A41" s="12">
        <v>94</v>
      </c>
      <c r="B41" s="128" t="s">
        <v>43</v>
      </c>
      <c r="C41" s="163">
        <v>46</v>
      </c>
      <c r="D41" s="163">
        <v>15</v>
      </c>
      <c r="E41" s="163">
        <v>0</v>
      </c>
      <c r="F41" s="163">
        <v>0</v>
      </c>
    </row>
    <row r="42" spans="1:6" x14ac:dyDescent="0.3">
      <c r="A42" s="12">
        <v>96</v>
      </c>
      <c r="B42" s="128" t="s">
        <v>44</v>
      </c>
      <c r="C42" s="163">
        <v>48</v>
      </c>
      <c r="D42" s="163">
        <v>11</v>
      </c>
      <c r="E42" s="163">
        <v>1</v>
      </c>
      <c r="F42" s="163">
        <v>0</v>
      </c>
    </row>
    <row r="43" spans="1:6" x14ac:dyDescent="0.3">
      <c r="A43" s="12">
        <v>72</v>
      </c>
      <c r="B43" s="131" t="s">
        <v>46</v>
      </c>
      <c r="C43" s="163">
        <v>1</v>
      </c>
      <c r="D43" s="163">
        <v>0</v>
      </c>
      <c r="E43" s="163">
        <v>1</v>
      </c>
      <c r="F43" s="163">
        <v>0</v>
      </c>
    </row>
    <row r="44" spans="1:6" s="127" customFormat="1" ht="25.5" customHeight="1" x14ac:dyDescent="0.3">
      <c r="B44" s="124" t="s">
        <v>47</v>
      </c>
      <c r="C44" s="125">
        <v>1046</v>
      </c>
      <c r="D44" s="125">
        <v>218</v>
      </c>
      <c r="E44" s="125">
        <v>18</v>
      </c>
      <c r="F44" s="125">
        <v>0</v>
      </c>
    </row>
    <row r="45" spans="1:6" ht="12.75" customHeight="1" x14ac:dyDescent="0.3">
      <c r="A45" s="12">
        <v>66</v>
      </c>
      <c r="B45" s="134" t="s">
        <v>48</v>
      </c>
      <c r="C45" s="163">
        <v>117</v>
      </c>
      <c r="D45" s="163">
        <v>25</v>
      </c>
      <c r="E45" s="163">
        <v>1</v>
      </c>
      <c r="F45" s="163">
        <v>0</v>
      </c>
    </row>
    <row r="46" spans="1:6" ht="12.75" customHeight="1" x14ac:dyDescent="0.3">
      <c r="A46" s="12">
        <v>78</v>
      </c>
      <c r="B46" s="128" t="s">
        <v>49</v>
      </c>
      <c r="C46" s="163">
        <v>58</v>
      </c>
      <c r="D46" s="163">
        <v>7</v>
      </c>
      <c r="E46" s="163">
        <v>2</v>
      </c>
      <c r="F46" s="163">
        <v>0</v>
      </c>
    </row>
    <row r="47" spans="1:6" ht="12.75" customHeight="1" x14ac:dyDescent="0.3">
      <c r="A47" s="12">
        <v>89</v>
      </c>
      <c r="B47" s="128" t="s">
        <v>50</v>
      </c>
      <c r="C47" s="163">
        <v>86</v>
      </c>
      <c r="D47" s="163">
        <v>5</v>
      </c>
      <c r="E47" s="163">
        <v>0</v>
      </c>
      <c r="F47" s="163">
        <v>0</v>
      </c>
    </row>
    <row r="48" spans="1:6" ht="12.75" customHeight="1" x14ac:dyDescent="0.3">
      <c r="A48" s="12">
        <v>93</v>
      </c>
      <c r="B48" s="128" t="s">
        <v>51</v>
      </c>
      <c r="C48" s="163">
        <v>29</v>
      </c>
      <c r="D48" s="163">
        <v>13</v>
      </c>
      <c r="E48" s="163">
        <v>0</v>
      </c>
      <c r="F48" s="163">
        <v>0</v>
      </c>
    </row>
    <row r="49" spans="1:6" ht="12.75" customHeight="1" x14ac:dyDescent="0.3">
      <c r="A49" s="12">
        <v>95</v>
      </c>
      <c r="B49" s="128" t="s">
        <v>52</v>
      </c>
      <c r="C49" s="163">
        <v>109</v>
      </c>
      <c r="D49" s="163">
        <v>17</v>
      </c>
      <c r="E49" s="163">
        <v>4</v>
      </c>
      <c r="F49" s="163">
        <v>0</v>
      </c>
    </row>
    <row r="50" spans="1:6" ht="12.75" customHeight="1" x14ac:dyDescent="0.3">
      <c r="A50" s="12">
        <v>97</v>
      </c>
      <c r="B50" s="128" t="s">
        <v>53</v>
      </c>
      <c r="C50" s="163">
        <v>158</v>
      </c>
      <c r="D50" s="163">
        <v>18</v>
      </c>
      <c r="E50" s="163">
        <v>1</v>
      </c>
      <c r="F50" s="163">
        <v>0</v>
      </c>
    </row>
    <row r="51" spans="1:6" ht="12.75" customHeight="1" x14ac:dyDescent="0.3">
      <c r="A51" s="12">
        <v>77</v>
      </c>
      <c r="B51" s="135" t="s">
        <v>54</v>
      </c>
      <c r="C51" s="164">
        <v>489</v>
      </c>
      <c r="D51" s="164">
        <v>133</v>
      </c>
      <c r="E51" s="164">
        <v>10</v>
      </c>
      <c r="F51" s="164">
        <v>0</v>
      </c>
    </row>
    <row r="53" spans="1:6" ht="12.75" customHeight="1" x14ac:dyDescent="0.3">
      <c r="B53" s="12" t="s">
        <v>55</v>
      </c>
      <c r="C53" s="137"/>
    </row>
    <row r="54" spans="1:6" ht="12.75" customHeight="1" x14ac:dyDescent="0.3">
      <c r="B54" s="291" t="s">
        <v>56</v>
      </c>
      <c r="C54" s="292"/>
      <c r="D54" s="292"/>
      <c r="E54" s="292"/>
      <c r="F54" s="292"/>
    </row>
    <row r="55" spans="1:6" ht="12.75" customHeight="1" x14ac:dyDescent="0.3">
      <c r="B55" s="292"/>
      <c r="C55" s="292"/>
      <c r="D55" s="292"/>
      <c r="E55" s="292"/>
      <c r="F55" s="292"/>
    </row>
    <row r="56" spans="1:6" ht="12.75" customHeight="1" x14ac:dyDescent="0.3">
      <c r="B56" s="292"/>
      <c r="C56" s="292"/>
      <c r="D56" s="292"/>
      <c r="E56" s="292"/>
      <c r="F56" s="292"/>
    </row>
    <row r="57" spans="1:6" ht="12.75" customHeight="1" x14ac:dyDescent="0.3">
      <c r="B57" s="292"/>
      <c r="C57" s="292"/>
      <c r="D57" s="292"/>
      <c r="E57" s="292"/>
      <c r="F57" s="292"/>
    </row>
    <row r="58" spans="1:6" ht="12.75" customHeight="1" x14ac:dyDescent="0.3">
      <c r="B58" s="292"/>
      <c r="C58" s="292"/>
      <c r="D58" s="292"/>
      <c r="E58" s="292"/>
      <c r="F58" s="292"/>
    </row>
    <row r="59" spans="1:6" ht="12.75" customHeight="1" x14ac:dyDescent="0.3">
      <c r="B59" s="292"/>
      <c r="C59" s="292"/>
      <c r="D59" s="292"/>
      <c r="E59" s="292"/>
      <c r="F59" s="292"/>
    </row>
    <row r="60" spans="1:6" ht="39" customHeight="1" x14ac:dyDescent="0.3">
      <c r="B60" s="292"/>
      <c r="C60" s="292"/>
      <c r="D60" s="292"/>
      <c r="E60" s="292"/>
      <c r="F60" s="292"/>
    </row>
    <row r="61" spans="1:6" ht="12.75" customHeight="1" x14ac:dyDescent="0.3">
      <c r="B61" s="23"/>
      <c r="C61" s="23"/>
      <c r="D61" s="23"/>
      <c r="E61" s="23"/>
      <c r="F61" s="23"/>
    </row>
    <row r="62" spans="1:6" ht="12.75" customHeight="1" x14ac:dyDescent="0.3">
      <c r="B62" s="138" t="s">
        <v>57</v>
      </c>
      <c r="C62" s="139"/>
      <c r="D62" s="139"/>
      <c r="E62" s="139"/>
    </row>
    <row r="63" spans="1:6" x14ac:dyDescent="0.3">
      <c r="B63" s="140"/>
      <c r="C63" s="139"/>
      <c r="D63" s="139"/>
      <c r="E63" s="139"/>
    </row>
    <row r="64" spans="1:6" x14ac:dyDescent="0.3">
      <c r="C64" s="139"/>
      <c r="D64" s="139"/>
      <c r="E64" s="139"/>
    </row>
    <row r="65" spans="2:5" x14ac:dyDescent="0.3">
      <c r="B65" s="141"/>
      <c r="C65" s="139"/>
      <c r="D65" s="139"/>
      <c r="E65" s="139"/>
    </row>
    <row r="66" spans="2:5" x14ac:dyDescent="0.3">
      <c r="C66" s="139"/>
      <c r="D66" s="139"/>
      <c r="E66" s="139"/>
    </row>
  </sheetData>
  <mergeCells count="5">
    <mergeCell ref="B1:F1"/>
    <mergeCell ref="B2:B3"/>
    <mergeCell ref="C2:C3"/>
    <mergeCell ref="D2:E2"/>
    <mergeCell ref="B54:F60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36</vt:i4>
      </vt:variant>
    </vt:vector>
  </HeadingPairs>
  <TitlesOfParts>
    <vt:vector size="92" baseType="lpstr">
      <vt:lpstr>(2009-10a)</vt:lpstr>
      <vt:lpstr>(2009-10b)</vt:lpstr>
      <vt:lpstr>(2009-10c)</vt:lpstr>
      <vt:lpstr>(2009-10d)</vt:lpstr>
      <vt:lpstr>(2010-11a)</vt:lpstr>
      <vt:lpstr>(2010-11b)</vt:lpstr>
      <vt:lpstr>(2010-11c)</vt:lpstr>
      <vt:lpstr>(2010-11d)</vt:lpstr>
      <vt:lpstr>(2011-12a)</vt:lpstr>
      <vt:lpstr>(2011-12b)</vt:lpstr>
      <vt:lpstr>(2011-12c)</vt:lpstr>
      <vt:lpstr>(2011-12d)</vt:lpstr>
      <vt:lpstr>(2012-13a)</vt:lpstr>
      <vt:lpstr>(2012-13b)</vt:lpstr>
      <vt:lpstr>(2012-13c)</vt:lpstr>
      <vt:lpstr>(2012-13d)</vt:lpstr>
      <vt:lpstr>(2013-14a)</vt:lpstr>
      <vt:lpstr>(2013-14b)</vt:lpstr>
      <vt:lpstr>(2013-14c)</vt:lpstr>
      <vt:lpstr>(2013-14d)</vt:lpstr>
      <vt:lpstr>(2014-15a)</vt:lpstr>
      <vt:lpstr>(2014-15b)</vt:lpstr>
      <vt:lpstr>(2014-15c)</vt:lpstr>
      <vt:lpstr>(2014-15d)</vt:lpstr>
      <vt:lpstr>(2015-16a)</vt:lpstr>
      <vt:lpstr>(2015-16b)</vt:lpstr>
      <vt:lpstr>(2015-16c)</vt:lpstr>
      <vt:lpstr>(2015-16d)</vt:lpstr>
      <vt:lpstr>(2016-17a)</vt:lpstr>
      <vt:lpstr>(2016-17b)</vt:lpstr>
      <vt:lpstr>(2016-17c)</vt:lpstr>
      <vt:lpstr>(2016-17d)</vt:lpstr>
      <vt:lpstr>(2017-18a)</vt:lpstr>
      <vt:lpstr>(2017-18b)</vt:lpstr>
      <vt:lpstr>(2017-18c)</vt:lpstr>
      <vt:lpstr>(2017-18d)</vt:lpstr>
      <vt:lpstr>(2018-19a)</vt:lpstr>
      <vt:lpstr>(2018-19b)</vt:lpstr>
      <vt:lpstr>(2018-19c)</vt:lpstr>
      <vt:lpstr>(2018-19d)</vt:lpstr>
      <vt:lpstr>Macro</vt:lpstr>
      <vt:lpstr>raw</vt:lpstr>
      <vt:lpstr>YoY Comparison</vt:lpstr>
      <vt:lpstr>IRS</vt:lpstr>
      <vt:lpstr>FIRE0508a raw</vt:lpstr>
      <vt:lpstr>FIRE0508b raw</vt:lpstr>
      <vt:lpstr>FIRE0508c raw</vt:lpstr>
      <vt:lpstr>FIRE0508d raw</vt:lpstr>
      <vt:lpstr>Charts</vt:lpstr>
      <vt:lpstr>QA</vt:lpstr>
      <vt:lpstr>code</vt:lpstr>
      <vt:lpstr>FIRE0508a</vt:lpstr>
      <vt:lpstr>FIRE0508b</vt:lpstr>
      <vt:lpstr>FIRE0508c</vt:lpstr>
      <vt:lpstr>FIRE0508d</vt:lpstr>
      <vt:lpstr>FRS geographical categories</vt:lpstr>
      <vt:lpstr>'(2009-10a)'!Print_Area</vt:lpstr>
      <vt:lpstr>'(2009-10b)'!Print_Area</vt:lpstr>
      <vt:lpstr>'(2009-10c)'!Print_Area</vt:lpstr>
      <vt:lpstr>'(2009-10d)'!Print_Area</vt:lpstr>
      <vt:lpstr>'(2010-11a)'!Print_Area</vt:lpstr>
      <vt:lpstr>'(2010-11b)'!Print_Area</vt:lpstr>
      <vt:lpstr>'(2010-11c)'!Print_Area</vt:lpstr>
      <vt:lpstr>'(2010-11d)'!Print_Area</vt:lpstr>
      <vt:lpstr>'(2011-12a)'!Print_Area</vt:lpstr>
      <vt:lpstr>'(2011-12b)'!Print_Area</vt:lpstr>
      <vt:lpstr>'(2011-12c)'!Print_Area</vt:lpstr>
      <vt:lpstr>'(2011-12d)'!Print_Area</vt:lpstr>
      <vt:lpstr>'(2012-13a)'!Print_Area</vt:lpstr>
      <vt:lpstr>'(2012-13b)'!Print_Area</vt:lpstr>
      <vt:lpstr>'(2012-13c)'!Print_Area</vt:lpstr>
      <vt:lpstr>'(2012-13d)'!Print_Area</vt:lpstr>
      <vt:lpstr>'(2013-14a)'!Print_Area</vt:lpstr>
      <vt:lpstr>'(2013-14b)'!Print_Area</vt:lpstr>
      <vt:lpstr>'(2013-14c)'!Print_Area</vt:lpstr>
      <vt:lpstr>'(2013-14d)'!Print_Area</vt:lpstr>
      <vt:lpstr>'(2014-15a)'!Print_Area</vt:lpstr>
      <vt:lpstr>'(2014-15b)'!Print_Area</vt:lpstr>
      <vt:lpstr>'(2014-15c)'!Print_Area</vt:lpstr>
      <vt:lpstr>'(2014-15d)'!Print_Area</vt:lpstr>
      <vt:lpstr>'(2015-16a)'!Print_Area</vt:lpstr>
      <vt:lpstr>'(2015-16b)'!Print_Area</vt:lpstr>
      <vt:lpstr>'(2015-16c)'!Print_Area</vt:lpstr>
      <vt:lpstr>'(2015-16d)'!Print_Area</vt:lpstr>
      <vt:lpstr>'(2016-17a)'!Print_Area</vt:lpstr>
      <vt:lpstr>'(2016-17b)'!Print_Area</vt:lpstr>
      <vt:lpstr>'(2016-17c)'!Print_Area</vt:lpstr>
      <vt:lpstr>'(2016-17d)'!Print_Area</vt:lpstr>
      <vt:lpstr>'(2017-18a)'!Print_Area</vt:lpstr>
      <vt:lpstr>'(2017-18b)'!Print_Area</vt:lpstr>
      <vt:lpstr>'(2017-18c)'!Print_Area</vt:lpstr>
      <vt:lpstr>'(2017-18d)'!Print_Area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FIRE0508: Injuries sustained by firefighters and firefighter fatalities, by fire and rescue authority</dc:title>
  <dc:creator/>
  <cp:keywords>data tables, firefighters, injuries, fatalities, 2019</cp:keywords>
  <cp:lastModifiedBy/>
  <dcterms:created xsi:type="dcterms:W3CDTF">2019-10-29T10:45:55Z</dcterms:created>
  <dcterms:modified xsi:type="dcterms:W3CDTF">2019-10-29T11:20:21Z</dcterms:modified>
</cp:coreProperties>
</file>