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codeName="ThisWorkbook"/>
  <xr:revisionPtr revIDLastSave="0" documentId="13_ncr:1_{EC866ED3-126C-475A-91E0-D9C77EBDFBF7}" xr6:coauthVersionLast="45" xr6:coauthVersionMax="45" xr10:uidLastSave="{00000000-0000-0000-0000-000000000000}"/>
  <workbookProtection workbookAlgorithmName="SHA-512" workbookHashValue="71xqsZaogTleDW91EqA8u1ohkjSe0T3Eo5Q7k+Ruo6YjW+IByqR3fZatWtw657D4VEciam2j5SWrxxwoUFqqpg==" workbookSaltValue="2sASU1JmyNL+HmwHDnP6yw==" workbookSpinCount="100000" lockStructure="1"/>
  <bookViews>
    <workbookView xWindow="372" yWindow="0" windowWidth="20220" windowHeight="12252" tabRatio="712" firstSheet="11" activeTab="11" xr2:uid="{00000000-000D-0000-FFFF-FFFF00000000}"/>
  </bookViews>
  <sheets>
    <sheet name="(2009-10)" sheetId="7" state="hidden" r:id="rId1"/>
    <sheet name="(2010-11)" sheetId="5" state="hidden" r:id="rId2"/>
    <sheet name="(2011-12)" sheetId="8" state="hidden" r:id="rId3"/>
    <sheet name="(2012-13)" sheetId="10" state="hidden" r:id="rId4"/>
    <sheet name="(2013-14)" sheetId="6" state="hidden" r:id="rId5"/>
    <sheet name="(2014-15)" sheetId="4" state="hidden" r:id="rId6"/>
    <sheet name="(2015-16)" sheetId="3" state="hidden" r:id="rId7"/>
    <sheet name="(2016-17)" sheetId="12" state="hidden" r:id="rId8"/>
    <sheet name="(2017-18)" sheetId="15" state="hidden" r:id="rId9"/>
    <sheet name="(2018-19)" sheetId="19" state="hidden" r:id="rId10"/>
    <sheet name="macro" sheetId="18" state="hidden" r:id="rId11"/>
    <sheet name="Cover_sheet" sheetId="21" r:id="rId12"/>
    <sheet name="Contents" sheetId="23" r:id="rId13"/>
    <sheet name="raw" sheetId="17" state="hidden" r:id="rId14"/>
    <sheet name="(2019-20)" sheetId="20" state="hidden" r:id="rId15"/>
    <sheet name="(2020-21)" sheetId="24" state="hidden" r:id="rId16"/>
    <sheet name="FIRE1110 raw" sheetId="1" state="hidden" r:id="rId17"/>
    <sheet name="FIRE1110" sheetId="11" r:id="rId18"/>
    <sheet name="stats release" sheetId="13" state="hidden" r:id="rId19"/>
  </sheets>
  <definedNames>
    <definedName name="_xlnm._FilterDatabase" localSheetId="0" hidden="1">'(2009-10)'!$C$2:$F$51</definedName>
    <definedName name="_xlnm._FilterDatabase" localSheetId="1" hidden="1">'(2010-11)'!$C$2:$F$50</definedName>
    <definedName name="_xlnm._FilterDatabase" localSheetId="2" hidden="1">'(2011-12)'!$C$2:$F$50</definedName>
    <definedName name="_xlnm._FilterDatabase" localSheetId="4" hidden="1">'(2013-14)'!$C$2:$F$50</definedName>
    <definedName name="_xlnm._FilterDatabase" localSheetId="5" hidden="1">'(2014-15)'!$C$2:$F$50</definedName>
    <definedName name="_xlnm._FilterDatabase" localSheetId="13" hidden="1">raw!$A$1:$D$553</definedName>
    <definedName name="_xlnm.Print_Area" localSheetId="0">'(2009-10)'!$B$1:$F$60</definedName>
    <definedName name="_xlnm.Print_Area" localSheetId="1">'(2010-11)'!$B$1:$G$55</definedName>
    <definedName name="_xlnm.Print_Area" localSheetId="2">'(2011-12)'!$B$1:$G$56</definedName>
    <definedName name="_xlnm.Print_Area" localSheetId="4">'(2013-14)'!$B$1:$G$55</definedName>
    <definedName name="_xlnm.Print_Area" localSheetId="5">'(2014-15)'!$B$1:$G$55</definedName>
    <definedName name="_xlnm.Print_Area" localSheetId="12">Contents!$A$1:$D$6</definedName>
    <definedName name="qrychiefrepspecservrtaother" localSheetId="0">#REF!</definedName>
    <definedName name="qrychiefrepspecservrtaother" localSheetId="1">#REF!</definedName>
    <definedName name="qrychiefrepspecservrtaother" localSheetId="2">#REF!</definedName>
    <definedName name="qrychiefrepspecservrtaother" localSheetId="4">#REF!</definedName>
    <definedName name="qrychiefrepspecservrtaother" localSheetId="5">#REF!</definedName>
    <definedName name="qrychiefrepspecservrtaother" localSheetId="8">#REF!</definedName>
    <definedName name="qrychiefrepspecservrtaother" localSheetId="14">#REF!</definedName>
    <definedName name="qrychiefrepspecservrtaother" localSheetId="15">#REF!</definedName>
    <definedName name="qrychiefrepsuccretireresig" localSheetId="0">#REF!</definedName>
    <definedName name="qrychiefrepsuccretireresig" localSheetId="1">#REF!</definedName>
    <definedName name="qrychiefrepsuccretireresig" localSheetId="2">#REF!</definedName>
    <definedName name="qrychiefrepsuccretireresig" localSheetId="4">#REF!</definedName>
    <definedName name="qrychiefrepsuccretireresig" localSheetId="5">#REF!</definedName>
    <definedName name="qrychiefrepsuccretireresig" localSheetId="8">#REF!</definedName>
    <definedName name="qrychiefrepsuccretireresig" localSheetId="14">#REF!</definedName>
    <definedName name="qrychiefrepsuccretireresig" localSheetId="15">#REF!</definedName>
    <definedName name="qrychiefrepwteststr" localSheetId="0">'(2009-10)'!$B$2:$B$41</definedName>
    <definedName name="qrychiefrepwteststr" localSheetId="1">'(2010-11)'!$B$2:$D$41</definedName>
    <definedName name="qrychiefrepwteststr" localSheetId="2">'(2011-12)'!$B$2:$D$41</definedName>
    <definedName name="qrychiefrepwteststr" localSheetId="4">'(2013-14)'!$B$2:$D$41</definedName>
    <definedName name="qrychiefrepwteststr" localSheetId="5">'(2014-15)'!$B$2:$D$41</definedName>
    <definedName name="qrychiefrepwteststr" localSheetId="8">#REF!</definedName>
    <definedName name="qrychiefrepwteststr" localSheetId="14">#REF!</definedName>
    <definedName name="qrychiefrepwteststr" localSheetId="15">#REF!</definedName>
    <definedName name="qrychiefrepwtgeneth" localSheetId="0">#REF!</definedName>
    <definedName name="qrychiefrepwtgeneth" localSheetId="1">#REF!</definedName>
    <definedName name="qrychiefrepwtgeneth" localSheetId="2">#REF!</definedName>
    <definedName name="qrychiefrepwtgeneth" localSheetId="4">#REF!</definedName>
    <definedName name="qrychiefrepwtgeneth" localSheetId="5">#REF!</definedName>
    <definedName name="qrychiefrepwtgeneth" localSheetId="8">#REF!</definedName>
    <definedName name="qrychiefrepwtgeneth" localSheetId="14">#REF!</definedName>
    <definedName name="qrychiefrepwtgeneth" localSheetId="15">#REF!</definedName>
    <definedName name="qryffinjuries9900" localSheetId="0">#REF!</definedName>
    <definedName name="qryffinjuries9900" localSheetId="1">#REF!</definedName>
    <definedName name="qryffinjuries9900" localSheetId="2">#REF!</definedName>
    <definedName name="qryffinjuries9900" localSheetId="4">#REF!</definedName>
    <definedName name="qryffinjuries9900" localSheetId="5">#REF!</definedName>
    <definedName name="qryffinjuries9900" localSheetId="8">#REF!</definedName>
    <definedName name="qryffinjuries9900" localSheetId="14">#REF!</definedName>
    <definedName name="qryffinjuries9900" localSheetId="15">#REF!</definedName>
    <definedName name="qryPI15" localSheetId="0">#REF!</definedName>
    <definedName name="qryPI15" localSheetId="1">#REF!</definedName>
    <definedName name="qryPI15" localSheetId="2">#REF!</definedName>
    <definedName name="qryPI15" localSheetId="4">#REF!</definedName>
    <definedName name="qryPI15" localSheetId="5">#REF!</definedName>
    <definedName name="qryPI15" localSheetId="8">#REF!</definedName>
    <definedName name="qryPI15" localSheetId="14">#REF!</definedName>
    <definedName name="qryPI15" localSheetId="15">#REF!</definedName>
    <definedName name="qryPI16" localSheetId="0">#REF!</definedName>
    <definedName name="qryPI16" localSheetId="1">#REF!</definedName>
    <definedName name="qryPI16" localSheetId="2">#REF!</definedName>
    <definedName name="qryPI16" localSheetId="4">#REF!</definedName>
    <definedName name="qryPI16" localSheetId="5">#REF!</definedName>
    <definedName name="qryPI16" localSheetId="8">#REF!</definedName>
    <definedName name="qryPI16" localSheetId="14">#REF!</definedName>
    <definedName name="qryPI16" localSheetId="15">#REF!</definedName>
    <definedName name="qryPIBV145a" localSheetId="0">#REF!</definedName>
    <definedName name="qryPIBV145a" localSheetId="1">#REF!</definedName>
    <definedName name="qryPIBV145a" localSheetId="2">#REF!</definedName>
    <definedName name="qryPIBV145a" localSheetId="4">#REF!</definedName>
    <definedName name="qryPIBV145a" localSheetId="5">#REF!</definedName>
    <definedName name="qryPIBV145a" localSheetId="8">#REF!</definedName>
    <definedName name="qryPIBV145a" localSheetId="14">#REF!</definedName>
    <definedName name="qryPIBV145a" localSheetId="15">#REF!</definedName>
    <definedName name="qryPIBV145b" localSheetId="0">#REF!</definedName>
    <definedName name="qryPIBV145b" localSheetId="1">#REF!</definedName>
    <definedName name="qryPIBV145b" localSheetId="2">#REF!</definedName>
    <definedName name="qryPIBV145b" localSheetId="4">#REF!</definedName>
    <definedName name="qryPIBV145b" localSheetId="5">#REF!</definedName>
    <definedName name="qryPIBV145b" localSheetId="8">#REF!</definedName>
    <definedName name="qryPIBV145b" localSheetId="14">#REF!</definedName>
    <definedName name="qryPIBV145b" localSheetId="15">#REF!</definedName>
    <definedName name="qryPIBV145c" localSheetId="0">#REF!</definedName>
    <definedName name="qryPIBV145c" localSheetId="1">#REF!</definedName>
    <definedName name="qryPIBV145c" localSheetId="2">#REF!</definedName>
    <definedName name="qryPIBV145c" localSheetId="4">#REF!</definedName>
    <definedName name="qryPIBV145c" localSheetId="5">#REF!</definedName>
    <definedName name="qryPIBV145c" localSheetId="8">#REF!</definedName>
    <definedName name="qryPIBV145c" localSheetId="14">#REF!</definedName>
    <definedName name="qryPIBV145c" localSheetId="15">#REF!</definedName>
    <definedName name="qryPIBV15i" localSheetId="0">#REF!</definedName>
    <definedName name="qryPIBV15i" localSheetId="1">#REF!</definedName>
    <definedName name="qryPIBV15i" localSheetId="2">#REF!</definedName>
    <definedName name="qryPIBV15i" localSheetId="4">#REF!</definedName>
    <definedName name="qryPIBV15i" localSheetId="5">#REF!</definedName>
    <definedName name="qryPIBV15i" localSheetId="8">#REF!</definedName>
    <definedName name="qryPIBV15i" localSheetId="14">#REF!</definedName>
    <definedName name="qryPIBV15i" localSheetId="15">#REF!</definedName>
    <definedName name="qryPIBV15ii" localSheetId="0">#REF!</definedName>
    <definedName name="qryPIBV15ii" localSheetId="1">#REF!</definedName>
    <definedName name="qryPIBV15ii" localSheetId="2">#REF!</definedName>
    <definedName name="qryPIBV15ii" localSheetId="4">#REF!</definedName>
    <definedName name="qryPIBV15ii" localSheetId="5">#REF!</definedName>
    <definedName name="qryPIBV15ii" localSheetId="8">#REF!</definedName>
    <definedName name="qryPIBV15ii" localSheetId="14">#REF!</definedName>
    <definedName name="qryPIBV15ii" localSheetId="15">#REF!</definedName>
    <definedName name="qryPIctsickness" localSheetId="0">#REF!</definedName>
    <definedName name="qryPIctsickness" localSheetId="1">#REF!</definedName>
    <definedName name="qryPIctsickness" localSheetId="2">#REF!</definedName>
    <definedName name="qryPIctsickness" localSheetId="4">#REF!</definedName>
    <definedName name="qryPIctsickness" localSheetId="5">#REF!</definedName>
    <definedName name="qryPIctsickness" localSheetId="8">#REF!</definedName>
    <definedName name="qryPIctsickness" localSheetId="14">#REF!</definedName>
    <definedName name="qryPIctsickness" localSheetId="15">#REF!</definedName>
    <definedName name="qryPIriderfactleave" localSheetId="0">#REF!</definedName>
    <definedName name="qryPIriderfactleave" localSheetId="1">#REF!</definedName>
    <definedName name="qryPIriderfactleave" localSheetId="2">#REF!</definedName>
    <definedName name="qryPIriderfactleave" localSheetId="4">#REF!</definedName>
    <definedName name="qryPIriderfactleave" localSheetId="5">#REF!</definedName>
    <definedName name="qryPIriderfactleave" localSheetId="8">#REF!</definedName>
    <definedName name="qryPIriderfactleave" localSheetId="14">#REF!</definedName>
    <definedName name="qryPIriderfactleave" localSheetId="15">#REF!</definedName>
    <definedName name="qryPIriderfactsick" localSheetId="0">#REF!</definedName>
    <definedName name="qryPIriderfactsick" localSheetId="1">#REF!</definedName>
    <definedName name="qryPIriderfactsick" localSheetId="2">#REF!</definedName>
    <definedName name="qryPIriderfactsick" localSheetId="4">#REF!</definedName>
    <definedName name="qryPIriderfactsick" localSheetId="5">#REF!</definedName>
    <definedName name="qryPIriderfactsick" localSheetId="8">#REF!</definedName>
    <definedName name="qryPIriderfactsick" localSheetId="14">#REF!</definedName>
    <definedName name="qryPIriderfactsick" localSheetId="15">#REF!</definedName>
    <definedName name="Query1" localSheetId="0">#REF!</definedName>
    <definedName name="Query1" localSheetId="1">#REF!</definedName>
    <definedName name="Query1" localSheetId="2">#REF!</definedName>
    <definedName name="Query1" localSheetId="4">#REF!</definedName>
    <definedName name="Query1" localSheetId="5">#REF!</definedName>
    <definedName name="Query1" localSheetId="8">#REF!</definedName>
    <definedName name="Query1" localSheetId="14">#REF!</definedName>
    <definedName name="Query1" localSheetId="1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1" i="24" l="1" a="1"/>
  <c r="F51" i="24" s="1"/>
  <c r="E51" i="24" a="1"/>
  <c r="E51" i="24" s="1"/>
  <c r="D51" i="24" a="1"/>
  <c r="D51" i="24" s="1"/>
  <c r="C51" i="24" a="1"/>
  <c r="C51" i="24" s="1"/>
  <c r="F50" i="24" a="1"/>
  <c r="F50" i="24" s="1"/>
  <c r="E50" i="24" a="1"/>
  <c r="E50" i="24" s="1"/>
  <c r="D50" i="24" a="1"/>
  <c r="D50" i="24" s="1"/>
  <c r="C50" i="24" a="1"/>
  <c r="C50" i="24" s="1"/>
  <c r="F49" i="24" a="1"/>
  <c r="F49" i="24" s="1"/>
  <c r="E49" i="24" a="1"/>
  <c r="E49" i="24" s="1"/>
  <c r="D49" i="24" a="1"/>
  <c r="D49" i="24" s="1"/>
  <c r="C49" i="24" a="1"/>
  <c r="C49" i="24" s="1"/>
  <c r="F48" i="24" a="1"/>
  <c r="F48" i="24" s="1"/>
  <c r="E48" i="24" a="1"/>
  <c r="E48" i="24" s="1"/>
  <c r="D48" i="24" a="1"/>
  <c r="D48" i="24" s="1"/>
  <c r="C48" i="24" a="1"/>
  <c r="C48" i="24" s="1"/>
  <c r="F47" i="24" a="1"/>
  <c r="F47" i="24" s="1"/>
  <c r="E47" i="24" a="1"/>
  <c r="E47" i="24" s="1"/>
  <c r="D47" i="24" a="1"/>
  <c r="D47" i="24" s="1"/>
  <c r="C47" i="24" a="1"/>
  <c r="C47" i="24" s="1"/>
  <c r="F46" i="24" a="1"/>
  <c r="F46" i="24" s="1"/>
  <c r="E46" i="24" a="1"/>
  <c r="E46" i="24" s="1"/>
  <c r="D46" i="24" a="1"/>
  <c r="D46" i="24" s="1"/>
  <c r="C46" i="24" a="1"/>
  <c r="C46" i="24" s="1"/>
  <c r="F45" i="24" a="1"/>
  <c r="F45" i="24" s="1"/>
  <c r="E45" i="24" a="1"/>
  <c r="E45" i="24" s="1"/>
  <c r="D45" i="24" a="1"/>
  <c r="D45" i="24" s="1"/>
  <c r="C45" i="24" a="1"/>
  <c r="C45" i="24" s="1"/>
  <c r="F43" i="24" a="1"/>
  <c r="F43" i="24" s="1"/>
  <c r="E43" i="24" a="1"/>
  <c r="E43" i="24" s="1"/>
  <c r="D43" i="24" a="1"/>
  <c r="D43" i="24" s="1"/>
  <c r="C43" i="24" a="1"/>
  <c r="C43" i="24" s="1"/>
  <c r="F42" i="24" a="1"/>
  <c r="F42" i="24" s="1"/>
  <c r="E42" i="24" a="1"/>
  <c r="E42" i="24" s="1"/>
  <c r="D42" i="24" a="1"/>
  <c r="D42" i="24" s="1"/>
  <c r="C42" i="24" a="1"/>
  <c r="C42" i="24" s="1"/>
  <c r="F41" i="24" a="1"/>
  <c r="F41" i="24" s="1"/>
  <c r="E41" i="24" a="1"/>
  <c r="E41" i="24" s="1"/>
  <c r="D41" i="24" a="1"/>
  <c r="D41" i="24" s="1"/>
  <c r="C41" i="24" a="1"/>
  <c r="C41" i="24" s="1"/>
  <c r="F40" i="24" a="1"/>
  <c r="F40" i="24" s="1"/>
  <c r="E40" i="24" a="1"/>
  <c r="E40" i="24" s="1"/>
  <c r="D40" i="24" a="1"/>
  <c r="D40" i="24" s="1"/>
  <c r="C40" i="24" a="1"/>
  <c r="C40" i="24" s="1"/>
  <c r="F39" i="24" a="1"/>
  <c r="F39" i="24" s="1"/>
  <c r="E39" i="24" a="1"/>
  <c r="E39" i="24" s="1"/>
  <c r="D39" i="24" a="1"/>
  <c r="D39" i="24" s="1"/>
  <c r="C39" i="24" a="1"/>
  <c r="C39" i="24" s="1"/>
  <c r="F38" i="24" a="1"/>
  <c r="F38" i="24" s="1"/>
  <c r="E38" i="24" a="1"/>
  <c r="E38" i="24" s="1"/>
  <c r="D38" i="24" a="1"/>
  <c r="D38" i="24" s="1"/>
  <c r="C38" i="24" a="1"/>
  <c r="C38" i="24" s="1"/>
  <c r="F37" i="24" a="1"/>
  <c r="F37" i="24" s="1"/>
  <c r="E37" i="24" a="1"/>
  <c r="E37" i="24" s="1"/>
  <c r="D37" i="24" a="1"/>
  <c r="D37" i="24" s="1"/>
  <c r="C37" i="24" a="1"/>
  <c r="C37" i="24" s="1"/>
  <c r="F36" i="24" a="1"/>
  <c r="F36" i="24" s="1"/>
  <c r="E36" i="24" a="1"/>
  <c r="E36" i="24" s="1"/>
  <c r="D36" i="24" a="1"/>
  <c r="D36" i="24" s="1"/>
  <c r="C36" i="24" a="1"/>
  <c r="C36" i="24" s="1"/>
  <c r="F35" i="24" a="1"/>
  <c r="F35" i="24" s="1"/>
  <c r="E35" i="24" a="1"/>
  <c r="E35" i="24" s="1"/>
  <c r="D35" i="24" a="1"/>
  <c r="D35" i="24" s="1"/>
  <c r="C35" i="24" a="1"/>
  <c r="C35" i="24" s="1"/>
  <c r="F34" i="24" a="1"/>
  <c r="F34" i="24" s="1"/>
  <c r="E34" i="24" a="1"/>
  <c r="E34" i="24" s="1"/>
  <c r="D34" i="24" a="1"/>
  <c r="D34" i="24" s="1"/>
  <c r="C34" i="24" a="1"/>
  <c r="C34" i="24" s="1"/>
  <c r="F33" i="24" a="1"/>
  <c r="F33" i="24" s="1"/>
  <c r="E33" i="24" a="1"/>
  <c r="E33" i="24" s="1"/>
  <c r="D33" i="24" a="1"/>
  <c r="D33" i="24" s="1"/>
  <c r="C33" i="24" a="1"/>
  <c r="C33" i="24" s="1"/>
  <c r="F32" i="24" a="1"/>
  <c r="F32" i="24" s="1"/>
  <c r="E32" i="24" a="1"/>
  <c r="E32" i="24" s="1"/>
  <c r="D32" i="24" a="1"/>
  <c r="D32" i="24" s="1"/>
  <c r="C32" i="24" a="1"/>
  <c r="C32" i="24" s="1"/>
  <c r="F31" i="24" a="1"/>
  <c r="F31" i="24" s="1"/>
  <c r="E31" i="24" a="1"/>
  <c r="E31" i="24" s="1"/>
  <c r="D31" i="24" a="1"/>
  <c r="D31" i="24" s="1"/>
  <c r="C31" i="24" a="1"/>
  <c r="C31" i="24" s="1"/>
  <c r="F30" i="24" a="1"/>
  <c r="F30" i="24" s="1"/>
  <c r="E30" i="24" a="1"/>
  <c r="E30" i="24" s="1"/>
  <c r="D30" i="24" a="1"/>
  <c r="D30" i="24" s="1"/>
  <c r="C30" i="24" a="1"/>
  <c r="C30" i="24" s="1"/>
  <c r="F29" i="24" a="1"/>
  <c r="F29" i="24" s="1"/>
  <c r="E29" i="24" a="1"/>
  <c r="E29" i="24" s="1"/>
  <c r="D29" i="24" a="1"/>
  <c r="D29" i="24" s="1"/>
  <c r="C29" i="24" a="1"/>
  <c r="C29" i="24" s="1"/>
  <c r="F28" i="24" a="1"/>
  <c r="F28" i="24" s="1"/>
  <c r="E28" i="24" a="1"/>
  <c r="E28" i="24" s="1"/>
  <c r="D28" i="24" a="1"/>
  <c r="D28" i="24" s="1"/>
  <c r="C28" i="24" a="1"/>
  <c r="C28" i="24" s="1"/>
  <c r="F27" i="24" a="1"/>
  <c r="F27" i="24" s="1"/>
  <c r="E27" i="24" a="1"/>
  <c r="E27" i="24" s="1"/>
  <c r="D27" i="24" a="1"/>
  <c r="D27" i="24" s="1"/>
  <c r="C27" i="24" a="1"/>
  <c r="C27" i="24" s="1"/>
  <c r="F26" i="24" a="1"/>
  <c r="F26" i="24" s="1"/>
  <c r="E26" i="24" a="1"/>
  <c r="E26" i="24" s="1"/>
  <c r="D26" i="24" a="1"/>
  <c r="D26" i="24" s="1"/>
  <c r="C26" i="24" a="1"/>
  <c r="C26" i="24" s="1"/>
  <c r="F25" i="24" a="1"/>
  <c r="F25" i="24" s="1"/>
  <c r="E25" i="24" a="1"/>
  <c r="E25" i="24" s="1"/>
  <c r="D25" i="24" a="1"/>
  <c r="D25" i="24" s="1"/>
  <c r="C25" i="24" a="1"/>
  <c r="C25" i="24" s="1"/>
  <c r="F24" i="24" a="1"/>
  <c r="F24" i="24" s="1"/>
  <c r="E24" i="24" a="1"/>
  <c r="E24" i="24" s="1"/>
  <c r="D24" i="24" a="1"/>
  <c r="D24" i="24" s="1"/>
  <c r="C24" i="24" a="1"/>
  <c r="C24" i="24" s="1"/>
  <c r="F23" i="24" a="1"/>
  <c r="F23" i="24" s="1"/>
  <c r="E23" i="24" a="1"/>
  <c r="E23" i="24" s="1"/>
  <c r="D23" i="24" a="1"/>
  <c r="D23" i="24" s="1"/>
  <c r="C23" i="24" a="1"/>
  <c r="C23" i="24" s="1"/>
  <c r="F22" i="24" a="1"/>
  <c r="F22" i="24" s="1"/>
  <c r="E22" i="24" a="1"/>
  <c r="E22" i="24" s="1"/>
  <c r="D22" i="24" a="1"/>
  <c r="D22" i="24" s="1"/>
  <c r="C22" i="24" a="1"/>
  <c r="C22" i="24" s="1"/>
  <c r="F21" i="24" a="1"/>
  <c r="F21" i="24" s="1"/>
  <c r="E21" i="24" a="1"/>
  <c r="E21" i="24" s="1"/>
  <c r="D21" i="24" a="1"/>
  <c r="D21" i="24" s="1"/>
  <c r="C21" i="24" a="1"/>
  <c r="C21" i="24" s="1"/>
  <c r="F20" i="24" a="1"/>
  <c r="F20" i="24" s="1"/>
  <c r="E20" i="24" a="1"/>
  <c r="E20" i="24" s="1"/>
  <c r="D20" i="24" a="1"/>
  <c r="D20" i="24" s="1"/>
  <c r="C20" i="24" a="1"/>
  <c r="C20" i="24" s="1"/>
  <c r="F19" i="24" a="1"/>
  <c r="F19" i="24" s="1"/>
  <c r="E19" i="24" a="1"/>
  <c r="E19" i="24" s="1"/>
  <c r="D19" i="24" a="1"/>
  <c r="D19" i="24" s="1"/>
  <c r="C19" i="24" a="1"/>
  <c r="C19" i="24" s="1"/>
  <c r="F18" i="24" a="1"/>
  <c r="F18" i="24" s="1"/>
  <c r="E18" i="24" a="1"/>
  <c r="E18" i="24" s="1"/>
  <c r="D18" i="24" a="1"/>
  <c r="D18" i="24" s="1"/>
  <c r="C18" i="24" a="1"/>
  <c r="C18" i="24" s="1"/>
  <c r="F17" i="24" a="1"/>
  <c r="F17" i="24" s="1"/>
  <c r="E17" i="24" a="1"/>
  <c r="E17" i="24" s="1"/>
  <c r="D17" i="24" a="1"/>
  <c r="D17" i="24" s="1"/>
  <c r="C17" i="24" a="1"/>
  <c r="C17" i="24" s="1"/>
  <c r="F16" i="24" a="1"/>
  <c r="F16" i="24" s="1"/>
  <c r="E16" i="24" a="1"/>
  <c r="E16" i="24" s="1"/>
  <c r="D16" i="24" a="1"/>
  <c r="D16" i="24" s="1"/>
  <c r="C16" i="24" a="1"/>
  <c r="C16" i="24" s="1"/>
  <c r="F15" i="24" a="1"/>
  <c r="F15" i="24" s="1"/>
  <c r="E15" i="24" a="1"/>
  <c r="E15" i="24" s="1"/>
  <c r="D15" i="24" a="1"/>
  <c r="D15" i="24" s="1"/>
  <c r="C15" i="24" a="1"/>
  <c r="C15" i="24" s="1"/>
  <c r="F14" i="24" a="1"/>
  <c r="F14" i="24" s="1"/>
  <c r="E14" i="24" a="1"/>
  <c r="E14" i="24" s="1"/>
  <c r="D14" i="24" a="1"/>
  <c r="D14" i="24" s="1"/>
  <c r="C14" i="24" a="1"/>
  <c r="C14" i="24" s="1"/>
  <c r="F13" i="24" a="1"/>
  <c r="F13" i="24" s="1"/>
  <c r="E13" i="24" a="1"/>
  <c r="E13" i="24" s="1"/>
  <c r="D13" i="24" a="1"/>
  <c r="D13" i="24" s="1"/>
  <c r="C13" i="24" a="1"/>
  <c r="C13" i="24" s="1"/>
  <c r="F12" i="24" a="1"/>
  <c r="F12" i="24" s="1"/>
  <c r="E12" i="24" a="1"/>
  <c r="E12" i="24" s="1"/>
  <c r="D12" i="24" a="1"/>
  <c r="D12" i="24" s="1"/>
  <c r="C12" i="24" a="1"/>
  <c r="C12" i="24" s="1"/>
  <c r="F11" i="24" a="1"/>
  <c r="F11" i="24" s="1"/>
  <c r="E11" i="24" a="1"/>
  <c r="E11" i="24" s="1"/>
  <c r="D11" i="24" a="1"/>
  <c r="D11" i="24" s="1"/>
  <c r="C11" i="24" a="1"/>
  <c r="C11" i="24" s="1"/>
  <c r="G11" i="24" s="1"/>
  <c r="F10" i="24" a="1"/>
  <c r="F10" i="24" s="1"/>
  <c r="E10" i="24" a="1"/>
  <c r="E10" i="24" s="1"/>
  <c r="D10" i="24" a="1"/>
  <c r="D10" i="24" s="1"/>
  <c r="C10" i="24" a="1"/>
  <c r="C10" i="24" s="1"/>
  <c r="F9" i="24" a="1"/>
  <c r="F9" i="24" s="1"/>
  <c r="E9" i="24" a="1"/>
  <c r="E9" i="24" s="1"/>
  <c r="D9" i="24" a="1"/>
  <c r="D9" i="24" s="1"/>
  <c r="C9" i="24" a="1"/>
  <c r="C9" i="24" s="1"/>
  <c r="F8" i="24" a="1"/>
  <c r="F8" i="24" s="1"/>
  <c r="E8" i="24" a="1"/>
  <c r="E8" i="24" s="1"/>
  <c r="D8" i="24" a="1"/>
  <c r="D8" i="24" s="1"/>
  <c r="C8" i="24" a="1"/>
  <c r="C8" i="24" s="1"/>
  <c r="F7" i="24" a="1"/>
  <c r="F7" i="24" s="1"/>
  <c r="E7" i="24" a="1"/>
  <c r="E7" i="24" s="1"/>
  <c r="D7" i="24" a="1"/>
  <c r="D7" i="24" s="1"/>
  <c r="C7" i="24" a="1"/>
  <c r="C7" i="24" s="1"/>
  <c r="F6" i="24" a="1"/>
  <c r="F6" i="24" s="1"/>
  <c r="E6" i="24" a="1"/>
  <c r="E6" i="24" s="1"/>
  <c r="D6" i="24" a="1"/>
  <c r="D6" i="24" s="1"/>
  <c r="C6" i="24" a="1"/>
  <c r="C6" i="24" s="1"/>
  <c r="F5" i="24" a="1"/>
  <c r="F5" i="24" s="1"/>
  <c r="E5" i="24" a="1"/>
  <c r="E5" i="24" s="1"/>
  <c r="D5" i="24" a="1"/>
  <c r="D5" i="24" s="1"/>
  <c r="C5" i="24" a="1"/>
  <c r="C5" i="24" s="1"/>
  <c r="G48" i="24" l="1"/>
  <c r="G50" i="24"/>
  <c r="D4" i="24"/>
  <c r="E4" i="24"/>
  <c r="F4" i="24"/>
  <c r="G10" i="24"/>
  <c r="G12" i="24"/>
  <c r="G16" i="24"/>
  <c r="G18" i="24"/>
  <c r="G20" i="24"/>
  <c r="G24" i="24"/>
  <c r="E44" i="24"/>
  <c r="F44" i="24"/>
  <c r="F3" i="24" s="1"/>
  <c r="G46" i="24"/>
  <c r="G26" i="24"/>
  <c r="G28" i="24"/>
  <c r="G32" i="24"/>
  <c r="G34" i="24"/>
  <c r="G36" i="24"/>
  <c r="G40" i="24"/>
  <c r="G42" i="24"/>
  <c r="D44" i="24"/>
  <c r="C44" i="24"/>
  <c r="G8" i="24"/>
  <c r="G6" i="24"/>
  <c r="G14" i="24"/>
  <c r="G22" i="24"/>
  <c r="G30" i="24"/>
  <c r="G38" i="24"/>
  <c r="G47" i="24"/>
  <c r="G49" i="24"/>
  <c r="G51" i="24"/>
  <c r="G5" i="24"/>
  <c r="G7" i="24"/>
  <c r="G9" i="24"/>
  <c r="G13" i="24"/>
  <c r="G15" i="24"/>
  <c r="G17" i="24"/>
  <c r="G21" i="24"/>
  <c r="G23" i="24"/>
  <c r="G25" i="24"/>
  <c r="G27" i="24"/>
  <c r="G29" i="24"/>
  <c r="G31" i="24"/>
  <c r="G33" i="24"/>
  <c r="G35" i="24"/>
  <c r="G37" i="24"/>
  <c r="G39" i="24"/>
  <c r="G41" i="24"/>
  <c r="G43" i="24"/>
  <c r="G19" i="24"/>
  <c r="G45" i="24"/>
  <c r="C4" i="24"/>
  <c r="F51" i="20"/>
  <c r="E51" i="20"/>
  <c r="D51" i="20"/>
  <c r="C51" i="20"/>
  <c r="F50" i="20"/>
  <c r="E50" i="20"/>
  <c r="D50" i="20"/>
  <c r="C50" i="20"/>
  <c r="F49" i="20"/>
  <c r="E49" i="20"/>
  <c r="D49" i="20"/>
  <c r="C49" i="20"/>
  <c r="F48" i="20"/>
  <c r="E48" i="20"/>
  <c r="D48" i="20"/>
  <c r="C48" i="20"/>
  <c r="F47" i="20"/>
  <c r="E47" i="20"/>
  <c r="D47" i="20"/>
  <c r="C47" i="20"/>
  <c r="F46" i="20"/>
  <c r="E46" i="20"/>
  <c r="D46" i="20"/>
  <c r="C46" i="20"/>
  <c r="F45" i="20"/>
  <c r="E45" i="20"/>
  <c r="D45" i="20"/>
  <c r="C45" i="20"/>
  <c r="F43" i="20"/>
  <c r="E43" i="20"/>
  <c r="D43" i="20"/>
  <c r="C43" i="20"/>
  <c r="F42" i="20"/>
  <c r="E42" i="20"/>
  <c r="D42" i="20"/>
  <c r="C42" i="20"/>
  <c r="F41" i="20"/>
  <c r="E41" i="20"/>
  <c r="D41" i="20"/>
  <c r="C41" i="20"/>
  <c r="F40" i="20"/>
  <c r="E40" i="20"/>
  <c r="D40" i="20"/>
  <c r="C40" i="20"/>
  <c r="F39" i="20"/>
  <c r="E39" i="20"/>
  <c r="D39" i="20"/>
  <c r="C39" i="20"/>
  <c r="F38" i="20"/>
  <c r="E38" i="20"/>
  <c r="D38" i="20"/>
  <c r="C38" i="20"/>
  <c r="F37" i="20"/>
  <c r="E37" i="20"/>
  <c r="D37" i="20"/>
  <c r="C37" i="20"/>
  <c r="F36" i="20"/>
  <c r="E36" i="20"/>
  <c r="D36" i="20"/>
  <c r="C36" i="20"/>
  <c r="F35" i="20"/>
  <c r="E35" i="20"/>
  <c r="D35" i="20"/>
  <c r="C35" i="20"/>
  <c r="F34" i="20"/>
  <c r="E34" i="20"/>
  <c r="D34" i="20"/>
  <c r="C34" i="20"/>
  <c r="F33" i="20"/>
  <c r="E33" i="20"/>
  <c r="D33" i="20"/>
  <c r="C33" i="20"/>
  <c r="F32" i="20"/>
  <c r="E32" i="20"/>
  <c r="D32" i="20"/>
  <c r="C32" i="20"/>
  <c r="F31" i="20"/>
  <c r="E31" i="20"/>
  <c r="D31" i="20"/>
  <c r="C31" i="20"/>
  <c r="F30" i="20"/>
  <c r="E30" i="20"/>
  <c r="D30" i="20"/>
  <c r="C30" i="20"/>
  <c r="F29" i="20"/>
  <c r="E29" i="20"/>
  <c r="D29" i="20"/>
  <c r="C29" i="20"/>
  <c r="F28" i="20"/>
  <c r="E28" i="20"/>
  <c r="D28" i="20"/>
  <c r="C28" i="20"/>
  <c r="F27" i="20"/>
  <c r="E27" i="20"/>
  <c r="D27" i="20"/>
  <c r="C27" i="20"/>
  <c r="F26" i="20"/>
  <c r="E26" i="20"/>
  <c r="D26" i="20"/>
  <c r="C26" i="20"/>
  <c r="F25" i="20"/>
  <c r="E25" i="20"/>
  <c r="D25" i="20"/>
  <c r="C25" i="20"/>
  <c r="F24" i="20"/>
  <c r="E24" i="20"/>
  <c r="D24" i="20"/>
  <c r="C24" i="20"/>
  <c r="F23" i="20"/>
  <c r="E23" i="20"/>
  <c r="D23" i="20"/>
  <c r="C23" i="20"/>
  <c r="F22" i="20"/>
  <c r="E22" i="20"/>
  <c r="D22" i="20"/>
  <c r="C22" i="20"/>
  <c r="F21" i="20"/>
  <c r="E21" i="20"/>
  <c r="D21" i="20"/>
  <c r="C21" i="20"/>
  <c r="F20" i="20"/>
  <c r="E20" i="20"/>
  <c r="D20" i="20"/>
  <c r="C20" i="20"/>
  <c r="F19" i="20"/>
  <c r="E19" i="20"/>
  <c r="D19" i="20"/>
  <c r="C19" i="20"/>
  <c r="F18" i="20"/>
  <c r="E18" i="20"/>
  <c r="D18" i="20"/>
  <c r="C18" i="20"/>
  <c r="F17" i="20"/>
  <c r="E17" i="20"/>
  <c r="D17" i="20"/>
  <c r="C17" i="20"/>
  <c r="F16" i="20"/>
  <c r="E16" i="20"/>
  <c r="D16" i="20"/>
  <c r="C16" i="20"/>
  <c r="F15" i="20"/>
  <c r="E15" i="20"/>
  <c r="D15" i="20"/>
  <c r="C15" i="20"/>
  <c r="F14" i="20"/>
  <c r="E14" i="20"/>
  <c r="D14" i="20"/>
  <c r="C14" i="20"/>
  <c r="F13" i="20"/>
  <c r="E13" i="20"/>
  <c r="D13" i="20"/>
  <c r="C13" i="20"/>
  <c r="F12" i="20"/>
  <c r="E12" i="20"/>
  <c r="D12" i="20"/>
  <c r="C12" i="20"/>
  <c r="F11" i="20"/>
  <c r="E11" i="20"/>
  <c r="D11" i="20"/>
  <c r="C11" i="20"/>
  <c r="F10" i="20"/>
  <c r="E10" i="20"/>
  <c r="D10" i="20"/>
  <c r="C10" i="20"/>
  <c r="F9" i="20"/>
  <c r="E9" i="20"/>
  <c r="D9" i="20"/>
  <c r="C9" i="20"/>
  <c r="F8" i="20"/>
  <c r="E8" i="20"/>
  <c r="D8" i="20"/>
  <c r="C8" i="20"/>
  <c r="F7" i="20"/>
  <c r="E7" i="20"/>
  <c r="D7" i="20"/>
  <c r="C7" i="20"/>
  <c r="F6" i="20"/>
  <c r="E6" i="20"/>
  <c r="D6" i="20"/>
  <c r="C6" i="20"/>
  <c r="F5" i="20"/>
  <c r="E5" i="20"/>
  <c r="D5" i="20"/>
  <c r="C5" i="20"/>
  <c r="E3" i="24" l="1"/>
  <c r="D3" i="24"/>
  <c r="G4" i="24"/>
  <c r="G44" i="24"/>
  <c r="C3" i="24"/>
  <c r="G51" i="20"/>
  <c r="C44" i="20"/>
  <c r="F44" i="20"/>
  <c r="G47" i="20"/>
  <c r="E44" i="20"/>
  <c r="D44" i="20"/>
  <c r="D4" i="20"/>
  <c r="F4" i="20"/>
  <c r="G45" i="20"/>
  <c r="G46" i="20"/>
  <c r="G48" i="20"/>
  <c r="G49" i="20"/>
  <c r="G50" i="20"/>
  <c r="C4" i="20"/>
  <c r="E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3" i="24" l="1"/>
  <c r="E3" i="20"/>
  <c r="D3" i="20"/>
  <c r="F3" i="20"/>
  <c r="G44" i="20"/>
  <c r="C3" i="20"/>
  <c r="G4" i="20"/>
  <c r="G3" i="20" l="1"/>
  <c r="D5" i="19"/>
  <c r="E5" i="19"/>
  <c r="F5" i="19"/>
  <c r="D6" i="19"/>
  <c r="E6" i="19"/>
  <c r="F6" i="19"/>
  <c r="D7" i="19"/>
  <c r="E7" i="19"/>
  <c r="F7" i="19"/>
  <c r="D8" i="19"/>
  <c r="E8" i="19"/>
  <c r="F8" i="19"/>
  <c r="D9" i="19"/>
  <c r="E9" i="19"/>
  <c r="F9" i="19"/>
  <c r="D10" i="19"/>
  <c r="E10" i="19"/>
  <c r="F10" i="19"/>
  <c r="D11" i="19"/>
  <c r="E11" i="19"/>
  <c r="F11" i="19"/>
  <c r="D12" i="19"/>
  <c r="E12" i="19"/>
  <c r="F12" i="19"/>
  <c r="D13" i="19"/>
  <c r="E13" i="19"/>
  <c r="F13" i="19"/>
  <c r="D14" i="19"/>
  <c r="E14" i="19"/>
  <c r="F14" i="19"/>
  <c r="D15" i="19"/>
  <c r="E15" i="19"/>
  <c r="F15" i="19"/>
  <c r="D16" i="19"/>
  <c r="E16" i="19"/>
  <c r="F16" i="19"/>
  <c r="D17" i="19"/>
  <c r="E17" i="19"/>
  <c r="F17" i="19"/>
  <c r="D18" i="19"/>
  <c r="E18" i="19"/>
  <c r="F18" i="19"/>
  <c r="D19" i="19"/>
  <c r="E19" i="19"/>
  <c r="F19" i="19"/>
  <c r="D20" i="19"/>
  <c r="E20" i="19"/>
  <c r="F20" i="19"/>
  <c r="D21" i="19"/>
  <c r="E21" i="19"/>
  <c r="F21" i="19"/>
  <c r="D22" i="19"/>
  <c r="E22" i="19"/>
  <c r="F22" i="19"/>
  <c r="D23" i="19"/>
  <c r="E23" i="19"/>
  <c r="F23" i="19"/>
  <c r="D24" i="19"/>
  <c r="E24" i="19"/>
  <c r="F24" i="19"/>
  <c r="D25" i="19"/>
  <c r="E25" i="19"/>
  <c r="F25" i="19"/>
  <c r="D26" i="19"/>
  <c r="E26" i="19"/>
  <c r="F26" i="19"/>
  <c r="D27" i="19"/>
  <c r="E27" i="19"/>
  <c r="F27" i="19"/>
  <c r="D28" i="19"/>
  <c r="E28" i="19"/>
  <c r="F28" i="19"/>
  <c r="D29" i="19"/>
  <c r="E29" i="19"/>
  <c r="F29" i="19"/>
  <c r="D30" i="19"/>
  <c r="E30" i="19"/>
  <c r="F30" i="19"/>
  <c r="D31" i="19"/>
  <c r="E31" i="19"/>
  <c r="F31" i="19"/>
  <c r="D32" i="19"/>
  <c r="E32" i="19"/>
  <c r="F32" i="19"/>
  <c r="D33" i="19"/>
  <c r="E33" i="19"/>
  <c r="F33" i="19"/>
  <c r="D34" i="19"/>
  <c r="E34" i="19"/>
  <c r="F34" i="19"/>
  <c r="D35" i="19"/>
  <c r="E35" i="19"/>
  <c r="F35" i="19"/>
  <c r="D36" i="19"/>
  <c r="E36" i="19"/>
  <c r="F36" i="19"/>
  <c r="D37" i="19"/>
  <c r="E37" i="19"/>
  <c r="F37" i="19"/>
  <c r="D38" i="19"/>
  <c r="E38" i="19"/>
  <c r="F38" i="19"/>
  <c r="D39" i="19"/>
  <c r="E39" i="19"/>
  <c r="F39" i="19"/>
  <c r="D40" i="19"/>
  <c r="E40" i="19"/>
  <c r="F40" i="19"/>
  <c r="D41" i="19"/>
  <c r="E41" i="19"/>
  <c r="F41" i="19"/>
  <c r="D42" i="19"/>
  <c r="E42" i="19"/>
  <c r="F42" i="19"/>
  <c r="D43" i="19"/>
  <c r="E43" i="19"/>
  <c r="F43" i="19"/>
  <c r="D45" i="19"/>
  <c r="E45" i="19"/>
  <c r="F45" i="19"/>
  <c r="D46" i="19"/>
  <c r="E46" i="19"/>
  <c r="F46" i="19"/>
  <c r="D47" i="19"/>
  <c r="E47" i="19"/>
  <c r="F47" i="19"/>
  <c r="D48" i="19"/>
  <c r="E48" i="19"/>
  <c r="F48" i="19"/>
  <c r="D49" i="19"/>
  <c r="E49" i="19"/>
  <c r="F49" i="19"/>
  <c r="D50" i="19"/>
  <c r="E50" i="19"/>
  <c r="F50" i="19"/>
  <c r="D51" i="19"/>
  <c r="E51" i="19"/>
  <c r="F51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5" i="19"/>
  <c r="C46" i="19"/>
  <c r="C47" i="19"/>
  <c r="C48" i="19"/>
  <c r="C49" i="19"/>
  <c r="C50" i="19"/>
  <c r="C51" i="19"/>
  <c r="C5" i="19"/>
  <c r="G17" i="19" l="1"/>
  <c r="G5" i="19"/>
  <c r="G19" i="19"/>
  <c r="G11" i="19"/>
  <c r="G7" i="19"/>
  <c r="G50" i="19"/>
  <c r="G46" i="19"/>
  <c r="G41" i="19"/>
  <c r="G37" i="19"/>
  <c r="G33" i="19"/>
  <c r="G29" i="19"/>
  <c r="G25" i="19"/>
  <c r="G21" i="19"/>
  <c r="G51" i="19"/>
  <c r="G47" i="19"/>
  <c r="G42" i="19"/>
  <c r="G38" i="19"/>
  <c r="G34" i="19"/>
  <c r="G30" i="19"/>
  <c r="G26" i="19"/>
  <c r="G14" i="19"/>
  <c r="G10" i="19"/>
  <c r="G6" i="19"/>
  <c r="G49" i="19"/>
  <c r="G45" i="19"/>
  <c r="G40" i="19"/>
  <c r="G36" i="19"/>
  <c r="G32" i="19"/>
  <c r="G28" i="19"/>
  <c r="G24" i="19"/>
  <c r="G20" i="19"/>
  <c r="G16" i="19"/>
  <c r="G12" i="19"/>
  <c r="G8" i="19"/>
  <c r="F44" i="19"/>
  <c r="G43" i="19"/>
  <c r="G39" i="19"/>
  <c r="G35" i="19"/>
  <c r="G31" i="19"/>
  <c r="G27" i="19"/>
  <c r="G23" i="19"/>
  <c r="G18" i="19"/>
  <c r="G13" i="19"/>
  <c r="G9" i="19"/>
  <c r="C44" i="19"/>
  <c r="G15" i="19"/>
  <c r="E44" i="19"/>
  <c r="D4" i="19"/>
  <c r="D44" i="19"/>
  <c r="F4" i="19"/>
  <c r="E4" i="19"/>
  <c r="C4" i="19"/>
  <c r="G22" i="19"/>
  <c r="G48" i="19"/>
  <c r="P36" i="18"/>
  <c r="Q36" i="18" s="1"/>
  <c r="O35" i="18"/>
  <c r="O46" i="18"/>
  <c r="P47" i="18"/>
  <c r="Q47" i="18" s="1"/>
  <c r="P25" i="18"/>
  <c r="Q25" i="18" s="1"/>
  <c r="O24" i="18"/>
  <c r="Q14" i="18"/>
  <c r="P14" i="18"/>
  <c r="C3" i="19" l="1"/>
  <c r="G4" i="19"/>
  <c r="F3" i="19"/>
  <c r="D3" i="19"/>
  <c r="G44" i="19"/>
  <c r="E3" i="19"/>
  <c r="O13" i="18"/>
  <c r="D9" i="18"/>
  <c r="D8" i="18"/>
  <c r="K7" i="18"/>
  <c r="I7" i="18"/>
  <c r="H6" i="18"/>
  <c r="G3" i="19" l="1"/>
  <c r="G32" i="15" l="1"/>
  <c r="G5" i="15"/>
  <c r="G51" i="15"/>
  <c r="G50" i="15"/>
  <c r="G49" i="15"/>
  <c r="G48" i="15"/>
  <c r="G47" i="15"/>
  <c r="E44" i="15"/>
  <c r="G46" i="15"/>
  <c r="F44" i="15"/>
  <c r="D44" i="15"/>
  <c r="G45" i="15"/>
  <c r="C44" i="15"/>
  <c r="G43" i="15"/>
  <c r="G42" i="15"/>
  <c r="G41" i="15"/>
  <c r="G40" i="15"/>
  <c r="G39" i="15"/>
  <c r="G38" i="15"/>
  <c r="G37" i="15"/>
  <c r="G36" i="15"/>
  <c r="G35" i="15"/>
  <c r="G34" i="15"/>
  <c r="G33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D4" i="15"/>
  <c r="G7" i="15"/>
  <c r="G6" i="15"/>
  <c r="F4" i="15"/>
  <c r="D3" i="15" l="1"/>
  <c r="G44" i="15"/>
  <c r="C4" i="15"/>
  <c r="C3" i="15" s="1"/>
  <c r="E4" i="15"/>
  <c r="E3" i="15" s="1"/>
  <c r="G4" i="15"/>
  <c r="F3" i="15"/>
  <c r="C18" i="13"/>
  <c r="C17" i="13"/>
  <c r="C16" i="13"/>
  <c r="C15" i="13"/>
  <c r="C14" i="13"/>
  <c r="G3" i="15" l="1"/>
  <c r="D16" i="4"/>
  <c r="E16" i="4"/>
  <c r="F16" i="4"/>
  <c r="G16" i="4"/>
  <c r="C16" i="4"/>
  <c r="D16" i="6"/>
  <c r="E16" i="6"/>
  <c r="F16" i="6"/>
  <c r="G16" i="6"/>
  <c r="C16" i="6"/>
  <c r="D16" i="10"/>
  <c r="E16" i="10"/>
  <c r="F16" i="10"/>
  <c r="G16" i="10"/>
  <c r="C16" i="10"/>
  <c r="D16" i="8"/>
  <c r="E16" i="8"/>
  <c r="F16" i="8"/>
  <c r="G16" i="8"/>
  <c r="C16" i="8"/>
  <c r="D16" i="5"/>
  <c r="E16" i="5"/>
  <c r="F16" i="5"/>
  <c r="G16" i="5"/>
  <c r="C16" i="5"/>
  <c r="G16" i="7"/>
  <c r="F16" i="7"/>
  <c r="E16" i="7"/>
  <c r="D16" i="7"/>
  <c r="C16" i="7"/>
  <c r="D44" i="12"/>
  <c r="C21" i="13" l="1"/>
  <c r="G7" i="12"/>
  <c r="G11" i="12"/>
  <c r="G15" i="12"/>
  <c r="G19" i="12"/>
  <c r="G23" i="12"/>
  <c r="G27" i="12"/>
  <c r="G31" i="12"/>
  <c r="G35" i="12"/>
  <c r="G39" i="12"/>
  <c r="G43" i="12"/>
  <c r="G48" i="12"/>
  <c r="G10" i="12"/>
  <c r="F44" i="12"/>
  <c r="F4" i="12"/>
  <c r="G8" i="12"/>
  <c r="G28" i="12"/>
  <c r="E44" i="12"/>
  <c r="G51" i="12"/>
  <c r="G6" i="12"/>
  <c r="G14" i="12"/>
  <c r="G18" i="12"/>
  <c r="G22" i="12"/>
  <c r="G26" i="12"/>
  <c r="G30" i="12"/>
  <c r="G34" i="12"/>
  <c r="G38" i="12"/>
  <c r="G42" i="12"/>
  <c r="G25" i="12"/>
  <c r="G29" i="12"/>
  <c r="G33" i="12"/>
  <c r="G37" i="12"/>
  <c r="G41" i="12"/>
  <c r="G46" i="12"/>
  <c r="G50" i="12"/>
  <c r="G9" i="12"/>
  <c r="G13" i="12"/>
  <c r="G17" i="12"/>
  <c r="G21" i="12"/>
  <c r="G12" i="12"/>
  <c r="G16" i="12"/>
  <c r="G20" i="12"/>
  <c r="G24" i="12"/>
  <c r="G32" i="12"/>
  <c r="G36" i="12"/>
  <c r="G40" i="12"/>
  <c r="G45" i="12"/>
  <c r="G49" i="12"/>
  <c r="D4" i="12"/>
  <c r="D3" i="12" s="1"/>
  <c r="E4" i="12"/>
  <c r="E3" i="12" s="1"/>
  <c r="C44" i="12"/>
  <c r="G47" i="12"/>
  <c r="C4" i="12"/>
  <c r="G5" i="12"/>
  <c r="A4" i="1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C13" i="13" s="1"/>
  <c r="F3" i="12" l="1"/>
  <c r="G4" i="12"/>
  <c r="C3" i="12"/>
  <c r="G44" i="12"/>
  <c r="G3" i="12" l="1"/>
  <c r="C20" i="13" l="1"/>
  <c r="C19" i="13"/>
  <c r="E16" i="13" l="1"/>
  <c r="E20" i="13"/>
  <c r="E17" i="13"/>
  <c r="E21" i="13"/>
  <c r="E18" i="13"/>
  <c r="E14" i="13"/>
  <c r="E15" i="13"/>
  <c r="E19" i="13"/>
  <c r="E13" i="13"/>
  <c r="F18" i="13" l="1"/>
  <c r="F19" i="13"/>
  <c r="F17" i="13"/>
  <c r="F15" i="13"/>
  <c r="F21" i="13"/>
  <c r="F14" i="13"/>
  <c r="F20" i="13"/>
  <c r="F16" i="13"/>
  <c r="E33" i="1"/>
  <c r="E30" i="1"/>
  <c r="B36" i="1"/>
  <c r="F18" i="1"/>
  <c r="D51" i="1"/>
  <c r="C33" i="1"/>
  <c r="C25" i="1"/>
  <c r="B21" i="1"/>
  <c r="C34" i="1"/>
  <c r="C27" i="1"/>
  <c r="F31" i="1"/>
  <c r="D52" i="1"/>
  <c r="C37" i="1"/>
  <c r="E35" i="1"/>
  <c r="F11" i="1"/>
  <c r="D55" i="1"/>
  <c r="D26" i="1"/>
  <c r="B29" i="1"/>
  <c r="E10" i="1"/>
  <c r="B42" i="1"/>
  <c r="F30" i="1"/>
  <c r="C51" i="1"/>
  <c r="B34" i="1"/>
  <c r="F25" i="1"/>
  <c r="B53" i="1"/>
  <c r="E19" i="1"/>
  <c r="F10" i="1"/>
  <c r="B27" i="1"/>
  <c r="B22" i="1"/>
  <c r="D37" i="1"/>
  <c r="C46" i="1"/>
  <c r="C15" i="1"/>
  <c r="D30" i="1"/>
  <c r="B50" i="1"/>
  <c r="D18" i="1"/>
  <c r="C50" i="1"/>
  <c r="B14" i="1"/>
  <c r="E51" i="1"/>
  <c r="B7" i="1"/>
  <c r="F23" i="1"/>
  <c r="D13" i="1"/>
  <c r="D50" i="1"/>
  <c r="E44" i="1"/>
  <c r="E54" i="1"/>
  <c r="B30" i="1"/>
  <c r="E38" i="1"/>
  <c r="D15" i="1"/>
  <c r="F38" i="1"/>
  <c r="E13" i="1"/>
  <c r="B17" i="1"/>
  <c r="E36" i="1"/>
  <c r="F29" i="1"/>
  <c r="F26" i="1"/>
  <c r="B15" i="1"/>
  <c r="D45" i="1"/>
  <c r="D21" i="1"/>
  <c r="C18" i="1"/>
  <c r="E20" i="1"/>
  <c r="B9" i="1"/>
  <c r="E32" i="1"/>
  <c r="D29" i="1"/>
  <c r="F45" i="1"/>
  <c r="B26" i="1"/>
  <c r="E41" i="1"/>
  <c r="D27" i="1"/>
  <c r="C54" i="1"/>
  <c r="E18" i="1"/>
  <c r="F40" i="1"/>
  <c r="D41" i="1"/>
  <c r="E42" i="1"/>
  <c r="B55" i="1"/>
  <c r="B16" i="1"/>
  <c r="B46" i="1"/>
  <c r="E39" i="1"/>
  <c r="F51" i="1"/>
  <c r="B19" i="1"/>
  <c r="D12" i="1"/>
  <c r="C21" i="1"/>
  <c r="F35" i="1"/>
  <c r="C7" i="1"/>
  <c r="E14" i="1"/>
  <c r="F43" i="1"/>
  <c r="F27" i="1"/>
  <c r="B20" i="1"/>
  <c r="F13" i="1"/>
  <c r="E55" i="1"/>
  <c r="C42" i="1"/>
  <c r="C9" i="1"/>
  <c r="F9" i="1"/>
  <c r="D25" i="1"/>
  <c r="B52" i="1"/>
  <c r="C14" i="1"/>
  <c r="C19" i="1"/>
  <c r="C29" i="1"/>
  <c r="F44" i="1"/>
  <c r="E27" i="1"/>
  <c r="F15" i="1"/>
  <c r="E24" i="1"/>
  <c r="C38" i="1"/>
  <c r="C48" i="1"/>
  <c r="C45" i="1"/>
  <c r="F28" i="1"/>
  <c r="C52" i="1"/>
  <c r="E7" i="1"/>
  <c r="F19" i="1"/>
  <c r="C47" i="1"/>
  <c r="F54" i="1"/>
  <c r="D22" i="1"/>
  <c r="D49" i="1"/>
  <c r="D48" i="1"/>
  <c r="B11" i="1"/>
  <c r="B32" i="1"/>
  <c r="C41" i="1"/>
  <c r="F49" i="1"/>
  <c r="B24" i="1"/>
  <c r="E45" i="1"/>
  <c r="B25" i="1"/>
  <c r="F36" i="1"/>
  <c r="C44" i="1"/>
  <c r="B23" i="1"/>
  <c r="B40" i="1"/>
  <c r="B38" i="1"/>
  <c r="E23" i="1"/>
  <c r="B47" i="1"/>
  <c r="D42" i="1"/>
  <c r="C8" i="1"/>
  <c r="C17" i="1"/>
  <c r="F41" i="1"/>
  <c r="B13" i="1"/>
  <c r="F7" i="1"/>
  <c r="B12" i="1"/>
  <c r="D10" i="1"/>
  <c r="B35" i="1"/>
  <c r="E25" i="1"/>
  <c r="D28" i="1"/>
  <c r="E37" i="1"/>
  <c r="E49" i="1"/>
  <c r="E28" i="1"/>
  <c r="B48" i="1"/>
  <c r="F37" i="1"/>
  <c r="C26" i="1"/>
  <c r="D33" i="1"/>
  <c r="E17" i="1"/>
  <c r="D11" i="1"/>
  <c r="D9" i="1"/>
  <c r="F14" i="1"/>
  <c r="B8" i="1"/>
  <c r="F24" i="1"/>
  <c r="D36" i="1"/>
  <c r="D39" i="1"/>
  <c r="F42" i="1"/>
  <c r="E31" i="1"/>
  <c r="E9" i="1"/>
  <c r="F39" i="1"/>
  <c r="B43" i="1"/>
  <c r="E26" i="1"/>
  <c r="C53" i="1"/>
  <c r="D14" i="1"/>
  <c r="E16" i="1"/>
  <c r="B18" i="1"/>
  <c r="D54" i="1"/>
  <c r="C39" i="1"/>
  <c r="B31" i="1"/>
  <c r="D47" i="1"/>
  <c r="B44" i="1"/>
  <c r="F8" i="1"/>
  <c r="F47" i="1"/>
  <c r="C49" i="1"/>
  <c r="C28" i="1"/>
  <c r="E12" i="1"/>
  <c r="F20" i="1"/>
  <c r="E11" i="1"/>
  <c r="D35" i="1"/>
  <c r="D20" i="1"/>
  <c r="F33" i="1"/>
  <c r="D34" i="1"/>
  <c r="E47" i="1"/>
  <c r="C55" i="1"/>
  <c r="F46" i="1"/>
  <c r="F52" i="1"/>
  <c r="B10" i="1"/>
  <c r="E22" i="1"/>
  <c r="D32" i="1"/>
  <c r="E34" i="1"/>
  <c r="C36" i="1"/>
  <c r="C40" i="1"/>
  <c r="D7" i="1"/>
  <c r="D8" i="1"/>
  <c r="D19" i="1"/>
  <c r="B49" i="1"/>
  <c r="D40" i="1"/>
  <c r="B28" i="1"/>
  <c r="F50" i="1"/>
  <c r="C10" i="1"/>
  <c r="E21" i="1"/>
  <c r="F48" i="1"/>
  <c r="C43" i="1"/>
  <c r="B45" i="1"/>
  <c r="F22" i="1"/>
  <c r="D24" i="1"/>
  <c r="D16" i="1"/>
  <c r="F53" i="1"/>
  <c r="C13" i="1"/>
  <c r="C30" i="1"/>
  <c r="F34" i="1"/>
  <c r="E43" i="1"/>
  <c r="E40" i="1"/>
  <c r="C22" i="1"/>
  <c r="B37" i="1"/>
  <c r="E52" i="1"/>
  <c r="F32" i="1"/>
  <c r="C35" i="1"/>
  <c r="E29" i="1"/>
  <c r="D23" i="1"/>
  <c r="B51" i="1"/>
  <c r="F12" i="1"/>
  <c r="C32" i="1"/>
  <c r="D17" i="1"/>
  <c r="D38" i="1"/>
  <c r="D31" i="1"/>
  <c r="F55" i="1"/>
  <c r="C31" i="1"/>
  <c r="C16" i="1"/>
  <c r="D46" i="1"/>
  <c r="E46" i="1"/>
  <c r="B33" i="1"/>
  <c r="C24" i="1"/>
  <c r="B39" i="1"/>
  <c r="D44" i="1"/>
  <c r="C11" i="1"/>
  <c r="E8" i="1"/>
  <c r="F16" i="1"/>
  <c r="B41" i="1"/>
  <c r="E53" i="1"/>
  <c r="B54" i="1"/>
  <c r="F17" i="1"/>
  <c r="D53" i="1"/>
  <c r="C23" i="1"/>
  <c r="C20" i="1"/>
  <c r="E48" i="1"/>
  <c r="E50" i="1"/>
  <c r="D43" i="1"/>
  <c r="F21" i="1"/>
  <c r="E15" i="1"/>
  <c r="C12" i="1"/>
  <c r="F33" i="11" l="1"/>
  <c r="B47" i="11"/>
  <c r="C38" i="11"/>
  <c r="D29" i="11"/>
  <c r="C27" i="11"/>
  <c r="D19" i="11"/>
  <c r="F37" i="11"/>
  <c r="E46" i="11"/>
  <c r="B15" i="11"/>
  <c r="B36" i="11"/>
  <c r="E23" i="11"/>
  <c r="C11" i="11"/>
  <c r="E7" i="11"/>
  <c r="B23" i="11"/>
  <c r="E19" i="11"/>
  <c r="D21" i="11"/>
  <c r="E17" i="11"/>
  <c r="F42" i="11"/>
  <c r="E44" i="11"/>
  <c r="D39" i="11"/>
  <c r="B45" i="11"/>
  <c r="E28" i="11"/>
  <c r="F7" i="11"/>
  <c r="D25" i="11"/>
  <c r="C25" i="11"/>
  <c r="C29" i="11"/>
  <c r="D8" i="11"/>
  <c r="F23" i="11"/>
  <c r="D43" i="11"/>
  <c r="E6" i="11"/>
  <c r="C33" i="11"/>
  <c r="F43" i="11"/>
  <c r="D53" i="11"/>
  <c r="C50" i="11"/>
  <c r="E48" i="11"/>
  <c r="E42" i="11"/>
  <c r="C13" i="11"/>
  <c r="E18" i="11"/>
  <c r="E11" i="11"/>
  <c r="D42" i="11"/>
  <c r="F22" i="11"/>
  <c r="B33" i="11"/>
  <c r="B51" i="11"/>
  <c r="F8" i="11"/>
  <c r="C46" i="11"/>
  <c r="D9" i="11"/>
  <c r="C26" i="11"/>
  <c r="E25" i="11"/>
  <c r="B18" i="11"/>
  <c r="E40" i="11"/>
  <c r="D46" i="11"/>
  <c r="C28" i="11"/>
  <c r="D17" i="11"/>
  <c r="B24" i="11"/>
  <c r="D49" i="11"/>
  <c r="B37" i="11"/>
  <c r="C7" i="11"/>
  <c r="B19" i="11"/>
  <c r="B30" i="11"/>
  <c r="F49" i="11"/>
  <c r="E43" i="11"/>
  <c r="E36" i="11"/>
  <c r="B17" i="11"/>
  <c r="E50" i="11"/>
  <c r="C53" i="11"/>
  <c r="C37" i="11"/>
  <c r="F13" i="11"/>
  <c r="B35" i="11"/>
  <c r="F46" i="11"/>
  <c r="E10" i="11"/>
  <c r="F20" i="11"/>
  <c r="B12" i="11"/>
  <c r="D12" i="11"/>
  <c r="B22" i="11"/>
  <c r="F14" i="11"/>
  <c r="D13" i="11"/>
  <c r="B21" i="11"/>
  <c r="E34" i="11"/>
  <c r="E27" i="11"/>
  <c r="C21" i="11"/>
  <c r="F28" i="11"/>
  <c r="B34" i="11"/>
  <c r="E24" i="11"/>
  <c r="F24" i="11"/>
  <c r="F47" i="11"/>
  <c r="E37" i="11"/>
  <c r="B13" i="11"/>
  <c r="B6" i="11"/>
  <c r="F44" i="11"/>
  <c r="B26" i="11"/>
  <c r="E30" i="11"/>
  <c r="D38" i="11"/>
  <c r="E16" i="11"/>
  <c r="B29" i="11"/>
  <c r="E35" i="11"/>
  <c r="C34" i="11"/>
  <c r="D22" i="11"/>
  <c r="E39" i="11"/>
  <c r="C15" i="11"/>
  <c r="E41" i="11"/>
  <c r="D31" i="11"/>
  <c r="E38" i="11"/>
  <c r="F32" i="11"/>
  <c r="D35" i="11"/>
  <c r="E14" i="11"/>
  <c r="E29" i="11"/>
  <c r="D27" i="11"/>
  <c r="C18" i="11"/>
  <c r="B9" i="11"/>
  <c r="C36" i="11"/>
  <c r="D36" i="11"/>
  <c r="D30" i="11"/>
  <c r="C5" i="11"/>
  <c r="B7" i="11"/>
  <c r="B28" i="11"/>
  <c r="F12" i="11"/>
  <c r="D41" i="11"/>
  <c r="B53" i="11"/>
  <c r="F45" i="11"/>
  <c r="F51" i="11"/>
  <c r="B50" i="11"/>
  <c r="F39" i="11"/>
  <c r="E15" i="11"/>
  <c r="F36" i="11"/>
  <c r="C17" i="11"/>
  <c r="B48" i="11"/>
  <c r="E22" i="11"/>
  <c r="B49" i="11"/>
  <c r="F48" i="11"/>
  <c r="C41" i="11"/>
  <c r="D50" i="11"/>
  <c r="D32" i="11"/>
  <c r="C44" i="11"/>
  <c r="F34" i="11"/>
  <c r="C40" i="11"/>
  <c r="F52" i="11"/>
  <c r="B40" i="11"/>
  <c r="D33" i="11"/>
  <c r="C8" i="11"/>
  <c r="E47" i="11"/>
  <c r="C39" i="11"/>
  <c r="F41" i="11"/>
  <c r="D45" i="11"/>
  <c r="C35" i="11"/>
  <c r="E5" i="11"/>
  <c r="F53" i="11"/>
  <c r="D24" i="11"/>
  <c r="B42" i="11"/>
  <c r="B27" i="11"/>
  <c r="C43" i="11"/>
  <c r="F11" i="11"/>
  <c r="E20" i="11"/>
  <c r="C10" i="11"/>
  <c r="D5" i="11"/>
  <c r="F26" i="11"/>
  <c r="B32" i="11"/>
  <c r="C31" i="11"/>
  <c r="E9" i="11"/>
  <c r="C49" i="11"/>
  <c r="C9" i="11"/>
  <c r="D11" i="11"/>
  <c r="C6" i="11"/>
  <c r="C23" i="11"/>
  <c r="D44" i="11"/>
  <c r="D40" i="11"/>
  <c r="C45" i="11"/>
  <c r="B16" i="11"/>
  <c r="F30" i="11"/>
  <c r="D34" i="11"/>
  <c r="D23" i="11"/>
  <c r="C19" i="11"/>
  <c r="F25" i="11"/>
  <c r="C42" i="11"/>
  <c r="D48" i="11"/>
  <c r="D20" i="11"/>
  <c r="B10" i="11"/>
  <c r="F5" i="11"/>
  <c r="D52" i="11"/>
  <c r="F18" i="11"/>
  <c r="B44" i="11"/>
  <c r="E53" i="11"/>
  <c r="B39" i="11"/>
  <c r="B8" i="11"/>
  <c r="F15" i="11"/>
  <c r="F35" i="11"/>
  <c r="F21" i="11"/>
  <c r="B46" i="11"/>
  <c r="C20" i="11"/>
  <c r="E52" i="11"/>
  <c r="B25" i="11"/>
  <c r="C48" i="11"/>
  <c r="F40" i="11"/>
  <c r="E8" i="11"/>
  <c r="F9" i="11"/>
  <c r="C51" i="11"/>
  <c r="F50" i="11"/>
  <c r="B41" i="11"/>
  <c r="C32" i="11"/>
  <c r="D16" i="11"/>
  <c r="D51" i="11"/>
  <c r="B14" i="11"/>
  <c r="B52" i="11"/>
  <c r="B43" i="11"/>
  <c r="E33" i="11"/>
  <c r="E45" i="11"/>
  <c r="C22" i="11"/>
  <c r="C12" i="11"/>
  <c r="F16" i="11"/>
  <c r="C14" i="11"/>
  <c r="E32" i="11"/>
  <c r="B5" i="11"/>
  <c r="B11" i="11"/>
  <c r="F19" i="11"/>
  <c r="F6" i="11"/>
  <c r="D14" i="11"/>
  <c r="D10" i="11"/>
  <c r="F27" i="11"/>
  <c r="D37" i="11"/>
  <c r="E51" i="11"/>
  <c r="E49" i="11"/>
  <c r="F31" i="11"/>
  <c r="E13" i="11"/>
  <c r="D15" i="11"/>
  <c r="C52" i="11"/>
  <c r="C16" i="11"/>
  <c r="D18" i="11"/>
  <c r="D47" i="11"/>
  <c r="D6" i="11"/>
  <c r="E26" i="11"/>
  <c r="C30" i="11"/>
  <c r="F10" i="11"/>
  <c r="E12" i="11"/>
  <c r="D26" i="11"/>
  <c r="D7" i="11"/>
  <c r="E21" i="11"/>
  <c r="B38" i="11"/>
  <c r="F38" i="11"/>
  <c r="F29" i="11"/>
  <c r="B20" i="11"/>
  <c r="F17" i="11"/>
  <c r="C24" i="11"/>
  <c r="C47" i="11"/>
  <c r="B31" i="11"/>
  <c r="D28" i="11"/>
  <c r="E31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<sst xmlns="http://schemas.openxmlformats.org/spreadsheetml/2006/main" count="2082" uniqueCount="179">
  <si>
    <t>England</t>
  </si>
  <si>
    <t>Wholetime</t>
  </si>
  <si>
    <t>Retained Duty System</t>
  </si>
  <si>
    <t>Fire Control</t>
  </si>
  <si>
    <t>Support Staff</t>
  </si>
  <si>
    <t>Total</t>
  </si>
  <si>
    <t>The full set of fire statistics releases, tables and guidance can be found on our landing page, here-</t>
  </si>
  <si>
    <t>https://www.gov.uk/government/collections/fire-statistics</t>
  </si>
  <si>
    <t>Metropolitan fire and rescue authorities</t>
  </si>
  <si>
    <t>Non Metropolitan fire and rescue authorities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</si>
  <si>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</si>
  <si>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</si>
  <si>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</si>
  <si>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</si>
  <si>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</si>
  <si>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</si>
  <si>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</si>
  <si>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</si>
  <si>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</si>
  <si>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</si>
  <si>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</si>
  <si>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</si>
  <si>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</si>
  <si>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</si>
  <si>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</si>
  <si>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</si>
  <si>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</si>
  <si>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</si>
  <si>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</si>
  <si>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</si>
  <si>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</si>
  <si>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</si>
  <si>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 Of Wight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</si>
  <si>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</si>
  <si>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</si>
  <si>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</si>
  <si>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</si>
  <si>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</si>
  <si>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</si>
  <si>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</si>
  <si>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</si>
  <si>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</si>
  <si>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</si>
  <si>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</si>
  <si>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</si>
  <si>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</si>
  <si>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</si>
  <si>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</si>
  <si>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</si>
  <si>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</si>
  <si>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</si>
  <si>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</si>
  <si>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</si>
  <si>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</si>
  <si>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</si>
  <si>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</si>
  <si>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Wiltshire</t>
  </si>
  <si>
    <t>2015-16</t>
  </si>
  <si>
    <r>
      <t>Appendix 4. Personnel leaving (headcount) by duty system in England at 31 March 2015</t>
    </r>
    <r>
      <rPr>
        <b/>
        <vertAlign val="superscript"/>
        <sz val="14"/>
        <color indexed="43"/>
        <rFont val="Arial"/>
        <family val="2"/>
      </rPr>
      <t>1</t>
    </r>
  </si>
  <si>
    <t>Retained duty system</t>
  </si>
  <si>
    <t>Fire control</t>
  </si>
  <si>
    <t>Support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</si>
  <si>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</si>
  <si>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</si>
  <si>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</si>
  <si>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</si>
  <si>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</si>
  <si>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</si>
  <si>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1. Includes re-employment as support staff by the same FRA</t>
  </si>
  <si>
    <t>Source:  DCLG Annual Returns</t>
  </si>
  <si>
    <t>FRA</t>
  </si>
  <si>
    <t>Select a year from the drop-down list in the orange box below:</t>
  </si>
  <si>
    <t>2014-15</t>
  </si>
  <si>
    <r>
      <t>Appendix 4. Personnel leaving (headcount) by duty system in England at 31 March 2011</t>
    </r>
    <r>
      <rPr>
        <b/>
        <vertAlign val="superscript"/>
        <sz val="14"/>
        <color indexed="43"/>
        <rFont val="Arial"/>
        <family val="2"/>
      </rPr>
      <t>1</t>
    </r>
  </si>
  <si>
    <r>
      <t>Appendix 4. Personnel leaving (headcount) by duty system in England at 31 March 2016</t>
    </r>
    <r>
      <rPr>
        <b/>
        <vertAlign val="superscript"/>
        <sz val="14"/>
        <color indexed="43"/>
        <rFont val="Arial"/>
        <family val="2"/>
      </rPr>
      <t>1</t>
    </r>
  </si>
  <si>
    <t>..</t>
  </si>
  <si>
    <t>2010-11</t>
  </si>
  <si>
    <t>2011-12</t>
  </si>
  <si>
    <t>2012-13</t>
  </si>
  <si>
    <t>2013-14</t>
  </si>
  <si>
    <r>
      <t>Appendix 4. Personnel leaving (headcount) by duty system in England at 31 March 2014</t>
    </r>
    <r>
      <rPr>
        <b/>
        <vertAlign val="superscript"/>
        <sz val="14"/>
        <color indexed="43"/>
        <rFont val="Arial"/>
        <family val="2"/>
      </rPr>
      <t>1</t>
    </r>
  </si>
  <si>
    <r>
      <t>Appendix 3. Job applicants, successful applicants, leavers and joiners in England in 2009/10</t>
    </r>
    <r>
      <rPr>
        <b/>
        <vertAlign val="superscript"/>
        <sz val="14"/>
        <color indexed="43"/>
        <rFont val="Arial"/>
        <family val="2"/>
      </rPr>
      <t>1</t>
    </r>
  </si>
  <si>
    <t>Leavers</t>
  </si>
  <si>
    <r>
      <t>Cleveland</t>
    </r>
    <r>
      <rPr>
        <vertAlign val="superscript"/>
        <sz val="10"/>
        <rFont val="Arial"/>
        <family val="2"/>
      </rPr>
      <t>2</t>
    </r>
  </si>
  <si>
    <r>
      <t>Durham</t>
    </r>
    <r>
      <rPr>
        <vertAlign val="superscript"/>
        <sz val="10"/>
        <rFont val="Arial"/>
        <family val="2"/>
      </rPr>
      <t>2</t>
    </r>
  </si>
  <si>
    <r>
      <t>Northumberland</t>
    </r>
    <r>
      <rPr>
        <vertAlign val="superscript"/>
        <sz val="10"/>
        <rFont val="Arial"/>
        <family val="2"/>
      </rPr>
      <t>2</t>
    </r>
  </si>
  <si>
    <r>
      <t>Greater Manchester</t>
    </r>
    <r>
      <rPr>
        <vertAlign val="superscript"/>
        <sz val="10"/>
        <rFont val="Arial"/>
        <family val="2"/>
      </rPr>
      <t>3</t>
    </r>
  </si>
  <si>
    <r>
      <t>Tyne &amp; Wear</t>
    </r>
    <r>
      <rPr>
        <vertAlign val="superscript"/>
        <sz val="10"/>
        <rFont val="Arial"/>
        <family val="2"/>
      </rPr>
      <t>4</t>
    </r>
  </si>
  <si>
    <r>
      <t>Greater London</t>
    </r>
    <r>
      <rPr>
        <vertAlign val="superscript"/>
        <sz val="10"/>
        <color indexed="8"/>
        <rFont val="Arial"/>
        <family val="2"/>
      </rPr>
      <t>5</t>
    </r>
  </si>
  <si>
    <t>1. The outcome of an application may not be in the same year as the application was made</t>
  </si>
  <si>
    <t>2. Some wholetime applicant and successful applicant figures may be included with those for Tyne &amp; Wear</t>
  </si>
  <si>
    <t xml:space="preserve">3. Partial figure, as information not available for the whole financial year </t>
  </si>
  <si>
    <t>4. Wholetime applicant and successful applicant figures may include some of those for Cleveland, County Durham &amp; Darlington and Northumberland</t>
  </si>
  <si>
    <t>5. Number of applicants and successful applications are not available for London</t>
  </si>
  <si>
    <t>N/a  Not available</t>
  </si>
  <si>
    <t>Source:  CLG Annual Returns</t>
  </si>
  <si>
    <r>
      <t>Appendix 4. Personnel leaving (headcount) by duty system in England during 2011-12</t>
    </r>
    <r>
      <rPr>
        <b/>
        <vertAlign val="superscript"/>
        <sz val="14"/>
        <color indexed="43"/>
        <rFont val="Arial"/>
        <family val="2"/>
      </rPr>
      <t>1</t>
    </r>
  </si>
  <si>
    <r>
      <t>Hampshire</t>
    </r>
    <r>
      <rPr>
        <vertAlign val="superscript"/>
        <sz val="10"/>
        <rFont val="Arial"/>
        <family val="2"/>
      </rPr>
      <t>2</t>
    </r>
  </si>
  <si>
    <t xml:space="preserve">2. Hampshire retained duty system leavers now include new starters that fail elements of recruitment process </t>
  </si>
  <si>
    <r>
      <t>Appendix 4. Personnel leaving (headcount) by duty system in England at 31 March 2013</t>
    </r>
    <r>
      <rPr>
        <b/>
        <vertAlign val="superscript"/>
        <sz val="14"/>
        <color indexed="43"/>
        <rFont val="Arial"/>
        <family val="2"/>
      </rPr>
      <t>1</t>
    </r>
  </si>
  <si>
    <t>2009-10</t>
  </si>
  <si>
    <t>Note on North West Fire Control</t>
  </si>
  <si>
    <t>North West Fire Control is a public sector company set up exclusively by some of the fire and rescue services in the North West (Cheshire, Cumbria, Lancashire and Greater Manchester). It started operating in May 2015.</t>
  </si>
  <si>
    <t>The statistics in this table are Official Statistics.</t>
  </si>
  <si>
    <t>Appendix 4. Personnel leaving (headcount) by duty system in England at 31 March 2017</t>
  </si>
  <si>
    <t>Dorset and Wiltshire</t>
  </si>
  <si>
    <t>2016-17</t>
  </si>
  <si>
    <t>Source: Home Office Operational Statistics Data Collection, figures supplied by fire and rescue authorities.</t>
  </si>
  <si>
    <t>Appendix 4. Personnel leaving (headcount) by duty system in England at 31 March 2018</t>
  </si>
  <si>
    <t>2017-18</t>
  </si>
  <si>
    <t>Pink cells</t>
  </si>
  <si>
    <t>are the ones picked up in the macro</t>
  </si>
  <si>
    <t>red font</t>
  </si>
  <si>
    <t>are the cells you need to check are still correct</t>
  </si>
  <si>
    <t>Link_Start</t>
  </si>
  <si>
    <t>Year</t>
  </si>
  <si>
    <t>Return_Name</t>
  </si>
  <si>
    <t>FRS_Loop</t>
  </si>
  <si>
    <t>Link_End</t>
  </si>
  <si>
    <t>\data supplied\LE\LE_</t>
  </si>
  <si>
    <t>Sheet_Name_LE1</t>
  </si>
  <si>
    <t>LE1</t>
  </si>
  <si>
    <t>Sheet_Name_LE2</t>
  </si>
  <si>
    <t>LE2</t>
  </si>
  <si>
    <t>Sheet_Name_LE3</t>
  </si>
  <si>
    <t>LE3</t>
  </si>
  <si>
    <t>Sheet_Name_LE4</t>
  </si>
  <si>
    <t>LE4</t>
  </si>
  <si>
    <t>Cell_Loop_LE1</t>
  </si>
  <si>
    <t>Cell_Loop_Desc_LE1</t>
  </si>
  <si>
    <t>Cell_Loop_LE2</t>
  </si>
  <si>
    <t>Cell_Loop_Desc_LE2</t>
  </si>
  <si>
    <t>Cell_Loop_Desc_LE3</t>
  </si>
  <si>
    <t>Cell_Loop_LE3</t>
  </si>
  <si>
    <t>Cell_Loop_LE4</t>
  </si>
  <si>
    <t>Cell_Loop_Desc_LE4</t>
  </si>
  <si>
    <t>FRS_name</t>
  </si>
  <si>
    <t>Role</t>
  </si>
  <si>
    <t>I27</t>
  </si>
  <si>
    <t>G30</t>
  </si>
  <si>
    <t>G27</t>
  </si>
  <si>
    <t>B27</t>
  </si>
  <si>
    <t>Count</t>
  </si>
  <si>
    <t>2018-19</t>
  </si>
  <si>
    <t>Appendix 4. Personnel leaving (headcount) by duty system in England at 31 March 2019</t>
  </si>
  <si>
    <t>Contact: FireStatistics@homeoffice.gov.uk</t>
  </si>
  <si>
    <t>No</t>
  </si>
  <si>
    <t>1 Includes re-employment as support staff by the same FRA.</t>
  </si>
  <si>
    <t>2019_20</t>
  </si>
  <si>
    <t>\\Poise.Homeoffice.Local\data\RQG\DomGroup\ASD-ETHOS30\Fire Stats\003 Fire Operational Statistics\</t>
  </si>
  <si>
    <t>2019-20</t>
  </si>
  <si>
    <t>Not updated this time yet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</si>
  <si>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</si>
  <si>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</si>
  <si>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</si>
  <si>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</si>
  <si>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</si>
  <si>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</si>
  <si>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</si>
  <si>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</si>
  <si>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</si>
  <si>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</si>
  <si>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</si>
  <si>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</si>
  <si>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Table 1110</t>
  </si>
  <si>
    <t>FIRE1110</t>
  </si>
  <si>
    <t>End of table</t>
  </si>
  <si>
    <t>Published: 21 October 2021</t>
  </si>
  <si>
    <t>Crown copyright © 2021</t>
  </si>
  <si>
    <t>Publication Date: 21 October 2021</t>
  </si>
  <si>
    <t>2009/10 to 2020/21</t>
  </si>
  <si>
    <t>2020-21</t>
  </si>
  <si>
    <t>Next Update: Autumn 2022</t>
  </si>
  <si>
    <t>Isles Of Scilly</t>
  </si>
  <si>
    <t>Appendix 4. Personnel leaving (headcount) by duty system in England at 31 March 2021</t>
  </si>
  <si>
    <t>Staff leaving fire authorities, by fire and rescue authority and by role</t>
  </si>
  <si>
    <r>
      <t>FIRE STATISTICS TABLE 1110: Staff leaving fire authorities, by fire and rescue authority and by role</t>
    </r>
    <r>
      <rPr>
        <b/>
        <vertAlign val="superscript"/>
        <sz val="11"/>
        <rFont val="Arial Black"/>
        <family val="2"/>
      </rPr>
      <t>1</t>
    </r>
  </si>
  <si>
    <t>Responsible Statistician: Tom Cracknell</t>
  </si>
  <si>
    <t>England, April 2020 to March 2021: data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</si>
</sst>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0"/>
    <numFmt numFmtId="166" formatCode="#,##0_ ;\-#,##0\ "/>
    <numFmt numFmtId="167" formatCode="#,##0.000_ ;\-#,##0.000\ "/>
    <numFmt numFmtId="168" formatCode="0.0%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4"/>
      <name val="Arial"/>
      <family val="2"/>
    </font>
    <font>
      <b/>
      <sz val="14"/>
      <color indexed="43"/>
      <name val="Arial"/>
      <family val="2"/>
    </font>
    <font>
      <b/>
      <vertAlign val="superscript"/>
      <sz val="14"/>
      <color indexed="4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</font>
    <font>
      <sz val="10"/>
      <name val="Arial"/>
      <family val="2"/>
    </font>
    <font>
      <sz val="14"/>
      <color indexed="9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MS Sans Serif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u/>
      <sz val="9"/>
      <color rgb="FF0563C1"/>
      <name val="Arial"/>
      <family val="2"/>
    </font>
    <font>
      <b/>
      <sz val="11"/>
      <name val="Arial Black"/>
      <family val="2"/>
    </font>
    <font>
      <b/>
      <vertAlign val="superscript"/>
      <sz val="11"/>
      <name val="Arial Black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12" fillId="0" borderId="0"/>
    <xf numFmtId="0" fontId="16" fillId="0" borderId="0"/>
    <xf numFmtId="0" fontId="17" fillId="0" borderId="0"/>
    <xf numFmtId="9" fontId="22" fillId="0" borderId="0" applyFont="0" applyFill="0" applyBorder="0" applyAlignment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32" fillId="0" borderId="0" applyNumberFormat="0" applyFill="0" applyBorder="0" applyAlignment="0" applyProtection="0"/>
    <xf numFmtId="0" fontId="3" fillId="0" borderId="0" applyNumberFormat="0" applyFont="0" applyBorder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22" fillId="0" borderId="0"/>
  </cellStyleXfs>
  <cellXfs count="188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0" fillId="5" borderId="0" xfId="0" applyNumberFormat="1" applyFill="1" applyBorder="1" applyAlignment="1">
      <alignment horizontal="right"/>
    </xf>
    <xf numFmtId="3" fontId="1" fillId="5" borderId="0" xfId="0" applyNumberFormat="1" applyFont="1" applyFill="1" applyBorder="1" applyAlignment="1">
      <alignment horizontal="right"/>
    </xf>
    <xf numFmtId="0" fontId="0" fillId="4" borderId="1" xfId="0" applyFill="1" applyBorder="1"/>
    <xf numFmtId="0" fontId="4" fillId="4" borderId="0" xfId="0" applyFont="1" applyFill="1"/>
    <xf numFmtId="0" fontId="5" fillId="4" borderId="0" xfId="2" applyFont="1" applyFill="1"/>
    <xf numFmtId="0" fontId="0" fillId="4" borderId="0" xfId="0" applyFill="1" applyAlignment="1">
      <alignment horizontal="right"/>
    </xf>
    <xf numFmtId="3" fontId="0" fillId="4" borderId="0" xfId="0" applyNumberFormat="1" applyFill="1"/>
    <xf numFmtId="0" fontId="7" fillId="0" borderId="0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6" xfId="3" applyFont="1" applyBorder="1" applyAlignment="1">
      <alignment horizontal="right" vertical="center" wrapText="1"/>
    </xf>
    <xf numFmtId="0" fontId="11" fillId="0" borderId="6" xfId="3" applyFont="1" applyBorder="1" applyAlignment="1">
      <alignment horizontal="right" vertical="center" wrapText="1"/>
    </xf>
    <xf numFmtId="0" fontId="11" fillId="0" borderId="0" xfId="3" applyFont="1" applyBorder="1" applyAlignment="1">
      <alignment vertical="center"/>
    </xf>
    <xf numFmtId="3" fontId="11" fillId="0" borderId="0" xfId="3" applyNumberFormat="1" applyFont="1" applyBorder="1" applyAlignment="1">
      <alignment horizontal="right" vertical="center" wrapText="1"/>
    </xf>
    <xf numFmtId="165" fontId="10" fillId="0" borderId="0" xfId="3" applyNumberFormat="1" applyFont="1" applyBorder="1" applyAlignment="1">
      <alignment vertical="center"/>
    </xf>
    <xf numFmtId="3" fontId="10" fillId="0" borderId="0" xfId="3" applyNumberFormat="1" applyFont="1" applyBorder="1" applyAlignment="1">
      <alignment vertical="center"/>
    </xf>
    <xf numFmtId="0" fontId="10" fillId="0" borderId="0" xfId="3" applyFont="1" applyAlignment="1">
      <alignment vertical="center"/>
    </xf>
    <xf numFmtId="3" fontId="11" fillId="0" borderId="0" xfId="3" applyNumberFormat="1" applyFont="1" applyBorder="1" applyAlignment="1">
      <alignment horizontal="right" vertical="center"/>
    </xf>
    <xf numFmtId="0" fontId="12" fillId="0" borderId="0" xfId="3" applyFont="1" applyAlignment="1">
      <alignment vertical="center"/>
    </xf>
    <xf numFmtId="0" fontId="12" fillId="0" borderId="0" xfId="3" applyFont="1" applyBorder="1" applyAlignment="1">
      <alignment vertical="center"/>
    </xf>
    <xf numFmtId="3" fontId="12" fillId="0" borderId="0" xfId="3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3" fontId="12" fillId="0" borderId="0" xfId="3" applyNumberFormat="1" applyFont="1" applyBorder="1" applyAlignment="1">
      <alignment horizontal="right" vertical="center"/>
    </xf>
    <xf numFmtId="0" fontId="14" fillId="0" borderId="6" xfId="3" applyFont="1" applyBorder="1" applyAlignment="1">
      <alignment vertical="center"/>
    </xf>
    <xf numFmtId="3" fontId="12" fillId="0" borderId="6" xfId="3" applyNumberFormat="1" applyFont="1" applyFill="1" applyBorder="1" applyAlignment="1">
      <alignment horizontal="right" vertical="center"/>
    </xf>
    <xf numFmtId="3" fontId="12" fillId="0" borderId="6" xfId="3" applyNumberFormat="1" applyFont="1" applyBorder="1" applyAlignment="1">
      <alignment horizontal="right" vertical="center"/>
    </xf>
    <xf numFmtId="3" fontId="11" fillId="0" borderId="6" xfId="3" applyNumberFormat="1" applyFont="1" applyBorder="1" applyAlignment="1">
      <alignment horizontal="right" vertical="center" wrapText="1"/>
    </xf>
    <xf numFmtId="0" fontId="14" fillId="0" borderId="0" xfId="3" applyFont="1" applyBorder="1" applyAlignment="1">
      <alignment vertical="center"/>
    </xf>
    <xf numFmtId="166" fontId="12" fillId="0" borderId="0" xfId="3" applyNumberFormat="1" applyFont="1" applyBorder="1" applyAlignment="1">
      <alignment vertical="center"/>
    </xf>
    <xf numFmtId="0" fontId="15" fillId="0" borderId="0" xfId="3" applyFont="1" applyBorder="1" applyAlignment="1">
      <alignment vertical="center"/>
    </xf>
    <xf numFmtId="49" fontId="12" fillId="0" borderId="0" xfId="4" applyNumberFormat="1" applyFont="1" applyBorder="1" applyAlignment="1">
      <alignment vertical="center"/>
    </xf>
    <xf numFmtId="166" fontId="15" fillId="0" borderId="0" xfId="3" applyNumberFormat="1" applyFont="1" applyBorder="1" applyAlignment="1">
      <alignment vertical="center"/>
    </xf>
    <xf numFmtId="167" fontId="15" fillId="0" borderId="0" xfId="3" applyNumberFormat="1" applyFont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4" fillId="4" borderId="0" xfId="1" applyFont="1" applyFill="1" applyAlignment="1">
      <alignment vertical="center"/>
    </xf>
    <xf numFmtId="0" fontId="3" fillId="5" borderId="0" xfId="1" applyFill="1"/>
    <xf numFmtId="0" fontId="1" fillId="4" borderId="0" xfId="0" applyFont="1" applyFill="1"/>
    <xf numFmtId="0" fontId="1" fillId="4" borderId="2" xfId="0" applyFont="1" applyFill="1" applyBorder="1"/>
    <xf numFmtId="0" fontId="1" fillId="4" borderId="0" xfId="0" applyFont="1" applyFill="1" applyBorder="1"/>
    <xf numFmtId="0" fontId="7" fillId="0" borderId="0" xfId="5" applyFont="1" applyBorder="1" applyAlignment="1">
      <alignment vertical="center"/>
    </xf>
    <xf numFmtId="0" fontId="10" fillId="0" borderId="0" xfId="5" applyFont="1" applyBorder="1" applyAlignment="1">
      <alignment vertical="center"/>
    </xf>
    <xf numFmtId="0" fontId="10" fillId="0" borderId="6" xfId="5" applyFont="1" applyBorder="1" applyAlignment="1">
      <alignment horizontal="right" vertical="center" wrapText="1"/>
    </xf>
    <xf numFmtId="0" fontId="10" fillId="0" borderId="4" xfId="5" applyFont="1" applyBorder="1" applyAlignment="1">
      <alignment horizontal="right" vertical="center" wrapText="1"/>
    </xf>
    <xf numFmtId="0" fontId="11" fillId="0" borderId="4" xfId="5" applyFont="1" applyBorder="1" applyAlignment="1">
      <alignment horizontal="right" vertical="center" wrapText="1"/>
    </xf>
    <xf numFmtId="0" fontId="11" fillId="0" borderId="0" xfId="5" applyFont="1" applyBorder="1" applyAlignment="1">
      <alignment vertical="center"/>
    </xf>
    <xf numFmtId="3" fontId="11" fillId="0" borderId="0" xfId="5" applyNumberFormat="1" applyFont="1" applyBorder="1" applyAlignment="1">
      <alignment horizontal="right" vertical="center" wrapText="1"/>
    </xf>
    <xf numFmtId="0" fontId="10" fillId="0" borderId="0" xfId="5" applyFont="1" applyAlignment="1">
      <alignment vertical="center"/>
    </xf>
    <xf numFmtId="3" fontId="11" fillId="0" borderId="0" xfId="5" applyNumberFormat="1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Border="1" applyAlignment="1">
      <alignment vertical="center"/>
    </xf>
    <xf numFmtId="3" fontId="12" fillId="0" borderId="0" xfId="5" applyNumberFormat="1" applyFont="1" applyFill="1" applyBorder="1" applyAlignment="1">
      <alignment horizontal="right" vertical="center"/>
    </xf>
    <xf numFmtId="0" fontId="12" fillId="0" borderId="0" xfId="5" applyFont="1" applyFill="1" applyBorder="1" applyAlignment="1">
      <alignment vertical="center"/>
    </xf>
    <xf numFmtId="0" fontId="13" fillId="0" borderId="0" xfId="5" applyFont="1" applyBorder="1" applyAlignment="1">
      <alignment vertical="center"/>
    </xf>
    <xf numFmtId="3" fontId="12" fillId="0" borderId="0" xfId="5" applyNumberFormat="1" applyFont="1" applyBorder="1" applyAlignment="1">
      <alignment horizontal="right" vertical="center"/>
    </xf>
    <xf numFmtId="0" fontId="14" fillId="0" borderId="6" xfId="5" applyFont="1" applyBorder="1" applyAlignment="1">
      <alignment vertical="center"/>
    </xf>
    <xf numFmtId="3" fontId="12" fillId="0" borderId="6" xfId="5" applyNumberFormat="1" applyFont="1" applyFill="1" applyBorder="1" applyAlignment="1">
      <alignment horizontal="right" vertical="center"/>
    </xf>
    <xf numFmtId="3" fontId="12" fillId="0" borderId="6" xfId="5" applyNumberFormat="1" applyFont="1" applyBorder="1" applyAlignment="1">
      <alignment horizontal="right" vertical="center"/>
    </xf>
    <xf numFmtId="3" fontId="11" fillId="0" borderId="6" xfId="5" applyNumberFormat="1" applyFont="1" applyBorder="1" applyAlignment="1">
      <alignment horizontal="right" vertical="center" wrapText="1"/>
    </xf>
    <xf numFmtId="0" fontId="14" fillId="0" borderId="0" xfId="5" applyFont="1" applyBorder="1" applyAlignment="1">
      <alignment vertical="center"/>
    </xf>
    <xf numFmtId="166" fontId="12" fillId="0" borderId="0" xfId="5" applyNumberFormat="1" applyFont="1" applyBorder="1" applyAlignment="1">
      <alignment vertical="center"/>
    </xf>
    <xf numFmtId="0" fontId="15" fillId="0" borderId="0" xfId="5" applyFont="1" applyBorder="1" applyAlignment="1">
      <alignment vertical="center"/>
    </xf>
    <xf numFmtId="49" fontId="12" fillId="0" borderId="0" xfId="6" applyNumberFormat="1" applyFont="1" applyBorder="1" applyAlignment="1">
      <alignment vertical="center"/>
    </xf>
    <xf numFmtId="166" fontId="15" fillId="0" borderId="0" xfId="5" applyNumberFormat="1" applyFont="1" applyBorder="1" applyAlignment="1">
      <alignment vertical="center"/>
    </xf>
    <xf numFmtId="167" fontId="15" fillId="0" borderId="0" xfId="5" applyNumberFormat="1" applyFont="1" applyBorder="1" applyAlignment="1">
      <alignment vertical="center"/>
    </xf>
    <xf numFmtId="3" fontId="10" fillId="0" borderId="0" xfId="3" applyNumberFormat="1" applyFont="1" applyBorder="1" applyAlignment="1">
      <alignment horizontal="right" vertical="center"/>
    </xf>
    <xf numFmtId="0" fontId="12" fillId="8" borderId="0" xfId="3" applyFont="1" applyFill="1" applyBorder="1" applyAlignment="1">
      <alignment vertical="center"/>
    </xf>
    <xf numFmtId="3" fontId="12" fillId="8" borderId="0" xfId="3" applyNumberFormat="1" applyFont="1" applyFill="1" applyBorder="1" applyAlignment="1">
      <alignment horizontal="right" vertical="center"/>
    </xf>
    <xf numFmtId="3" fontId="11" fillId="8" borderId="0" xfId="3" applyNumberFormat="1" applyFont="1" applyFill="1" applyBorder="1" applyAlignment="1">
      <alignment horizontal="right" vertical="center" wrapText="1"/>
    </xf>
    <xf numFmtId="0" fontId="11" fillId="0" borderId="6" xfId="5" applyFont="1" applyBorder="1" applyAlignment="1">
      <alignment horizontal="right" vertical="center" wrapText="1"/>
    </xf>
    <xf numFmtId="3" fontId="10" fillId="0" borderId="0" xfId="5" applyNumberFormat="1" applyFont="1" applyBorder="1" applyAlignment="1">
      <alignment vertical="center"/>
    </xf>
    <xf numFmtId="3" fontId="11" fillId="0" borderId="0" xfId="5" applyNumberFormat="1" applyFont="1" applyBorder="1" applyAlignment="1">
      <alignment vertical="center"/>
    </xf>
    <xf numFmtId="3" fontId="11" fillId="0" borderId="0" xfId="5" applyNumberFormat="1" applyFont="1" applyFill="1" applyBorder="1" applyAlignment="1">
      <alignment vertical="center"/>
    </xf>
    <xf numFmtId="49" fontId="12" fillId="0" borderId="0" xfId="5" applyNumberFormat="1" applyFont="1" applyBorder="1" applyAlignment="1">
      <alignment horizontal="left" vertical="center"/>
    </xf>
    <xf numFmtId="0" fontId="12" fillId="0" borderId="0" xfId="5" applyFont="1" applyBorder="1" applyAlignment="1">
      <alignment horizontal="left" vertical="center"/>
    </xf>
    <xf numFmtId="166" fontId="12" fillId="0" borderId="0" xfId="5" applyNumberFormat="1" applyFont="1" applyBorder="1" applyAlignment="1">
      <alignment horizontal="left" vertical="center"/>
    </xf>
    <xf numFmtId="49" fontId="12" fillId="0" borderId="0" xfId="5" applyNumberFormat="1" applyFont="1" applyFill="1" applyBorder="1" applyAlignment="1">
      <alignment vertical="center"/>
    </xf>
    <xf numFmtId="49" fontId="12" fillId="0" borderId="0" xfId="5" applyNumberFormat="1" applyFont="1" applyBorder="1" applyAlignment="1">
      <alignment vertical="center"/>
    </xf>
    <xf numFmtId="0" fontId="8" fillId="9" borderId="0" xfId="5" applyFont="1" applyFill="1" applyBorder="1" applyAlignment="1">
      <alignment vertical="center"/>
    </xf>
    <xf numFmtId="0" fontId="18" fillId="9" borderId="0" xfId="5" applyFont="1" applyFill="1" applyBorder="1" applyAlignment="1">
      <alignment vertical="center"/>
    </xf>
    <xf numFmtId="0" fontId="7" fillId="9" borderId="0" xfId="5" applyFont="1" applyFill="1" applyBorder="1" applyAlignment="1">
      <alignment vertical="center"/>
    </xf>
    <xf numFmtId="0" fontId="12" fillId="10" borderId="0" xfId="5" applyFont="1" applyFill="1" applyBorder="1" applyAlignment="1">
      <alignment vertical="center"/>
    </xf>
    <xf numFmtId="3" fontId="12" fillId="10" borderId="0" xfId="5" applyNumberFormat="1" applyFont="1" applyFill="1" applyBorder="1" applyAlignment="1">
      <alignment horizontal="right" vertical="center"/>
    </xf>
    <xf numFmtId="3" fontId="11" fillId="10" borderId="0" xfId="5" applyNumberFormat="1" applyFont="1" applyFill="1" applyBorder="1" applyAlignment="1">
      <alignment horizontal="right" vertical="center" wrapText="1"/>
    </xf>
    <xf numFmtId="168" fontId="10" fillId="0" borderId="0" xfId="5" applyNumberFormat="1" applyFont="1" applyBorder="1" applyAlignment="1">
      <alignment vertical="center"/>
    </xf>
    <xf numFmtId="3" fontId="10" fillId="0" borderId="0" xfId="4" applyNumberFormat="1" applyFont="1" applyFill="1" applyBorder="1" applyAlignment="1">
      <alignment vertical="center"/>
    </xf>
    <xf numFmtId="0" fontId="21" fillId="0" borderId="0" xfId="5" applyFont="1" applyFill="1" applyBorder="1" applyAlignment="1">
      <alignment vertic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/>
    <xf numFmtId="3" fontId="0" fillId="5" borderId="0" xfId="0" applyNumberFormat="1" applyFont="1" applyFill="1" applyBorder="1" applyAlignment="1">
      <alignment horizontal="right"/>
    </xf>
    <xf numFmtId="3" fontId="0" fillId="5" borderId="2" xfId="0" applyNumberFormat="1" applyFill="1" applyBorder="1" applyAlignment="1">
      <alignment horizontal="right"/>
    </xf>
    <xf numFmtId="0" fontId="0" fillId="4" borderId="0" xfId="0" applyFill="1" applyBorder="1"/>
    <xf numFmtId="3" fontId="0" fillId="0" borderId="0" xfId="0" applyNumberFormat="1"/>
    <xf numFmtId="3" fontId="0" fillId="5" borderId="1" xfId="0" applyNumberFormat="1" applyFont="1" applyFill="1" applyBorder="1" applyAlignment="1">
      <alignment horizontal="right"/>
    </xf>
    <xf numFmtId="3" fontId="1" fillId="5" borderId="1" xfId="0" applyNumberFormat="1" applyFont="1" applyFill="1" applyBorder="1" applyAlignment="1">
      <alignment horizontal="right"/>
    </xf>
    <xf numFmtId="0" fontId="0" fillId="0" borderId="0" xfId="0" applyFill="1"/>
    <xf numFmtId="3" fontId="0" fillId="0" borderId="0" xfId="0" applyNumberFormat="1" applyFill="1"/>
    <xf numFmtId="9" fontId="0" fillId="0" borderId="0" xfId="7" applyFont="1" applyFill="1"/>
    <xf numFmtId="0" fontId="0" fillId="9" borderId="0" xfId="0" applyFill="1"/>
    <xf numFmtId="3" fontId="0" fillId="9" borderId="0" xfId="0" applyNumberFormat="1" applyFill="1"/>
    <xf numFmtId="9" fontId="0" fillId="9" borderId="0" xfId="7" applyFont="1" applyFill="1"/>
    <xf numFmtId="0" fontId="0" fillId="11" borderId="0" xfId="0" applyFill="1"/>
    <xf numFmtId="3" fontId="0" fillId="11" borderId="0" xfId="0" applyNumberFormat="1" applyFill="1"/>
    <xf numFmtId="9" fontId="0" fillId="11" borderId="0" xfId="7" applyFont="1" applyFill="1"/>
    <xf numFmtId="10" fontId="0" fillId="0" borderId="0" xfId="0" applyNumberFormat="1"/>
    <xf numFmtId="0" fontId="16" fillId="11" borderId="0" xfId="5" applyFill="1"/>
    <xf numFmtId="0" fontId="16" fillId="0" borderId="0" xfId="5"/>
    <xf numFmtId="0" fontId="23" fillId="0" borderId="0" xfId="5" applyFont="1"/>
    <xf numFmtId="0" fontId="16" fillId="12" borderId="0" xfId="5" applyFill="1"/>
    <xf numFmtId="0" fontId="1" fillId="12" borderId="0" xfId="5" applyFont="1" applyFill="1"/>
    <xf numFmtId="0" fontId="0" fillId="12" borderId="0" xfId="0" applyFill="1"/>
    <xf numFmtId="0" fontId="23" fillId="11" borderId="0" xfId="5" quotePrefix="1" applyFont="1" applyFill="1"/>
    <xf numFmtId="0" fontId="23" fillId="11" borderId="0" xfId="5" applyFont="1" applyFill="1"/>
    <xf numFmtId="0" fontId="23" fillId="11" borderId="0" xfId="0" applyFont="1" applyFill="1"/>
    <xf numFmtId="0" fontId="16" fillId="11" borderId="0" xfId="5" applyFont="1" applyFill="1"/>
    <xf numFmtId="0" fontId="23" fillId="0" borderId="0" xfId="0" applyFont="1"/>
    <xf numFmtId="0" fontId="23" fillId="0" borderId="0" xfId="5" applyFont="1" applyFill="1"/>
    <xf numFmtId="0" fontId="16" fillId="0" borderId="0" xfId="5" applyFill="1"/>
    <xf numFmtId="0" fontId="24" fillId="0" borderId="0" xfId="5" applyFont="1"/>
    <xf numFmtId="0" fontId="1" fillId="0" borderId="0" xfId="5" applyFont="1" applyFill="1"/>
    <xf numFmtId="0" fontId="23" fillId="0" borderId="0" xfId="0" applyFont="1" applyFill="1"/>
    <xf numFmtId="0" fontId="24" fillId="0" borderId="0" xfId="5" applyFont="1" applyFill="1"/>
    <xf numFmtId="0" fontId="25" fillId="0" borderId="0" xfId="5" applyFont="1"/>
    <xf numFmtId="0" fontId="4" fillId="6" borderId="0" xfId="1" applyFont="1" applyFill="1" applyAlignment="1">
      <alignment horizontal="center" vertical="center"/>
    </xf>
    <xf numFmtId="0" fontId="5" fillId="5" borderId="0" xfId="2" applyFill="1" applyAlignment="1">
      <alignment horizontal="right"/>
    </xf>
    <xf numFmtId="0" fontId="2" fillId="2" borderId="0" xfId="0" applyFont="1" applyFill="1" applyAlignment="1">
      <alignment wrapText="1"/>
    </xf>
    <xf numFmtId="0" fontId="5" fillId="4" borderId="0" xfId="2" applyFont="1" applyFill="1" applyAlignment="1"/>
    <xf numFmtId="0" fontId="4" fillId="13" borderId="0" xfId="1" applyFont="1" applyFill="1" applyAlignment="1">
      <alignment vertical="center"/>
    </xf>
    <xf numFmtId="0" fontId="4" fillId="4" borderId="0" xfId="0" applyFont="1" applyFill="1" applyAlignment="1"/>
    <xf numFmtId="0" fontId="5" fillId="4" borderId="0" xfId="2" applyFill="1" applyAlignment="1"/>
    <xf numFmtId="0" fontId="27" fillId="14" borderId="0" xfId="8" applyFont="1" applyFill="1" applyAlignment="1"/>
    <xf numFmtId="0" fontId="28" fillId="14" borderId="0" xfId="9" applyFont="1" applyFill="1" applyAlignment="1">
      <alignment vertical="center"/>
    </xf>
    <xf numFmtId="0" fontId="29" fillId="14" borderId="0" xfId="8" applyFont="1" applyFill="1" applyAlignment="1"/>
    <xf numFmtId="0" fontId="30" fillId="0" borderId="0" xfId="9" applyFont="1" applyFill="1" applyAlignment="1">
      <alignment vertical="center"/>
    </xf>
    <xf numFmtId="0" fontId="31" fillId="0" borderId="0" xfId="8" applyFont="1" applyFill="1" applyAlignment="1"/>
    <xf numFmtId="0" fontId="26" fillId="14" borderId="0" xfId="8" applyFont="1" applyFill="1" applyAlignment="1"/>
    <xf numFmtId="0" fontId="33" fillId="14" borderId="0" xfId="10" applyFont="1" applyFill="1" applyAlignment="1"/>
    <xf numFmtId="0" fontId="26" fillId="14" borderId="0" xfId="11" applyFont="1" applyFill="1" applyAlignment="1"/>
    <xf numFmtId="0" fontId="36" fillId="14" borderId="0" xfId="12" applyFont="1" applyFill="1" applyAlignment="1"/>
    <xf numFmtId="0" fontId="37" fillId="14" borderId="0" xfId="13" applyFont="1" applyFill="1" applyAlignment="1"/>
    <xf numFmtId="0" fontId="38" fillId="14" borderId="0" xfId="9" applyFont="1" applyFill="1" applyAlignment="1"/>
    <xf numFmtId="0" fontId="39" fillId="14" borderId="0" xfId="14" applyFont="1" applyFill="1" applyAlignment="1"/>
    <xf numFmtId="0" fontId="39" fillId="14" borderId="0" xfId="14" applyFont="1" applyFill="1" applyAlignment="1">
      <alignment horizontal="left"/>
    </xf>
    <xf numFmtId="0" fontId="39" fillId="14" borderId="0" xfId="9" applyFont="1" applyFill="1" applyAlignment="1"/>
    <xf numFmtId="0" fontId="39" fillId="14" borderId="0" xfId="9" applyFont="1" applyFill="1" applyAlignment="1">
      <alignment horizontal="left"/>
    </xf>
    <xf numFmtId="0" fontId="40" fillId="14" borderId="0" xfId="12" applyFont="1" applyFill="1" applyAlignment="1"/>
    <xf numFmtId="0" fontId="38" fillId="14" borderId="0" xfId="14" applyFont="1" applyFill="1" applyAlignment="1">
      <alignment wrapText="1"/>
    </xf>
    <xf numFmtId="0" fontId="38" fillId="14" borderId="0" xfId="14" applyFont="1" applyFill="1" applyAlignment="1">
      <alignment horizontal="left" wrapText="1"/>
    </xf>
    <xf numFmtId="0" fontId="3" fillId="14" borderId="0" xfId="15" applyFill="1"/>
    <xf numFmtId="0" fontId="39" fillId="14" borderId="0" xfId="16" applyFont="1" applyFill="1" applyAlignment="1">
      <alignment horizontal="left" vertical="center" wrapText="1"/>
    </xf>
    <xf numFmtId="0" fontId="41" fillId="5" borderId="0" xfId="17" applyFont="1" applyFill="1"/>
    <xf numFmtId="1" fontId="39" fillId="14" borderId="0" xfId="16" applyNumberFormat="1" applyFont="1" applyFill="1" applyAlignment="1">
      <alignment horizontal="left" vertical="center"/>
    </xf>
    <xf numFmtId="0" fontId="39" fillId="14" borderId="0" xfId="15" applyFont="1" applyFill="1"/>
    <xf numFmtId="0" fontId="42" fillId="14" borderId="0" xfId="15" applyFont="1" applyFill="1"/>
    <xf numFmtId="0" fontId="42" fillId="14" borderId="0" xfId="15" applyFont="1" applyFill="1" applyAlignment="1">
      <alignment wrapText="1"/>
    </xf>
    <xf numFmtId="0" fontId="42" fillId="14" borderId="0" xfId="15" applyFont="1" applyFill="1" applyAlignment="1">
      <alignment horizontal="left"/>
    </xf>
    <xf numFmtId="0" fontId="43" fillId="4" borderId="0" xfId="0" applyFont="1" applyFill="1" applyAlignment="1"/>
    <xf numFmtId="0" fontId="44" fillId="14" borderId="0" xfId="2" applyFont="1" applyFill="1" applyAlignment="1"/>
    <xf numFmtId="0" fontId="37" fillId="14" borderId="0" xfId="2" applyFont="1" applyFill="1" applyAlignment="1"/>
    <xf numFmtId="0" fontId="45" fillId="2" borderId="0" xfId="0" applyFont="1" applyFill="1" applyAlignment="1"/>
    <xf numFmtId="0" fontId="37" fillId="5" borderId="0" xfId="2" applyFont="1" applyFill="1" applyAlignment="1">
      <alignment horizontal="left"/>
    </xf>
    <xf numFmtId="0" fontId="8" fillId="7" borderId="0" xfId="5" applyFont="1" applyFill="1" applyBorder="1" applyAlignment="1">
      <alignment vertical="center"/>
    </xf>
    <xf numFmtId="0" fontId="16" fillId="0" borderId="0" xfId="5" applyAlignment="1">
      <alignment vertical="center"/>
    </xf>
    <xf numFmtId="0" fontId="8" fillId="7" borderId="4" xfId="5" applyFont="1" applyFill="1" applyBorder="1" applyAlignment="1">
      <alignment vertical="center"/>
    </xf>
    <xf numFmtId="0" fontId="16" fillId="0" borderId="4" xfId="5" applyBorder="1" applyAlignment="1">
      <alignment vertical="center"/>
    </xf>
    <xf numFmtId="0" fontId="8" fillId="7" borderId="3" xfId="5" applyFont="1" applyFill="1" applyBorder="1" applyAlignment="1">
      <alignment vertical="center"/>
    </xf>
    <xf numFmtId="0" fontId="16" fillId="0" borderId="5" xfId="5" applyBorder="1" applyAlignment="1">
      <alignment vertical="center"/>
    </xf>
    <xf numFmtId="0" fontId="8" fillId="7" borderId="3" xfId="3" applyFont="1" applyFill="1" applyBorder="1" applyAlignment="1">
      <alignment vertical="center"/>
    </xf>
    <xf numFmtId="0" fontId="8" fillId="7" borderId="4" xfId="3" applyFont="1" applyFill="1" applyBorder="1" applyAlignment="1">
      <alignment vertical="center"/>
    </xf>
    <xf numFmtId="0" fontId="6" fillId="0" borderId="5" xfId="3" applyBorder="1" applyAlignment="1">
      <alignment vertical="center"/>
    </xf>
    <xf numFmtId="0" fontId="0" fillId="9" borderId="0" xfId="0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</cellXfs>
  <cellStyles count="18">
    <cellStyle name="Hyperlink" xfId="2" xr:uid="{00000000-0005-0000-0000-000000000000}"/>
    <cellStyle name="Hyperlink 2 2" xfId="10" xr:uid="{EF350FC1-D4D3-43B8-B62C-650753CEBE9D}"/>
    <cellStyle name="Hyperlink 2 2 2" xfId="12" xr:uid="{A1E70FA4-AE6A-4A7D-A2F2-90A343D3483A}"/>
    <cellStyle name="Hyperlink 3 2" xfId="13" xr:uid="{F486280E-D7DB-4EFE-A81F-9C8BCA44BF0D}"/>
    <cellStyle name="Normal" xfId="0" builtinId="0"/>
    <cellStyle name="Normal 2" xfId="1" xr:uid="{00000000-0005-0000-0000-000002000000}"/>
    <cellStyle name="Normal 2 2" xfId="3" xr:uid="{00000000-0005-0000-0000-000003000000}"/>
    <cellStyle name="Normal 2 2 2 2" xfId="9" xr:uid="{CB8550E2-7C20-494E-B40B-331C2249908D}"/>
    <cellStyle name="Normal 2 3" xfId="14" xr:uid="{A148DFF9-729D-437A-BB59-0BE0169D1C06}"/>
    <cellStyle name="Normal 2 4" xfId="16" xr:uid="{ECFFF7C3-8EC4-4930-983A-B2BDEEFE5E43}"/>
    <cellStyle name="Normal 3" xfId="5" xr:uid="{00000000-0005-0000-0000-000004000000}"/>
    <cellStyle name="Normal 5 2" xfId="15" xr:uid="{030AD6A5-E498-4F46-A2F6-D7E22ABD6FDE}"/>
    <cellStyle name="Normal 6" xfId="17" xr:uid="{DB7F3DB8-CF6B-408A-BC96-CAF2755080C8}"/>
    <cellStyle name="Normal 6 2" xfId="8" xr:uid="{E19E9661-7FE6-49F2-AE5A-334F4687E8D0}"/>
    <cellStyle name="Normal 7 2" xfId="11" xr:uid="{49319F8B-5B1F-4CD4-8E01-6F7BCB983D03}"/>
    <cellStyle name="Normal_Book1" xfId="4" xr:uid="{00000000-0005-0000-0000-000005000000}"/>
    <cellStyle name="Normal_Book1 2" xfId="6" xr:uid="{00000000-0005-0000-0000-000006000000}"/>
    <cellStyle name="Percent" xfId="7" builtin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291737</xdr:colOff>
      <xdr:row>12</xdr:row>
      <xdr:rowOff>77289</xdr:rowOff>
    </xdr:from>
    <xdr:to>
      <xdr:col>6</xdr:col>
      <xdr:colOff>500743</xdr:colOff>
      <xdr:row>45</xdr:row>
      <xdr:rowOff>130629</xdr:rowOff>
    </xdr:to>
    <xdr:sp macro="[0]!LE_1110" textlink="">
      <xdr:nvSpPr>
        <xdr:cNvPr id="2" name="Star: 5 Points 1">
          <a:extLst>
            <a:ext uri="{FF2B5EF4-FFF2-40B4-BE49-F238E27FC236}">
              <a16:creationId xmlns:a16="http://schemas.microsoft.com/office/drawing/2014/main" id="{37B3DDC1-50BD-4AFE-BE4B-B80F2F9A5C0A}"/>
            </a:ext>
          </a:extLst>
        </xdr:cNvPr>
        <xdr:cNvSpPr/>
      </xdr:nvSpPr>
      <xdr:spPr>
        <a:xfrm>
          <a:off x="291737" y="2229939"/>
          <a:ext cx="3904706" cy="613029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/>
            <a:t>RUN MACRO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C1400015-962D-4CF1-9FAA-467D25132F8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8623035A-5DD5-4A4D-81C0-B96F97F788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2"/>
  </sheetPr>
  <dimension ref="B1:N64"/>
  <sheetViews>
    <sheetView showGridLines="0" zoomScale="85" zoomScaleNormal="100" workbookViewId="0">
      <pane xSplit="2" ySplit="2" topLeftCell="C3" activePane="bottomRight" state="frozen"/>
      <selection activeCell="B1" sqref="B1"/>
      <selection pane="topRight" activeCell="C1" sqref="C1"/>
      <selection pane="bottomLeft" activeCell="B4" sqref="B4"/>
      <selection pane="bottomRight" activeCell="C3" sqref="C3"/>
    </sheetView>
  </sheetViews>
  <sheetFormatPr defaultRowHeight="13.2" x14ac:dyDescent="0.3"/>
  <cols>
    <col min="1" max="1" width="9.21875" style="75"/>
    <col min="2" max="2" width="24.21875" style="75" customWidth="1"/>
    <col min="3" max="6" width="11.21875" style="75" customWidth="1"/>
    <col min="7" max="245" width="9.21875" style="75"/>
    <col min="246" max="246" width="24.21875" style="75" customWidth="1"/>
    <col min="247" max="249" width="11.21875" style="75" customWidth="1"/>
    <col min="250" max="250" width="10" style="75" customWidth="1"/>
    <col min="251" max="251" width="16.5546875" style="75" customWidth="1"/>
    <col min="252" max="254" width="11.21875" style="75" customWidth="1"/>
    <col min="255" max="255" width="16" style="75" customWidth="1"/>
    <col min="256" max="258" width="11.21875" style="75" customWidth="1"/>
    <col min="259" max="259" width="16.77734375" style="75" customWidth="1"/>
    <col min="260" max="262" width="11.21875" style="75" customWidth="1"/>
    <col min="263" max="501" width="9.21875" style="75"/>
    <col min="502" max="502" width="24.21875" style="75" customWidth="1"/>
    <col min="503" max="505" width="11.21875" style="75" customWidth="1"/>
    <col min="506" max="506" width="10" style="75" customWidth="1"/>
    <col min="507" max="507" width="16.5546875" style="75" customWidth="1"/>
    <col min="508" max="510" width="11.21875" style="75" customWidth="1"/>
    <col min="511" max="511" width="16" style="75" customWidth="1"/>
    <col min="512" max="514" width="11.21875" style="75" customWidth="1"/>
    <col min="515" max="515" width="16.77734375" style="75" customWidth="1"/>
    <col min="516" max="518" width="11.21875" style="75" customWidth="1"/>
    <col min="519" max="757" width="9.21875" style="75"/>
    <col min="758" max="758" width="24.21875" style="75" customWidth="1"/>
    <col min="759" max="761" width="11.21875" style="75" customWidth="1"/>
    <col min="762" max="762" width="10" style="75" customWidth="1"/>
    <col min="763" max="763" width="16.5546875" style="75" customWidth="1"/>
    <col min="764" max="766" width="11.21875" style="75" customWidth="1"/>
    <col min="767" max="767" width="16" style="75" customWidth="1"/>
    <col min="768" max="770" width="11.21875" style="75" customWidth="1"/>
    <col min="771" max="771" width="16.77734375" style="75" customWidth="1"/>
    <col min="772" max="774" width="11.21875" style="75" customWidth="1"/>
    <col min="775" max="1013" width="9.21875" style="75"/>
    <col min="1014" max="1014" width="24.21875" style="75" customWidth="1"/>
    <col min="1015" max="1017" width="11.21875" style="75" customWidth="1"/>
    <col min="1018" max="1018" width="10" style="75" customWidth="1"/>
    <col min="1019" max="1019" width="16.5546875" style="75" customWidth="1"/>
    <col min="1020" max="1022" width="11.21875" style="75" customWidth="1"/>
    <col min="1023" max="1023" width="16" style="75" customWidth="1"/>
    <col min="1024" max="1026" width="11.21875" style="75" customWidth="1"/>
    <col min="1027" max="1027" width="16.77734375" style="75" customWidth="1"/>
    <col min="1028" max="1030" width="11.21875" style="75" customWidth="1"/>
    <col min="1031" max="1269" width="9.21875" style="75"/>
    <col min="1270" max="1270" width="24.21875" style="75" customWidth="1"/>
    <col min="1271" max="1273" width="11.21875" style="75" customWidth="1"/>
    <col min="1274" max="1274" width="10" style="75" customWidth="1"/>
    <col min="1275" max="1275" width="16.5546875" style="75" customWidth="1"/>
    <col min="1276" max="1278" width="11.21875" style="75" customWidth="1"/>
    <col min="1279" max="1279" width="16" style="75" customWidth="1"/>
    <col min="1280" max="1282" width="11.21875" style="75" customWidth="1"/>
    <col min="1283" max="1283" width="16.77734375" style="75" customWidth="1"/>
    <col min="1284" max="1286" width="11.21875" style="75" customWidth="1"/>
    <col min="1287" max="1525" width="9.21875" style="75"/>
    <col min="1526" max="1526" width="24.21875" style="75" customWidth="1"/>
    <col min="1527" max="1529" width="11.21875" style="75" customWidth="1"/>
    <col min="1530" max="1530" width="10" style="75" customWidth="1"/>
    <col min="1531" max="1531" width="16.5546875" style="75" customWidth="1"/>
    <col min="1532" max="1534" width="11.21875" style="75" customWidth="1"/>
    <col min="1535" max="1535" width="16" style="75" customWidth="1"/>
    <col min="1536" max="1538" width="11.21875" style="75" customWidth="1"/>
    <col min="1539" max="1539" width="16.77734375" style="75" customWidth="1"/>
    <col min="1540" max="1542" width="11.21875" style="75" customWidth="1"/>
    <col min="1543" max="1781" width="9.21875" style="75"/>
    <col min="1782" max="1782" width="24.21875" style="75" customWidth="1"/>
    <col min="1783" max="1785" width="11.21875" style="75" customWidth="1"/>
    <col min="1786" max="1786" width="10" style="75" customWidth="1"/>
    <col min="1787" max="1787" width="16.5546875" style="75" customWidth="1"/>
    <col min="1788" max="1790" width="11.21875" style="75" customWidth="1"/>
    <col min="1791" max="1791" width="16" style="75" customWidth="1"/>
    <col min="1792" max="1794" width="11.21875" style="75" customWidth="1"/>
    <col min="1795" max="1795" width="16.77734375" style="75" customWidth="1"/>
    <col min="1796" max="1798" width="11.21875" style="75" customWidth="1"/>
    <col min="1799" max="2037" width="9.21875" style="75"/>
    <col min="2038" max="2038" width="24.21875" style="75" customWidth="1"/>
    <col min="2039" max="2041" width="11.21875" style="75" customWidth="1"/>
    <col min="2042" max="2042" width="10" style="75" customWidth="1"/>
    <col min="2043" max="2043" width="16.5546875" style="75" customWidth="1"/>
    <col min="2044" max="2046" width="11.21875" style="75" customWidth="1"/>
    <col min="2047" max="2047" width="16" style="75" customWidth="1"/>
    <col min="2048" max="2050" width="11.21875" style="75" customWidth="1"/>
    <col min="2051" max="2051" width="16.77734375" style="75" customWidth="1"/>
    <col min="2052" max="2054" width="11.21875" style="75" customWidth="1"/>
    <col min="2055" max="2293" width="9.21875" style="75"/>
    <col min="2294" max="2294" width="24.21875" style="75" customWidth="1"/>
    <col min="2295" max="2297" width="11.21875" style="75" customWidth="1"/>
    <col min="2298" max="2298" width="10" style="75" customWidth="1"/>
    <col min="2299" max="2299" width="16.5546875" style="75" customWidth="1"/>
    <col min="2300" max="2302" width="11.21875" style="75" customWidth="1"/>
    <col min="2303" max="2303" width="16" style="75" customWidth="1"/>
    <col min="2304" max="2306" width="11.21875" style="75" customWidth="1"/>
    <col min="2307" max="2307" width="16.77734375" style="75" customWidth="1"/>
    <col min="2308" max="2310" width="11.21875" style="75" customWidth="1"/>
    <col min="2311" max="2549" width="9.21875" style="75"/>
    <col min="2550" max="2550" width="24.21875" style="75" customWidth="1"/>
    <col min="2551" max="2553" width="11.21875" style="75" customWidth="1"/>
    <col min="2554" max="2554" width="10" style="75" customWidth="1"/>
    <col min="2555" max="2555" width="16.5546875" style="75" customWidth="1"/>
    <col min="2556" max="2558" width="11.21875" style="75" customWidth="1"/>
    <col min="2559" max="2559" width="16" style="75" customWidth="1"/>
    <col min="2560" max="2562" width="11.21875" style="75" customWidth="1"/>
    <col min="2563" max="2563" width="16.77734375" style="75" customWidth="1"/>
    <col min="2564" max="2566" width="11.21875" style="75" customWidth="1"/>
    <col min="2567" max="2805" width="9.21875" style="75"/>
    <col min="2806" max="2806" width="24.21875" style="75" customWidth="1"/>
    <col min="2807" max="2809" width="11.21875" style="75" customWidth="1"/>
    <col min="2810" max="2810" width="10" style="75" customWidth="1"/>
    <col min="2811" max="2811" width="16.5546875" style="75" customWidth="1"/>
    <col min="2812" max="2814" width="11.21875" style="75" customWidth="1"/>
    <col min="2815" max="2815" width="16" style="75" customWidth="1"/>
    <col min="2816" max="2818" width="11.21875" style="75" customWidth="1"/>
    <col min="2819" max="2819" width="16.77734375" style="75" customWidth="1"/>
    <col min="2820" max="2822" width="11.21875" style="75" customWidth="1"/>
    <col min="2823" max="3061" width="9.21875" style="75"/>
    <col min="3062" max="3062" width="24.21875" style="75" customWidth="1"/>
    <col min="3063" max="3065" width="11.21875" style="75" customWidth="1"/>
    <col min="3066" max="3066" width="10" style="75" customWidth="1"/>
    <col min="3067" max="3067" width="16.5546875" style="75" customWidth="1"/>
    <col min="3068" max="3070" width="11.21875" style="75" customWidth="1"/>
    <col min="3071" max="3071" width="16" style="75" customWidth="1"/>
    <col min="3072" max="3074" width="11.21875" style="75" customWidth="1"/>
    <col min="3075" max="3075" width="16.77734375" style="75" customWidth="1"/>
    <col min="3076" max="3078" width="11.21875" style="75" customWidth="1"/>
    <col min="3079" max="3317" width="9.21875" style="75"/>
    <col min="3318" max="3318" width="24.21875" style="75" customWidth="1"/>
    <col min="3319" max="3321" width="11.21875" style="75" customWidth="1"/>
    <col min="3322" max="3322" width="10" style="75" customWidth="1"/>
    <col min="3323" max="3323" width="16.5546875" style="75" customWidth="1"/>
    <col min="3324" max="3326" width="11.21875" style="75" customWidth="1"/>
    <col min="3327" max="3327" width="16" style="75" customWidth="1"/>
    <col min="3328" max="3330" width="11.21875" style="75" customWidth="1"/>
    <col min="3331" max="3331" width="16.77734375" style="75" customWidth="1"/>
    <col min="3332" max="3334" width="11.21875" style="75" customWidth="1"/>
    <col min="3335" max="3573" width="9.21875" style="75"/>
    <col min="3574" max="3574" width="24.21875" style="75" customWidth="1"/>
    <col min="3575" max="3577" width="11.21875" style="75" customWidth="1"/>
    <col min="3578" max="3578" width="10" style="75" customWidth="1"/>
    <col min="3579" max="3579" width="16.5546875" style="75" customWidth="1"/>
    <col min="3580" max="3582" width="11.21875" style="75" customWidth="1"/>
    <col min="3583" max="3583" width="16" style="75" customWidth="1"/>
    <col min="3584" max="3586" width="11.21875" style="75" customWidth="1"/>
    <col min="3587" max="3587" width="16.77734375" style="75" customWidth="1"/>
    <col min="3588" max="3590" width="11.21875" style="75" customWidth="1"/>
    <col min="3591" max="3829" width="9.21875" style="75"/>
    <col min="3830" max="3830" width="24.21875" style="75" customWidth="1"/>
    <col min="3831" max="3833" width="11.21875" style="75" customWidth="1"/>
    <col min="3834" max="3834" width="10" style="75" customWidth="1"/>
    <col min="3835" max="3835" width="16.5546875" style="75" customWidth="1"/>
    <col min="3836" max="3838" width="11.21875" style="75" customWidth="1"/>
    <col min="3839" max="3839" width="16" style="75" customWidth="1"/>
    <col min="3840" max="3842" width="11.21875" style="75" customWidth="1"/>
    <col min="3843" max="3843" width="16.77734375" style="75" customWidth="1"/>
    <col min="3844" max="3846" width="11.21875" style="75" customWidth="1"/>
    <col min="3847" max="4085" width="9.21875" style="75"/>
    <col min="4086" max="4086" width="24.21875" style="75" customWidth="1"/>
    <col min="4087" max="4089" width="11.21875" style="75" customWidth="1"/>
    <col min="4090" max="4090" width="10" style="75" customWidth="1"/>
    <col min="4091" max="4091" width="16.5546875" style="75" customWidth="1"/>
    <col min="4092" max="4094" width="11.21875" style="75" customWidth="1"/>
    <col min="4095" max="4095" width="16" style="75" customWidth="1"/>
    <col min="4096" max="4098" width="11.21875" style="75" customWidth="1"/>
    <col min="4099" max="4099" width="16.77734375" style="75" customWidth="1"/>
    <col min="4100" max="4102" width="11.21875" style="75" customWidth="1"/>
    <col min="4103" max="4341" width="9.21875" style="75"/>
    <col min="4342" max="4342" width="24.21875" style="75" customWidth="1"/>
    <col min="4343" max="4345" width="11.21875" style="75" customWidth="1"/>
    <col min="4346" max="4346" width="10" style="75" customWidth="1"/>
    <col min="4347" max="4347" width="16.5546875" style="75" customWidth="1"/>
    <col min="4348" max="4350" width="11.21875" style="75" customWidth="1"/>
    <col min="4351" max="4351" width="16" style="75" customWidth="1"/>
    <col min="4352" max="4354" width="11.21875" style="75" customWidth="1"/>
    <col min="4355" max="4355" width="16.77734375" style="75" customWidth="1"/>
    <col min="4356" max="4358" width="11.21875" style="75" customWidth="1"/>
    <col min="4359" max="4597" width="9.21875" style="75"/>
    <col min="4598" max="4598" width="24.21875" style="75" customWidth="1"/>
    <col min="4599" max="4601" width="11.21875" style="75" customWidth="1"/>
    <col min="4602" max="4602" width="10" style="75" customWidth="1"/>
    <col min="4603" max="4603" width="16.5546875" style="75" customWidth="1"/>
    <col min="4604" max="4606" width="11.21875" style="75" customWidth="1"/>
    <col min="4607" max="4607" width="16" style="75" customWidth="1"/>
    <col min="4608" max="4610" width="11.21875" style="75" customWidth="1"/>
    <col min="4611" max="4611" width="16.77734375" style="75" customWidth="1"/>
    <col min="4612" max="4614" width="11.21875" style="75" customWidth="1"/>
    <col min="4615" max="4853" width="9.21875" style="75"/>
    <col min="4854" max="4854" width="24.21875" style="75" customWidth="1"/>
    <col min="4855" max="4857" width="11.21875" style="75" customWidth="1"/>
    <col min="4858" max="4858" width="10" style="75" customWidth="1"/>
    <col min="4859" max="4859" width="16.5546875" style="75" customWidth="1"/>
    <col min="4860" max="4862" width="11.21875" style="75" customWidth="1"/>
    <col min="4863" max="4863" width="16" style="75" customWidth="1"/>
    <col min="4864" max="4866" width="11.21875" style="75" customWidth="1"/>
    <col min="4867" max="4867" width="16.77734375" style="75" customWidth="1"/>
    <col min="4868" max="4870" width="11.21875" style="75" customWidth="1"/>
    <col min="4871" max="5109" width="9.21875" style="75"/>
    <col min="5110" max="5110" width="24.21875" style="75" customWidth="1"/>
    <col min="5111" max="5113" width="11.21875" style="75" customWidth="1"/>
    <col min="5114" max="5114" width="10" style="75" customWidth="1"/>
    <col min="5115" max="5115" width="16.5546875" style="75" customWidth="1"/>
    <col min="5116" max="5118" width="11.21875" style="75" customWidth="1"/>
    <col min="5119" max="5119" width="16" style="75" customWidth="1"/>
    <col min="5120" max="5122" width="11.21875" style="75" customWidth="1"/>
    <col min="5123" max="5123" width="16.77734375" style="75" customWidth="1"/>
    <col min="5124" max="5126" width="11.21875" style="75" customWidth="1"/>
    <col min="5127" max="5365" width="9.21875" style="75"/>
    <col min="5366" max="5366" width="24.21875" style="75" customWidth="1"/>
    <col min="5367" max="5369" width="11.21875" style="75" customWidth="1"/>
    <col min="5370" max="5370" width="10" style="75" customWidth="1"/>
    <col min="5371" max="5371" width="16.5546875" style="75" customWidth="1"/>
    <col min="5372" max="5374" width="11.21875" style="75" customWidth="1"/>
    <col min="5375" max="5375" width="16" style="75" customWidth="1"/>
    <col min="5376" max="5378" width="11.21875" style="75" customWidth="1"/>
    <col min="5379" max="5379" width="16.77734375" style="75" customWidth="1"/>
    <col min="5380" max="5382" width="11.21875" style="75" customWidth="1"/>
    <col min="5383" max="5621" width="9.21875" style="75"/>
    <col min="5622" max="5622" width="24.21875" style="75" customWidth="1"/>
    <col min="5623" max="5625" width="11.21875" style="75" customWidth="1"/>
    <col min="5626" max="5626" width="10" style="75" customWidth="1"/>
    <col min="5627" max="5627" width="16.5546875" style="75" customWidth="1"/>
    <col min="5628" max="5630" width="11.21875" style="75" customWidth="1"/>
    <col min="5631" max="5631" width="16" style="75" customWidth="1"/>
    <col min="5632" max="5634" width="11.21875" style="75" customWidth="1"/>
    <col min="5635" max="5635" width="16.77734375" style="75" customWidth="1"/>
    <col min="5636" max="5638" width="11.21875" style="75" customWidth="1"/>
    <col min="5639" max="5877" width="9.21875" style="75"/>
    <col min="5878" max="5878" width="24.21875" style="75" customWidth="1"/>
    <col min="5879" max="5881" width="11.21875" style="75" customWidth="1"/>
    <col min="5882" max="5882" width="10" style="75" customWidth="1"/>
    <col min="5883" max="5883" width="16.5546875" style="75" customWidth="1"/>
    <col min="5884" max="5886" width="11.21875" style="75" customWidth="1"/>
    <col min="5887" max="5887" width="16" style="75" customWidth="1"/>
    <col min="5888" max="5890" width="11.21875" style="75" customWidth="1"/>
    <col min="5891" max="5891" width="16.77734375" style="75" customWidth="1"/>
    <col min="5892" max="5894" width="11.21875" style="75" customWidth="1"/>
    <col min="5895" max="6133" width="9.21875" style="75"/>
    <col min="6134" max="6134" width="24.21875" style="75" customWidth="1"/>
    <col min="6135" max="6137" width="11.21875" style="75" customWidth="1"/>
    <col min="6138" max="6138" width="10" style="75" customWidth="1"/>
    <col min="6139" max="6139" width="16.5546875" style="75" customWidth="1"/>
    <col min="6140" max="6142" width="11.21875" style="75" customWidth="1"/>
    <col min="6143" max="6143" width="16" style="75" customWidth="1"/>
    <col min="6144" max="6146" width="11.21875" style="75" customWidth="1"/>
    <col min="6147" max="6147" width="16.77734375" style="75" customWidth="1"/>
    <col min="6148" max="6150" width="11.21875" style="75" customWidth="1"/>
    <col min="6151" max="6389" width="9.21875" style="75"/>
    <col min="6390" max="6390" width="24.21875" style="75" customWidth="1"/>
    <col min="6391" max="6393" width="11.21875" style="75" customWidth="1"/>
    <col min="6394" max="6394" width="10" style="75" customWidth="1"/>
    <col min="6395" max="6395" width="16.5546875" style="75" customWidth="1"/>
    <col min="6396" max="6398" width="11.21875" style="75" customWidth="1"/>
    <col min="6399" max="6399" width="16" style="75" customWidth="1"/>
    <col min="6400" max="6402" width="11.21875" style="75" customWidth="1"/>
    <col min="6403" max="6403" width="16.77734375" style="75" customWidth="1"/>
    <col min="6404" max="6406" width="11.21875" style="75" customWidth="1"/>
    <col min="6407" max="6645" width="9.21875" style="75"/>
    <col min="6646" max="6646" width="24.21875" style="75" customWidth="1"/>
    <col min="6647" max="6649" width="11.21875" style="75" customWidth="1"/>
    <col min="6650" max="6650" width="10" style="75" customWidth="1"/>
    <col min="6651" max="6651" width="16.5546875" style="75" customWidth="1"/>
    <col min="6652" max="6654" width="11.21875" style="75" customWidth="1"/>
    <col min="6655" max="6655" width="16" style="75" customWidth="1"/>
    <col min="6656" max="6658" width="11.21875" style="75" customWidth="1"/>
    <col min="6659" max="6659" width="16.77734375" style="75" customWidth="1"/>
    <col min="6660" max="6662" width="11.21875" style="75" customWidth="1"/>
    <col min="6663" max="6901" width="9.21875" style="75"/>
    <col min="6902" max="6902" width="24.21875" style="75" customWidth="1"/>
    <col min="6903" max="6905" width="11.21875" style="75" customWidth="1"/>
    <col min="6906" max="6906" width="10" style="75" customWidth="1"/>
    <col min="6907" max="6907" width="16.5546875" style="75" customWidth="1"/>
    <col min="6908" max="6910" width="11.21875" style="75" customWidth="1"/>
    <col min="6911" max="6911" width="16" style="75" customWidth="1"/>
    <col min="6912" max="6914" width="11.21875" style="75" customWidth="1"/>
    <col min="6915" max="6915" width="16.77734375" style="75" customWidth="1"/>
    <col min="6916" max="6918" width="11.21875" style="75" customWidth="1"/>
    <col min="6919" max="7157" width="9.21875" style="75"/>
    <col min="7158" max="7158" width="24.21875" style="75" customWidth="1"/>
    <col min="7159" max="7161" width="11.21875" style="75" customWidth="1"/>
    <col min="7162" max="7162" width="10" style="75" customWidth="1"/>
    <col min="7163" max="7163" width="16.5546875" style="75" customWidth="1"/>
    <col min="7164" max="7166" width="11.21875" style="75" customWidth="1"/>
    <col min="7167" max="7167" width="16" style="75" customWidth="1"/>
    <col min="7168" max="7170" width="11.21875" style="75" customWidth="1"/>
    <col min="7171" max="7171" width="16.77734375" style="75" customWidth="1"/>
    <col min="7172" max="7174" width="11.21875" style="75" customWidth="1"/>
    <col min="7175" max="7413" width="9.21875" style="75"/>
    <col min="7414" max="7414" width="24.21875" style="75" customWidth="1"/>
    <col min="7415" max="7417" width="11.21875" style="75" customWidth="1"/>
    <col min="7418" max="7418" width="10" style="75" customWidth="1"/>
    <col min="7419" max="7419" width="16.5546875" style="75" customWidth="1"/>
    <col min="7420" max="7422" width="11.21875" style="75" customWidth="1"/>
    <col min="7423" max="7423" width="16" style="75" customWidth="1"/>
    <col min="7424" max="7426" width="11.21875" style="75" customWidth="1"/>
    <col min="7427" max="7427" width="16.77734375" style="75" customWidth="1"/>
    <col min="7428" max="7430" width="11.21875" style="75" customWidth="1"/>
    <col min="7431" max="7669" width="9.21875" style="75"/>
    <col min="7670" max="7670" width="24.21875" style="75" customWidth="1"/>
    <col min="7671" max="7673" width="11.21875" style="75" customWidth="1"/>
    <col min="7674" max="7674" width="10" style="75" customWidth="1"/>
    <col min="7675" max="7675" width="16.5546875" style="75" customWidth="1"/>
    <col min="7676" max="7678" width="11.21875" style="75" customWidth="1"/>
    <col min="7679" max="7679" width="16" style="75" customWidth="1"/>
    <col min="7680" max="7682" width="11.21875" style="75" customWidth="1"/>
    <col min="7683" max="7683" width="16.77734375" style="75" customWidth="1"/>
    <col min="7684" max="7686" width="11.21875" style="75" customWidth="1"/>
    <col min="7687" max="7925" width="9.21875" style="75"/>
    <col min="7926" max="7926" width="24.21875" style="75" customWidth="1"/>
    <col min="7927" max="7929" width="11.21875" style="75" customWidth="1"/>
    <col min="7930" max="7930" width="10" style="75" customWidth="1"/>
    <col min="7931" max="7931" width="16.5546875" style="75" customWidth="1"/>
    <col min="7932" max="7934" width="11.21875" style="75" customWidth="1"/>
    <col min="7935" max="7935" width="16" style="75" customWidth="1"/>
    <col min="7936" max="7938" width="11.21875" style="75" customWidth="1"/>
    <col min="7939" max="7939" width="16.77734375" style="75" customWidth="1"/>
    <col min="7940" max="7942" width="11.21875" style="75" customWidth="1"/>
    <col min="7943" max="8181" width="9.21875" style="75"/>
    <col min="8182" max="8182" width="24.21875" style="75" customWidth="1"/>
    <col min="8183" max="8185" width="11.21875" style="75" customWidth="1"/>
    <col min="8186" max="8186" width="10" style="75" customWidth="1"/>
    <col min="8187" max="8187" width="16.5546875" style="75" customWidth="1"/>
    <col min="8188" max="8190" width="11.21875" style="75" customWidth="1"/>
    <col min="8191" max="8191" width="16" style="75" customWidth="1"/>
    <col min="8192" max="8194" width="11.21875" style="75" customWidth="1"/>
    <col min="8195" max="8195" width="16.77734375" style="75" customWidth="1"/>
    <col min="8196" max="8198" width="11.21875" style="75" customWidth="1"/>
    <col min="8199" max="8437" width="9.21875" style="75"/>
    <col min="8438" max="8438" width="24.21875" style="75" customWidth="1"/>
    <col min="8439" max="8441" width="11.21875" style="75" customWidth="1"/>
    <col min="8442" max="8442" width="10" style="75" customWidth="1"/>
    <col min="8443" max="8443" width="16.5546875" style="75" customWidth="1"/>
    <col min="8444" max="8446" width="11.21875" style="75" customWidth="1"/>
    <col min="8447" max="8447" width="16" style="75" customWidth="1"/>
    <col min="8448" max="8450" width="11.21875" style="75" customWidth="1"/>
    <col min="8451" max="8451" width="16.77734375" style="75" customWidth="1"/>
    <col min="8452" max="8454" width="11.21875" style="75" customWidth="1"/>
    <col min="8455" max="8693" width="9.21875" style="75"/>
    <col min="8694" max="8694" width="24.21875" style="75" customWidth="1"/>
    <col min="8695" max="8697" width="11.21875" style="75" customWidth="1"/>
    <col min="8698" max="8698" width="10" style="75" customWidth="1"/>
    <col min="8699" max="8699" width="16.5546875" style="75" customWidth="1"/>
    <col min="8700" max="8702" width="11.21875" style="75" customWidth="1"/>
    <col min="8703" max="8703" width="16" style="75" customWidth="1"/>
    <col min="8704" max="8706" width="11.21875" style="75" customWidth="1"/>
    <col min="8707" max="8707" width="16.77734375" style="75" customWidth="1"/>
    <col min="8708" max="8710" width="11.21875" style="75" customWidth="1"/>
    <col min="8711" max="8949" width="9.21875" style="75"/>
    <col min="8950" max="8950" width="24.21875" style="75" customWidth="1"/>
    <col min="8951" max="8953" width="11.21875" style="75" customWidth="1"/>
    <col min="8954" max="8954" width="10" style="75" customWidth="1"/>
    <col min="8955" max="8955" width="16.5546875" style="75" customWidth="1"/>
    <col min="8956" max="8958" width="11.21875" style="75" customWidth="1"/>
    <col min="8959" max="8959" width="16" style="75" customWidth="1"/>
    <col min="8960" max="8962" width="11.21875" style="75" customWidth="1"/>
    <col min="8963" max="8963" width="16.77734375" style="75" customWidth="1"/>
    <col min="8964" max="8966" width="11.21875" style="75" customWidth="1"/>
    <col min="8967" max="9205" width="9.21875" style="75"/>
    <col min="9206" max="9206" width="24.21875" style="75" customWidth="1"/>
    <col min="9207" max="9209" width="11.21875" style="75" customWidth="1"/>
    <col min="9210" max="9210" width="10" style="75" customWidth="1"/>
    <col min="9211" max="9211" width="16.5546875" style="75" customWidth="1"/>
    <col min="9212" max="9214" width="11.21875" style="75" customWidth="1"/>
    <col min="9215" max="9215" width="16" style="75" customWidth="1"/>
    <col min="9216" max="9218" width="11.21875" style="75" customWidth="1"/>
    <col min="9219" max="9219" width="16.77734375" style="75" customWidth="1"/>
    <col min="9220" max="9222" width="11.21875" style="75" customWidth="1"/>
    <col min="9223" max="9461" width="9.21875" style="75"/>
    <col min="9462" max="9462" width="24.21875" style="75" customWidth="1"/>
    <col min="9463" max="9465" width="11.21875" style="75" customWidth="1"/>
    <col min="9466" max="9466" width="10" style="75" customWidth="1"/>
    <col min="9467" max="9467" width="16.5546875" style="75" customWidth="1"/>
    <col min="9468" max="9470" width="11.21875" style="75" customWidth="1"/>
    <col min="9471" max="9471" width="16" style="75" customWidth="1"/>
    <col min="9472" max="9474" width="11.21875" style="75" customWidth="1"/>
    <col min="9475" max="9475" width="16.77734375" style="75" customWidth="1"/>
    <col min="9476" max="9478" width="11.21875" style="75" customWidth="1"/>
    <col min="9479" max="9717" width="9.21875" style="75"/>
    <col min="9718" max="9718" width="24.21875" style="75" customWidth="1"/>
    <col min="9719" max="9721" width="11.21875" style="75" customWidth="1"/>
    <col min="9722" max="9722" width="10" style="75" customWidth="1"/>
    <col min="9723" max="9723" width="16.5546875" style="75" customWidth="1"/>
    <col min="9724" max="9726" width="11.21875" style="75" customWidth="1"/>
    <col min="9727" max="9727" width="16" style="75" customWidth="1"/>
    <col min="9728" max="9730" width="11.21875" style="75" customWidth="1"/>
    <col min="9731" max="9731" width="16.77734375" style="75" customWidth="1"/>
    <col min="9732" max="9734" width="11.21875" style="75" customWidth="1"/>
    <col min="9735" max="9973" width="9.21875" style="75"/>
    <col min="9974" max="9974" width="24.21875" style="75" customWidth="1"/>
    <col min="9975" max="9977" width="11.21875" style="75" customWidth="1"/>
    <col min="9978" max="9978" width="10" style="75" customWidth="1"/>
    <col min="9979" max="9979" width="16.5546875" style="75" customWidth="1"/>
    <col min="9980" max="9982" width="11.21875" style="75" customWidth="1"/>
    <col min="9983" max="9983" width="16" style="75" customWidth="1"/>
    <col min="9984" max="9986" width="11.21875" style="75" customWidth="1"/>
    <col min="9987" max="9987" width="16.77734375" style="75" customWidth="1"/>
    <col min="9988" max="9990" width="11.21875" style="75" customWidth="1"/>
    <col min="9991" max="10229" width="9.21875" style="75"/>
    <col min="10230" max="10230" width="24.21875" style="75" customWidth="1"/>
    <col min="10231" max="10233" width="11.21875" style="75" customWidth="1"/>
    <col min="10234" max="10234" width="10" style="75" customWidth="1"/>
    <col min="10235" max="10235" width="16.5546875" style="75" customWidth="1"/>
    <col min="10236" max="10238" width="11.21875" style="75" customWidth="1"/>
    <col min="10239" max="10239" width="16" style="75" customWidth="1"/>
    <col min="10240" max="10242" width="11.21875" style="75" customWidth="1"/>
    <col min="10243" max="10243" width="16.77734375" style="75" customWidth="1"/>
    <col min="10244" max="10246" width="11.21875" style="75" customWidth="1"/>
    <col min="10247" max="10485" width="9.21875" style="75"/>
    <col min="10486" max="10486" width="24.21875" style="75" customWidth="1"/>
    <col min="10487" max="10489" width="11.21875" style="75" customWidth="1"/>
    <col min="10490" max="10490" width="10" style="75" customWidth="1"/>
    <col min="10491" max="10491" width="16.5546875" style="75" customWidth="1"/>
    <col min="10492" max="10494" width="11.21875" style="75" customWidth="1"/>
    <col min="10495" max="10495" width="16" style="75" customWidth="1"/>
    <col min="10496" max="10498" width="11.21875" style="75" customWidth="1"/>
    <col min="10499" max="10499" width="16.77734375" style="75" customWidth="1"/>
    <col min="10500" max="10502" width="11.21875" style="75" customWidth="1"/>
    <col min="10503" max="10741" width="9.21875" style="75"/>
    <col min="10742" max="10742" width="24.21875" style="75" customWidth="1"/>
    <col min="10743" max="10745" width="11.21875" style="75" customWidth="1"/>
    <col min="10746" max="10746" width="10" style="75" customWidth="1"/>
    <col min="10747" max="10747" width="16.5546875" style="75" customWidth="1"/>
    <col min="10748" max="10750" width="11.21875" style="75" customWidth="1"/>
    <col min="10751" max="10751" width="16" style="75" customWidth="1"/>
    <col min="10752" max="10754" width="11.21875" style="75" customWidth="1"/>
    <col min="10755" max="10755" width="16.77734375" style="75" customWidth="1"/>
    <col min="10756" max="10758" width="11.21875" style="75" customWidth="1"/>
    <col min="10759" max="10997" width="9.21875" style="75"/>
    <col min="10998" max="10998" width="24.21875" style="75" customWidth="1"/>
    <col min="10999" max="11001" width="11.21875" style="75" customWidth="1"/>
    <col min="11002" max="11002" width="10" style="75" customWidth="1"/>
    <col min="11003" max="11003" width="16.5546875" style="75" customWidth="1"/>
    <col min="11004" max="11006" width="11.21875" style="75" customWidth="1"/>
    <col min="11007" max="11007" width="16" style="75" customWidth="1"/>
    <col min="11008" max="11010" width="11.21875" style="75" customWidth="1"/>
    <col min="11011" max="11011" width="16.77734375" style="75" customWidth="1"/>
    <col min="11012" max="11014" width="11.21875" style="75" customWidth="1"/>
    <col min="11015" max="11253" width="9.21875" style="75"/>
    <col min="11254" max="11254" width="24.21875" style="75" customWidth="1"/>
    <col min="11255" max="11257" width="11.21875" style="75" customWidth="1"/>
    <col min="11258" max="11258" width="10" style="75" customWidth="1"/>
    <col min="11259" max="11259" width="16.5546875" style="75" customWidth="1"/>
    <col min="11260" max="11262" width="11.21875" style="75" customWidth="1"/>
    <col min="11263" max="11263" width="16" style="75" customWidth="1"/>
    <col min="11264" max="11266" width="11.21875" style="75" customWidth="1"/>
    <col min="11267" max="11267" width="16.77734375" style="75" customWidth="1"/>
    <col min="11268" max="11270" width="11.21875" style="75" customWidth="1"/>
    <col min="11271" max="11509" width="9.21875" style="75"/>
    <col min="11510" max="11510" width="24.21875" style="75" customWidth="1"/>
    <col min="11511" max="11513" width="11.21875" style="75" customWidth="1"/>
    <col min="11514" max="11514" width="10" style="75" customWidth="1"/>
    <col min="11515" max="11515" width="16.5546875" style="75" customWidth="1"/>
    <col min="11516" max="11518" width="11.21875" style="75" customWidth="1"/>
    <col min="11519" max="11519" width="16" style="75" customWidth="1"/>
    <col min="11520" max="11522" width="11.21875" style="75" customWidth="1"/>
    <col min="11523" max="11523" width="16.77734375" style="75" customWidth="1"/>
    <col min="11524" max="11526" width="11.21875" style="75" customWidth="1"/>
    <col min="11527" max="11765" width="9.21875" style="75"/>
    <col min="11766" max="11766" width="24.21875" style="75" customWidth="1"/>
    <col min="11767" max="11769" width="11.21875" style="75" customWidth="1"/>
    <col min="11770" max="11770" width="10" style="75" customWidth="1"/>
    <col min="11771" max="11771" width="16.5546875" style="75" customWidth="1"/>
    <col min="11772" max="11774" width="11.21875" style="75" customWidth="1"/>
    <col min="11775" max="11775" width="16" style="75" customWidth="1"/>
    <col min="11776" max="11778" width="11.21875" style="75" customWidth="1"/>
    <col min="11779" max="11779" width="16.77734375" style="75" customWidth="1"/>
    <col min="11780" max="11782" width="11.21875" style="75" customWidth="1"/>
    <col min="11783" max="12021" width="9.21875" style="75"/>
    <col min="12022" max="12022" width="24.21875" style="75" customWidth="1"/>
    <col min="12023" max="12025" width="11.21875" style="75" customWidth="1"/>
    <col min="12026" max="12026" width="10" style="75" customWidth="1"/>
    <col min="12027" max="12027" width="16.5546875" style="75" customWidth="1"/>
    <col min="12028" max="12030" width="11.21875" style="75" customWidth="1"/>
    <col min="12031" max="12031" width="16" style="75" customWidth="1"/>
    <col min="12032" max="12034" width="11.21875" style="75" customWidth="1"/>
    <col min="12035" max="12035" width="16.77734375" style="75" customWidth="1"/>
    <col min="12036" max="12038" width="11.21875" style="75" customWidth="1"/>
    <col min="12039" max="12277" width="9.21875" style="75"/>
    <col min="12278" max="12278" width="24.21875" style="75" customWidth="1"/>
    <col min="12279" max="12281" width="11.21875" style="75" customWidth="1"/>
    <col min="12282" max="12282" width="10" style="75" customWidth="1"/>
    <col min="12283" max="12283" width="16.5546875" style="75" customWidth="1"/>
    <col min="12284" max="12286" width="11.21875" style="75" customWidth="1"/>
    <col min="12287" max="12287" width="16" style="75" customWidth="1"/>
    <col min="12288" max="12290" width="11.21875" style="75" customWidth="1"/>
    <col min="12291" max="12291" width="16.77734375" style="75" customWidth="1"/>
    <col min="12292" max="12294" width="11.21875" style="75" customWidth="1"/>
    <col min="12295" max="12533" width="9.21875" style="75"/>
    <col min="12534" max="12534" width="24.21875" style="75" customWidth="1"/>
    <col min="12535" max="12537" width="11.21875" style="75" customWidth="1"/>
    <col min="12538" max="12538" width="10" style="75" customWidth="1"/>
    <col min="12539" max="12539" width="16.5546875" style="75" customWidth="1"/>
    <col min="12540" max="12542" width="11.21875" style="75" customWidth="1"/>
    <col min="12543" max="12543" width="16" style="75" customWidth="1"/>
    <col min="12544" max="12546" width="11.21875" style="75" customWidth="1"/>
    <col min="12547" max="12547" width="16.77734375" style="75" customWidth="1"/>
    <col min="12548" max="12550" width="11.21875" style="75" customWidth="1"/>
    <col min="12551" max="12789" width="9.21875" style="75"/>
    <col min="12790" max="12790" width="24.21875" style="75" customWidth="1"/>
    <col min="12791" max="12793" width="11.21875" style="75" customWidth="1"/>
    <col min="12794" max="12794" width="10" style="75" customWidth="1"/>
    <col min="12795" max="12795" width="16.5546875" style="75" customWidth="1"/>
    <col min="12796" max="12798" width="11.21875" style="75" customWidth="1"/>
    <col min="12799" max="12799" width="16" style="75" customWidth="1"/>
    <col min="12800" max="12802" width="11.21875" style="75" customWidth="1"/>
    <col min="12803" max="12803" width="16.77734375" style="75" customWidth="1"/>
    <col min="12804" max="12806" width="11.21875" style="75" customWidth="1"/>
    <col min="12807" max="13045" width="9.21875" style="75"/>
    <col min="13046" max="13046" width="24.21875" style="75" customWidth="1"/>
    <col min="13047" max="13049" width="11.21875" style="75" customWidth="1"/>
    <col min="13050" max="13050" width="10" style="75" customWidth="1"/>
    <col min="13051" max="13051" width="16.5546875" style="75" customWidth="1"/>
    <col min="13052" max="13054" width="11.21875" style="75" customWidth="1"/>
    <col min="13055" max="13055" width="16" style="75" customWidth="1"/>
    <col min="13056" max="13058" width="11.21875" style="75" customWidth="1"/>
    <col min="13059" max="13059" width="16.77734375" style="75" customWidth="1"/>
    <col min="13060" max="13062" width="11.21875" style="75" customWidth="1"/>
    <col min="13063" max="13301" width="9.21875" style="75"/>
    <col min="13302" max="13302" width="24.21875" style="75" customWidth="1"/>
    <col min="13303" max="13305" width="11.21875" style="75" customWidth="1"/>
    <col min="13306" max="13306" width="10" style="75" customWidth="1"/>
    <col min="13307" max="13307" width="16.5546875" style="75" customWidth="1"/>
    <col min="13308" max="13310" width="11.21875" style="75" customWidth="1"/>
    <col min="13311" max="13311" width="16" style="75" customWidth="1"/>
    <col min="13312" max="13314" width="11.21875" style="75" customWidth="1"/>
    <col min="13315" max="13315" width="16.77734375" style="75" customWidth="1"/>
    <col min="13316" max="13318" width="11.21875" style="75" customWidth="1"/>
    <col min="13319" max="13557" width="9.21875" style="75"/>
    <col min="13558" max="13558" width="24.21875" style="75" customWidth="1"/>
    <col min="13559" max="13561" width="11.21875" style="75" customWidth="1"/>
    <col min="13562" max="13562" width="10" style="75" customWidth="1"/>
    <col min="13563" max="13563" width="16.5546875" style="75" customWidth="1"/>
    <col min="13564" max="13566" width="11.21875" style="75" customWidth="1"/>
    <col min="13567" max="13567" width="16" style="75" customWidth="1"/>
    <col min="13568" max="13570" width="11.21875" style="75" customWidth="1"/>
    <col min="13571" max="13571" width="16.77734375" style="75" customWidth="1"/>
    <col min="13572" max="13574" width="11.21875" style="75" customWidth="1"/>
    <col min="13575" max="13813" width="9.21875" style="75"/>
    <col min="13814" max="13814" width="24.21875" style="75" customWidth="1"/>
    <col min="13815" max="13817" width="11.21875" style="75" customWidth="1"/>
    <col min="13818" max="13818" width="10" style="75" customWidth="1"/>
    <col min="13819" max="13819" width="16.5546875" style="75" customWidth="1"/>
    <col min="13820" max="13822" width="11.21875" style="75" customWidth="1"/>
    <col min="13823" max="13823" width="16" style="75" customWidth="1"/>
    <col min="13824" max="13826" width="11.21875" style="75" customWidth="1"/>
    <col min="13827" max="13827" width="16.77734375" style="75" customWidth="1"/>
    <col min="13828" max="13830" width="11.21875" style="75" customWidth="1"/>
    <col min="13831" max="14069" width="9.21875" style="75"/>
    <col min="14070" max="14070" width="24.21875" style="75" customWidth="1"/>
    <col min="14071" max="14073" width="11.21875" style="75" customWidth="1"/>
    <col min="14074" max="14074" width="10" style="75" customWidth="1"/>
    <col min="14075" max="14075" width="16.5546875" style="75" customWidth="1"/>
    <col min="14076" max="14078" width="11.21875" style="75" customWidth="1"/>
    <col min="14079" max="14079" width="16" style="75" customWidth="1"/>
    <col min="14080" max="14082" width="11.21875" style="75" customWidth="1"/>
    <col min="14083" max="14083" width="16.77734375" style="75" customWidth="1"/>
    <col min="14084" max="14086" width="11.21875" style="75" customWidth="1"/>
    <col min="14087" max="14325" width="9.21875" style="75"/>
    <col min="14326" max="14326" width="24.21875" style="75" customWidth="1"/>
    <col min="14327" max="14329" width="11.21875" style="75" customWidth="1"/>
    <col min="14330" max="14330" width="10" style="75" customWidth="1"/>
    <col min="14331" max="14331" width="16.5546875" style="75" customWidth="1"/>
    <col min="14332" max="14334" width="11.21875" style="75" customWidth="1"/>
    <col min="14335" max="14335" width="16" style="75" customWidth="1"/>
    <col min="14336" max="14338" width="11.21875" style="75" customWidth="1"/>
    <col min="14339" max="14339" width="16.77734375" style="75" customWidth="1"/>
    <col min="14340" max="14342" width="11.21875" style="75" customWidth="1"/>
    <col min="14343" max="14581" width="9.21875" style="75"/>
    <col min="14582" max="14582" width="24.21875" style="75" customWidth="1"/>
    <col min="14583" max="14585" width="11.21875" style="75" customWidth="1"/>
    <col min="14586" max="14586" width="10" style="75" customWidth="1"/>
    <col min="14587" max="14587" width="16.5546875" style="75" customWidth="1"/>
    <col min="14588" max="14590" width="11.21875" style="75" customWidth="1"/>
    <col min="14591" max="14591" width="16" style="75" customWidth="1"/>
    <col min="14592" max="14594" width="11.21875" style="75" customWidth="1"/>
    <col min="14595" max="14595" width="16.77734375" style="75" customWidth="1"/>
    <col min="14596" max="14598" width="11.21875" style="75" customWidth="1"/>
    <col min="14599" max="14837" width="9.21875" style="75"/>
    <col min="14838" max="14838" width="24.21875" style="75" customWidth="1"/>
    <col min="14839" max="14841" width="11.21875" style="75" customWidth="1"/>
    <col min="14842" max="14842" width="10" style="75" customWidth="1"/>
    <col min="14843" max="14843" width="16.5546875" style="75" customWidth="1"/>
    <col min="14844" max="14846" width="11.21875" style="75" customWidth="1"/>
    <col min="14847" max="14847" width="16" style="75" customWidth="1"/>
    <col min="14848" max="14850" width="11.21875" style="75" customWidth="1"/>
    <col min="14851" max="14851" width="16.77734375" style="75" customWidth="1"/>
    <col min="14852" max="14854" width="11.21875" style="75" customWidth="1"/>
    <col min="14855" max="15093" width="9.21875" style="75"/>
    <col min="15094" max="15094" width="24.21875" style="75" customWidth="1"/>
    <col min="15095" max="15097" width="11.21875" style="75" customWidth="1"/>
    <col min="15098" max="15098" width="10" style="75" customWidth="1"/>
    <col min="15099" max="15099" width="16.5546875" style="75" customWidth="1"/>
    <col min="15100" max="15102" width="11.21875" style="75" customWidth="1"/>
    <col min="15103" max="15103" width="16" style="75" customWidth="1"/>
    <col min="15104" max="15106" width="11.21875" style="75" customWidth="1"/>
    <col min="15107" max="15107" width="16.77734375" style="75" customWidth="1"/>
    <col min="15108" max="15110" width="11.21875" style="75" customWidth="1"/>
    <col min="15111" max="15349" width="9.21875" style="75"/>
    <col min="15350" max="15350" width="24.21875" style="75" customWidth="1"/>
    <col min="15351" max="15353" width="11.21875" style="75" customWidth="1"/>
    <col min="15354" max="15354" width="10" style="75" customWidth="1"/>
    <col min="15355" max="15355" width="16.5546875" style="75" customWidth="1"/>
    <col min="15356" max="15358" width="11.21875" style="75" customWidth="1"/>
    <col min="15359" max="15359" width="16" style="75" customWidth="1"/>
    <col min="15360" max="15362" width="11.21875" style="75" customWidth="1"/>
    <col min="15363" max="15363" width="16.77734375" style="75" customWidth="1"/>
    <col min="15364" max="15366" width="11.21875" style="75" customWidth="1"/>
    <col min="15367" max="15605" width="9.21875" style="75"/>
    <col min="15606" max="15606" width="24.21875" style="75" customWidth="1"/>
    <col min="15607" max="15609" width="11.21875" style="75" customWidth="1"/>
    <col min="15610" max="15610" width="10" style="75" customWidth="1"/>
    <col min="15611" max="15611" width="16.5546875" style="75" customWidth="1"/>
    <col min="15612" max="15614" width="11.21875" style="75" customWidth="1"/>
    <col min="15615" max="15615" width="16" style="75" customWidth="1"/>
    <col min="15616" max="15618" width="11.21875" style="75" customWidth="1"/>
    <col min="15619" max="15619" width="16.77734375" style="75" customWidth="1"/>
    <col min="15620" max="15622" width="11.21875" style="75" customWidth="1"/>
    <col min="15623" max="15861" width="9.21875" style="75"/>
    <col min="15862" max="15862" width="24.21875" style="75" customWidth="1"/>
    <col min="15863" max="15865" width="11.21875" style="75" customWidth="1"/>
    <col min="15866" max="15866" width="10" style="75" customWidth="1"/>
    <col min="15867" max="15867" width="16.5546875" style="75" customWidth="1"/>
    <col min="15868" max="15870" width="11.21875" style="75" customWidth="1"/>
    <col min="15871" max="15871" width="16" style="75" customWidth="1"/>
    <col min="15872" max="15874" width="11.21875" style="75" customWidth="1"/>
    <col min="15875" max="15875" width="16.77734375" style="75" customWidth="1"/>
    <col min="15876" max="15878" width="11.21875" style="75" customWidth="1"/>
    <col min="15879" max="16117" width="9.21875" style="75"/>
    <col min="16118" max="16118" width="24.21875" style="75" customWidth="1"/>
    <col min="16119" max="16121" width="11.21875" style="75" customWidth="1"/>
    <col min="16122" max="16122" width="10" style="75" customWidth="1"/>
    <col min="16123" max="16123" width="16.5546875" style="75" customWidth="1"/>
    <col min="16124" max="16126" width="11.21875" style="75" customWidth="1"/>
    <col min="16127" max="16127" width="16" style="75" customWidth="1"/>
    <col min="16128" max="16130" width="11.21875" style="75" customWidth="1"/>
    <col min="16131" max="16131" width="16.77734375" style="75" customWidth="1"/>
    <col min="16132" max="16134" width="11.21875" style="75" customWidth="1"/>
    <col min="16135" max="16384" width="9.21875" style="75"/>
  </cols>
  <sheetData>
    <row r="1" spans="2:14" s="54" customFormat="1" ht="35.25" customHeight="1" x14ac:dyDescent="0.3">
      <c r="B1" s="92" t="s">
        <v>81</v>
      </c>
      <c r="C1" s="93"/>
      <c r="D1" s="93"/>
      <c r="E1" s="93"/>
      <c r="F1" s="93"/>
      <c r="G1" s="94"/>
      <c r="H1" s="94"/>
      <c r="I1" s="94"/>
      <c r="J1" s="94"/>
      <c r="K1" s="94"/>
      <c r="L1" s="94"/>
      <c r="M1" s="94"/>
      <c r="N1" s="94"/>
    </row>
    <row r="2" spans="2:14" s="55" customFormat="1" ht="28.5" customHeight="1" x14ac:dyDescent="0.3">
      <c r="C2" s="56" t="s">
        <v>82</v>
      </c>
      <c r="D2" s="56" t="s">
        <v>82</v>
      </c>
      <c r="E2" s="56" t="s">
        <v>82</v>
      </c>
      <c r="F2" s="56" t="s">
        <v>82</v>
      </c>
    </row>
    <row r="3" spans="2:14" s="55" customFormat="1" ht="28.5" customHeight="1" x14ac:dyDescent="0.3">
      <c r="B3" s="59" t="s">
        <v>0</v>
      </c>
      <c r="C3" s="85">
        <v>1622</v>
      </c>
      <c r="D3" s="85">
        <v>1174</v>
      </c>
      <c r="E3" s="85">
        <v>92</v>
      </c>
      <c r="F3" s="85">
        <v>890</v>
      </c>
      <c r="G3" s="85">
        <f>SUM(C3:F3)</f>
        <v>3778</v>
      </c>
    </row>
    <row r="4" spans="2:14" s="59" customFormat="1" ht="25.5" customHeight="1" x14ac:dyDescent="0.3">
      <c r="B4" s="59" t="s">
        <v>62</v>
      </c>
      <c r="C4" s="86">
        <v>792</v>
      </c>
      <c r="D4" s="86">
        <v>1133</v>
      </c>
      <c r="E4" s="86">
        <v>71</v>
      </c>
      <c r="F4" s="86">
        <v>574</v>
      </c>
      <c r="G4" s="85">
        <f t="shared" ref="G4:G51" si="0">SUM(C4:F4)</f>
        <v>2570</v>
      </c>
    </row>
    <row r="5" spans="2:14" s="64" customFormat="1" ht="12.75" customHeight="1" x14ac:dyDescent="0.3">
      <c r="B5" s="64" t="s">
        <v>10</v>
      </c>
      <c r="C5" s="68">
        <v>10</v>
      </c>
      <c r="D5" s="68">
        <v>28</v>
      </c>
      <c r="E5" s="68">
        <v>0</v>
      </c>
      <c r="F5" s="68">
        <v>17</v>
      </c>
      <c r="G5" s="85">
        <f t="shared" si="0"/>
        <v>55</v>
      </c>
    </row>
    <row r="6" spans="2:14" s="64" customFormat="1" ht="12.75" customHeight="1" x14ac:dyDescent="0.3">
      <c r="B6" s="64" t="s">
        <v>11</v>
      </c>
      <c r="C6" s="68">
        <v>22</v>
      </c>
      <c r="D6" s="68">
        <v>17</v>
      </c>
      <c r="E6" s="68">
        <v>3</v>
      </c>
      <c r="F6" s="68">
        <v>7</v>
      </c>
      <c r="G6" s="85">
        <f t="shared" si="0"/>
        <v>49</v>
      </c>
    </row>
    <row r="7" spans="2:14" s="64" customFormat="1" ht="12.75" customHeight="1" x14ac:dyDescent="0.3">
      <c r="B7" s="64" t="s">
        <v>12</v>
      </c>
      <c r="C7" s="68">
        <v>22</v>
      </c>
      <c r="D7" s="68">
        <v>14</v>
      </c>
      <c r="E7" s="68">
        <v>2</v>
      </c>
      <c r="F7" s="68">
        <v>4</v>
      </c>
      <c r="G7" s="85">
        <f t="shared" si="0"/>
        <v>42</v>
      </c>
    </row>
    <row r="8" spans="2:14" s="64" customFormat="1" ht="13.8" x14ac:dyDescent="0.3">
      <c r="B8" s="64" t="s">
        <v>13</v>
      </c>
      <c r="C8" s="68">
        <v>13</v>
      </c>
      <c r="D8" s="68">
        <v>27</v>
      </c>
      <c r="E8" s="68">
        <v>0</v>
      </c>
      <c r="F8" s="68">
        <v>8</v>
      </c>
      <c r="G8" s="85">
        <f t="shared" si="0"/>
        <v>48</v>
      </c>
    </row>
    <row r="9" spans="2:14" s="64" customFormat="1" ht="12.75" customHeight="1" x14ac:dyDescent="0.3">
      <c r="B9" s="64" t="s">
        <v>14</v>
      </c>
      <c r="C9" s="68">
        <v>8</v>
      </c>
      <c r="D9" s="68">
        <v>22</v>
      </c>
      <c r="E9" s="68">
        <v>1</v>
      </c>
      <c r="F9" s="68">
        <v>20</v>
      </c>
      <c r="G9" s="85">
        <f t="shared" si="0"/>
        <v>51</v>
      </c>
    </row>
    <row r="10" spans="2:14" s="64" customFormat="1" ht="12.75" customHeight="1" x14ac:dyDescent="0.3">
      <c r="B10" s="64" t="s">
        <v>15</v>
      </c>
      <c r="C10" s="68">
        <v>40</v>
      </c>
      <c r="D10" s="68">
        <v>17</v>
      </c>
      <c r="E10" s="68">
        <v>1</v>
      </c>
      <c r="F10" s="68">
        <v>28</v>
      </c>
      <c r="G10" s="85">
        <f t="shared" si="0"/>
        <v>86</v>
      </c>
    </row>
    <row r="11" spans="2:14" s="64" customFormat="1" ht="13.5" customHeight="1" x14ac:dyDescent="0.3">
      <c r="B11" s="64" t="s">
        <v>83</v>
      </c>
      <c r="C11" s="68">
        <v>30</v>
      </c>
      <c r="D11" s="68">
        <v>4</v>
      </c>
      <c r="E11" s="68">
        <v>3</v>
      </c>
      <c r="F11" s="68">
        <v>12</v>
      </c>
      <c r="G11" s="85">
        <f t="shared" si="0"/>
        <v>49</v>
      </c>
    </row>
    <row r="12" spans="2:14" s="64" customFormat="1" ht="12.75" customHeight="1" x14ac:dyDescent="0.3">
      <c r="B12" s="64" t="s">
        <v>17</v>
      </c>
      <c r="C12" s="68">
        <v>7</v>
      </c>
      <c r="D12" s="68">
        <v>20</v>
      </c>
      <c r="E12" s="68">
        <v>2</v>
      </c>
      <c r="F12" s="68">
        <v>11</v>
      </c>
      <c r="G12" s="85">
        <f t="shared" si="0"/>
        <v>40</v>
      </c>
    </row>
    <row r="13" spans="2:14" s="64" customFormat="1" ht="12.75" customHeight="1" x14ac:dyDescent="0.3">
      <c r="B13" s="64" t="s">
        <v>18</v>
      </c>
      <c r="C13" s="68">
        <v>17</v>
      </c>
      <c r="D13" s="68">
        <v>26</v>
      </c>
      <c r="E13" s="68">
        <v>2</v>
      </c>
      <c r="F13" s="68">
        <v>16</v>
      </c>
      <c r="G13" s="85">
        <f t="shared" si="0"/>
        <v>61</v>
      </c>
    </row>
    <row r="14" spans="2:14" s="64" customFormat="1" ht="12.75" customHeight="1" x14ac:dyDescent="0.3">
      <c r="B14" s="64" t="s">
        <v>19</v>
      </c>
      <c r="C14" s="68">
        <v>33</v>
      </c>
      <c r="D14" s="68">
        <v>39</v>
      </c>
      <c r="E14" s="68">
        <v>2</v>
      </c>
      <c r="F14" s="68">
        <v>11</v>
      </c>
      <c r="G14" s="85">
        <f t="shared" si="0"/>
        <v>85</v>
      </c>
    </row>
    <row r="15" spans="2:14" s="64" customFormat="1" ht="12.75" customHeight="1" x14ac:dyDescent="0.3">
      <c r="B15" s="66" t="s">
        <v>63</v>
      </c>
      <c r="C15" s="68">
        <v>21</v>
      </c>
      <c r="D15" s="68">
        <v>61</v>
      </c>
      <c r="E15" s="68">
        <v>4</v>
      </c>
      <c r="F15" s="68">
        <v>21</v>
      </c>
      <c r="G15" s="85">
        <f t="shared" si="0"/>
        <v>107</v>
      </c>
    </row>
    <row r="16" spans="2:14" s="64" customFormat="1" ht="12.75" customHeight="1" x14ac:dyDescent="0.3">
      <c r="B16" s="64" t="s">
        <v>105</v>
      </c>
      <c r="C16" s="68">
        <f>C63+C64</f>
        <v>14</v>
      </c>
      <c r="D16" s="68">
        <f t="shared" ref="D16:G16" si="1">D63+D64</f>
        <v>60</v>
      </c>
      <c r="E16" s="68">
        <f t="shared" si="1"/>
        <v>4</v>
      </c>
      <c r="F16" s="68">
        <f t="shared" si="1"/>
        <v>29</v>
      </c>
      <c r="G16" s="68">
        <f t="shared" si="1"/>
        <v>107</v>
      </c>
    </row>
    <row r="17" spans="2:7" s="64" customFormat="1" ht="12.75" customHeight="1" x14ac:dyDescent="0.3">
      <c r="B17" s="64" t="s">
        <v>84</v>
      </c>
      <c r="C17" s="68">
        <v>18</v>
      </c>
      <c r="D17" s="68">
        <v>13</v>
      </c>
      <c r="E17" s="68">
        <v>3</v>
      </c>
      <c r="F17" s="68">
        <v>8</v>
      </c>
      <c r="G17" s="85">
        <f t="shared" si="0"/>
        <v>42</v>
      </c>
    </row>
    <row r="18" spans="2:7" s="64" customFormat="1" ht="12.75" customHeight="1" x14ac:dyDescent="0.3">
      <c r="B18" s="64" t="s">
        <v>23</v>
      </c>
      <c r="C18" s="68">
        <v>26</v>
      </c>
      <c r="D18" s="68">
        <v>10</v>
      </c>
      <c r="E18" s="68">
        <v>2</v>
      </c>
      <c r="F18" s="68">
        <v>23</v>
      </c>
      <c r="G18" s="85">
        <f t="shared" si="0"/>
        <v>61</v>
      </c>
    </row>
    <row r="19" spans="2:7" s="64" customFormat="1" ht="12.75" customHeight="1" x14ac:dyDescent="0.3">
      <c r="B19" s="64" t="s">
        <v>24</v>
      </c>
      <c r="C19" s="68">
        <v>63</v>
      </c>
      <c r="D19" s="68">
        <v>65</v>
      </c>
      <c r="E19" s="68">
        <v>5</v>
      </c>
      <c r="F19" s="68">
        <v>30</v>
      </c>
      <c r="G19" s="85">
        <f t="shared" si="0"/>
        <v>163</v>
      </c>
    </row>
    <row r="20" spans="2:7" s="64" customFormat="1" ht="12.75" customHeight="1" x14ac:dyDescent="0.3">
      <c r="B20" s="64" t="s">
        <v>25</v>
      </c>
      <c r="C20" s="68">
        <v>8</v>
      </c>
      <c r="D20" s="68">
        <v>12</v>
      </c>
      <c r="E20" s="68">
        <v>2</v>
      </c>
      <c r="F20" s="68">
        <v>12</v>
      </c>
      <c r="G20" s="85">
        <f t="shared" si="0"/>
        <v>34</v>
      </c>
    </row>
    <row r="21" spans="2:7" s="64" customFormat="1" ht="12.75" customHeight="1" x14ac:dyDescent="0.3">
      <c r="B21" s="64" t="s">
        <v>28</v>
      </c>
      <c r="C21" s="68">
        <v>19</v>
      </c>
      <c r="D21" s="68">
        <v>57</v>
      </c>
      <c r="E21" s="68">
        <v>1</v>
      </c>
      <c r="F21" s="68">
        <v>20</v>
      </c>
      <c r="G21" s="85">
        <f t="shared" si="0"/>
        <v>97</v>
      </c>
    </row>
    <row r="22" spans="2:7" s="64" customFormat="1" ht="12.75" customHeight="1" x14ac:dyDescent="0.3">
      <c r="B22" s="64" t="s">
        <v>64</v>
      </c>
      <c r="C22" s="68">
        <v>24</v>
      </c>
      <c r="D22" s="68">
        <v>44</v>
      </c>
      <c r="E22" s="68">
        <v>2</v>
      </c>
      <c r="F22" s="68">
        <v>15</v>
      </c>
      <c r="G22" s="85">
        <f t="shared" si="0"/>
        <v>85</v>
      </c>
    </row>
    <row r="23" spans="2:7" s="64" customFormat="1" ht="12.75" customHeight="1" x14ac:dyDescent="0.3">
      <c r="B23" s="64" t="s">
        <v>30</v>
      </c>
      <c r="C23" s="68">
        <v>38</v>
      </c>
      <c r="D23" s="68">
        <v>24</v>
      </c>
      <c r="E23" s="68">
        <v>2</v>
      </c>
      <c r="F23" s="68">
        <v>12</v>
      </c>
      <c r="G23" s="85">
        <f t="shared" si="0"/>
        <v>76</v>
      </c>
    </row>
    <row r="24" spans="2:7" s="64" customFormat="1" ht="12.75" customHeight="1" x14ac:dyDescent="0.3">
      <c r="B24" s="64" t="s">
        <v>31</v>
      </c>
      <c r="C24" s="68">
        <v>29</v>
      </c>
      <c r="D24" s="68">
        <v>24</v>
      </c>
      <c r="E24" s="68">
        <v>2</v>
      </c>
      <c r="F24" s="68">
        <v>22</v>
      </c>
      <c r="G24" s="85">
        <f t="shared" si="0"/>
        <v>77</v>
      </c>
    </row>
    <row r="25" spans="2:7" s="64" customFormat="1" ht="12.75" customHeight="1" x14ac:dyDescent="0.3">
      <c r="B25" s="64" t="s">
        <v>65</v>
      </c>
      <c r="C25" s="68">
        <v>1</v>
      </c>
      <c r="D25" s="68">
        <v>8</v>
      </c>
      <c r="E25" s="68">
        <v>2</v>
      </c>
      <c r="F25" s="68">
        <v>3</v>
      </c>
      <c r="G25" s="85">
        <f t="shared" si="0"/>
        <v>14</v>
      </c>
    </row>
    <row r="26" spans="2:7" s="64" customFormat="1" ht="12.75" customHeight="1" x14ac:dyDescent="0.3">
      <c r="B26" s="64" t="s">
        <v>34</v>
      </c>
      <c r="C26" s="68">
        <v>27</v>
      </c>
      <c r="D26" s="68">
        <v>69</v>
      </c>
      <c r="E26" s="68">
        <v>2</v>
      </c>
      <c r="F26" s="68">
        <v>38</v>
      </c>
      <c r="G26" s="85">
        <f t="shared" si="0"/>
        <v>136</v>
      </c>
    </row>
    <row r="27" spans="2:7" s="64" customFormat="1" ht="12.75" customHeight="1" x14ac:dyDescent="0.3">
      <c r="B27" s="64" t="s">
        <v>35</v>
      </c>
      <c r="C27" s="68">
        <v>38</v>
      </c>
      <c r="D27" s="68">
        <v>48</v>
      </c>
      <c r="E27" s="68">
        <v>3</v>
      </c>
      <c r="F27" s="68">
        <v>35</v>
      </c>
      <c r="G27" s="85">
        <f t="shared" si="0"/>
        <v>124</v>
      </c>
    </row>
    <row r="28" spans="2:7" s="64" customFormat="1" ht="12.75" customHeight="1" x14ac:dyDescent="0.3">
      <c r="B28" s="64" t="s">
        <v>36</v>
      </c>
      <c r="C28" s="68">
        <v>20</v>
      </c>
      <c r="D28" s="68">
        <v>14</v>
      </c>
      <c r="E28" s="68">
        <v>2</v>
      </c>
      <c r="F28" s="68">
        <v>14</v>
      </c>
      <c r="G28" s="85">
        <f t="shared" si="0"/>
        <v>50</v>
      </c>
    </row>
    <row r="29" spans="2:7" s="64" customFormat="1" ht="12.75" customHeight="1" x14ac:dyDescent="0.3">
      <c r="B29" s="64" t="s">
        <v>37</v>
      </c>
      <c r="C29" s="68">
        <v>15</v>
      </c>
      <c r="D29" s="68">
        <v>63</v>
      </c>
      <c r="E29" s="68">
        <v>4</v>
      </c>
      <c r="F29" s="68">
        <v>12</v>
      </c>
      <c r="G29" s="85">
        <f t="shared" si="0"/>
        <v>94</v>
      </c>
    </row>
    <row r="30" spans="2:7" s="64" customFormat="1" ht="12.75" customHeight="1" x14ac:dyDescent="0.3">
      <c r="B30" s="64" t="s">
        <v>39</v>
      </c>
      <c r="C30" s="68">
        <v>13</v>
      </c>
      <c r="D30" s="68">
        <v>40</v>
      </c>
      <c r="E30" s="68">
        <v>4</v>
      </c>
      <c r="F30" s="68">
        <v>12</v>
      </c>
      <c r="G30" s="85">
        <f t="shared" si="0"/>
        <v>69</v>
      </c>
    </row>
    <row r="31" spans="2:7" s="64" customFormat="1" ht="12.75" customHeight="1" x14ac:dyDescent="0.3">
      <c r="B31" s="95" t="s">
        <v>40</v>
      </c>
      <c r="C31" s="96" t="s">
        <v>75</v>
      </c>
      <c r="D31" s="96" t="s">
        <v>75</v>
      </c>
      <c r="E31" s="96" t="s">
        <v>75</v>
      </c>
      <c r="F31" s="96" t="s">
        <v>75</v>
      </c>
      <c r="G31" s="97" t="s">
        <v>75</v>
      </c>
    </row>
    <row r="32" spans="2:7" s="64" customFormat="1" ht="12.75" customHeight="1" x14ac:dyDescent="0.3">
      <c r="B32" s="64" t="s">
        <v>41</v>
      </c>
      <c r="C32" s="68">
        <v>15</v>
      </c>
      <c r="D32" s="68">
        <v>31</v>
      </c>
      <c r="E32" s="68">
        <v>0</v>
      </c>
      <c r="F32" s="68">
        <v>6</v>
      </c>
      <c r="G32" s="85">
        <f t="shared" si="0"/>
        <v>52</v>
      </c>
    </row>
    <row r="33" spans="2:9" s="64" customFormat="1" ht="13.5" customHeight="1" x14ac:dyDescent="0.3">
      <c r="B33" s="64" t="s">
        <v>42</v>
      </c>
      <c r="C33" s="68">
        <v>15</v>
      </c>
      <c r="D33" s="68">
        <v>25</v>
      </c>
      <c r="E33" s="68">
        <v>3</v>
      </c>
      <c r="F33" s="68">
        <v>10</v>
      </c>
      <c r="G33" s="85">
        <f t="shared" si="0"/>
        <v>53</v>
      </c>
    </row>
    <row r="34" spans="2:9" s="64" customFormat="1" ht="13.5" customHeight="1" x14ac:dyDescent="0.3">
      <c r="B34" s="64" t="s">
        <v>85</v>
      </c>
      <c r="C34" s="68">
        <v>9</v>
      </c>
      <c r="D34" s="68">
        <v>26</v>
      </c>
      <c r="E34" s="68">
        <v>2</v>
      </c>
      <c r="F34" s="68">
        <v>14</v>
      </c>
      <c r="G34" s="85">
        <f t="shared" si="0"/>
        <v>51</v>
      </c>
    </row>
    <row r="35" spans="2:9" s="64" customFormat="1" ht="12.75" customHeight="1" x14ac:dyDescent="0.3">
      <c r="B35" s="64" t="s">
        <v>44</v>
      </c>
      <c r="C35" s="68">
        <v>28</v>
      </c>
      <c r="D35" s="68">
        <v>27</v>
      </c>
      <c r="E35" s="68">
        <v>3</v>
      </c>
      <c r="F35" s="68">
        <v>17</v>
      </c>
      <c r="G35" s="85">
        <f t="shared" si="0"/>
        <v>75</v>
      </c>
    </row>
    <row r="36" spans="2:9" s="64" customFormat="1" ht="12.75" customHeight="1" x14ac:dyDescent="0.3">
      <c r="B36" s="64" t="s">
        <v>45</v>
      </c>
      <c r="C36" s="68">
        <v>14</v>
      </c>
      <c r="D36" s="68">
        <v>44</v>
      </c>
      <c r="E36" s="68">
        <v>0</v>
      </c>
      <c r="F36" s="68">
        <v>1</v>
      </c>
      <c r="G36" s="85">
        <f t="shared" si="0"/>
        <v>59</v>
      </c>
    </row>
    <row r="37" spans="2:9" s="64" customFormat="1" ht="12.75" customHeight="1" x14ac:dyDescent="0.3">
      <c r="B37" s="64" t="s">
        <v>46</v>
      </c>
      <c r="C37" s="68">
        <v>20</v>
      </c>
      <c r="D37" s="68">
        <v>20</v>
      </c>
      <c r="E37" s="68">
        <v>0</v>
      </c>
      <c r="F37" s="68">
        <v>11</v>
      </c>
      <c r="G37" s="85">
        <f t="shared" si="0"/>
        <v>51</v>
      </c>
      <c r="I37" s="67"/>
    </row>
    <row r="38" spans="2:9" s="64" customFormat="1" ht="12.75" customHeight="1" x14ac:dyDescent="0.3">
      <c r="B38" s="64" t="s">
        <v>48</v>
      </c>
      <c r="C38" s="68">
        <v>27</v>
      </c>
      <c r="D38" s="68">
        <v>46</v>
      </c>
      <c r="E38" s="68">
        <v>1</v>
      </c>
      <c r="F38" s="68">
        <v>37</v>
      </c>
      <c r="G38" s="85">
        <f t="shared" si="0"/>
        <v>111</v>
      </c>
    </row>
    <row r="39" spans="2:9" s="64" customFormat="1" ht="12.75" customHeight="1" x14ac:dyDescent="0.3">
      <c r="B39" s="64" t="s">
        <v>49</v>
      </c>
      <c r="C39" s="68">
        <v>4</v>
      </c>
      <c r="D39" s="68">
        <v>31</v>
      </c>
      <c r="E39" s="68">
        <v>1</v>
      </c>
      <c r="F39" s="68">
        <v>5</v>
      </c>
      <c r="G39" s="85">
        <f t="shared" si="0"/>
        <v>41</v>
      </c>
    </row>
    <row r="40" spans="2:9" s="64" customFormat="1" ht="12.75" customHeight="1" x14ac:dyDescent="0.3">
      <c r="B40" s="64" t="s">
        <v>50</v>
      </c>
      <c r="C40" s="68">
        <v>39</v>
      </c>
      <c r="D40" s="68">
        <v>7</v>
      </c>
      <c r="E40" s="68">
        <v>0</v>
      </c>
      <c r="F40" s="68">
        <v>10</v>
      </c>
      <c r="G40" s="85">
        <f t="shared" si="0"/>
        <v>56</v>
      </c>
    </row>
    <row r="41" spans="2:9" s="64" customFormat="1" ht="12.75" customHeight="1" x14ac:dyDescent="0.3">
      <c r="B41" s="64" t="s">
        <v>52</v>
      </c>
      <c r="C41" s="68">
        <v>17</v>
      </c>
      <c r="D41" s="68">
        <v>13</v>
      </c>
      <c r="E41" s="68">
        <v>1</v>
      </c>
      <c r="F41" s="68">
        <v>8</v>
      </c>
      <c r="G41" s="85">
        <f t="shared" si="0"/>
        <v>39</v>
      </c>
    </row>
    <row r="42" spans="2:9" s="64" customFormat="1" ht="12.75" customHeight="1" x14ac:dyDescent="0.3">
      <c r="B42" s="64" t="s">
        <v>54</v>
      </c>
      <c r="C42" s="68">
        <v>28</v>
      </c>
      <c r="D42" s="68">
        <v>35</v>
      </c>
      <c r="E42" s="68">
        <v>0</v>
      </c>
      <c r="F42" s="68">
        <v>15</v>
      </c>
      <c r="G42" s="85">
        <f t="shared" si="0"/>
        <v>78</v>
      </c>
      <c r="H42" s="67"/>
    </row>
    <row r="43" spans="2:9" s="64" customFormat="1" ht="12.75" customHeight="1" x14ac:dyDescent="0.3">
      <c r="B43" s="64" t="s">
        <v>33</v>
      </c>
      <c r="C43" s="68">
        <v>0</v>
      </c>
      <c r="D43" s="68">
        <v>2</v>
      </c>
      <c r="E43" s="68">
        <v>0</v>
      </c>
      <c r="F43" s="68">
        <v>0</v>
      </c>
      <c r="G43" s="85">
        <f t="shared" si="0"/>
        <v>2</v>
      </c>
    </row>
    <row r="44" spans="2:9" s="59" customFormat="1" ht="25.5" customHeight="1" x14ac:dyDescent="0.3">
      <c r="B44" s="59" t="s">
        <v>66</v>
      </c>
      <c r="C44" s="85">
        <v>830</v>
      </c>
      <c r="D44" s="85">
        <v>41</v>
      </c>
      <c r="E44" s="85">
        <v>21</v>
      </c>
      <c r="F44" s="85">
        <v>316</v>
      </c>
      <c r="G44" s="85">
        <f t="shared" si="0"/>
        <v>1208</v>
      </c>
    </row>
    <row r="45" spans="2:9" s="64" customFormat="1" ht="12.75" customHeight="1" x14ac:dyDescent="0.3">
      <c r="B45" s="64" t="s">
        <v>86</v>
      </c>
      <c r="C45" s="68">
        <v>115</v>
      </c>
      <c r="D45" s="68">
        <v>1</v>
      </c>
      <c r="E45" s="68">
        <v>4</v>
      </c>
      <c r="F45" s="68">
        <v>46</v>
      </c>
      <c r="G45" s="85">
        <f t="shared" si="0"/>
        <v>166</v>
      </c>
    </row>
    <row r="46" spans="2:9" s="64" customFormat="1" ht="14.25" customHeight="1" x14ac:dyDescent="0.3">
      <c r="B46" s="64" t="s">
        <v>38</v>
      </c>
      <c r="C46" s="68">
        <v>86</v>
      </c>
      <c r="D46" s="68">
        <v>0</v>
      </c>
      <c r="E46" s="68">
        <v>2</v>
      </c>
      <c r="F46" s="68">
        <v>44</v>
      </c>
      <c r="G46" s="85">
        <f t="shared" si="0"/>
        <v>132</v>
      </c>
    </row>
    <row r="47" spans="2:9" s="64" customFormat="1" ht="12.75" customHeight="1" x14ac:dyDescent="0.3">
      <c r="B47" s="64" t="s">
        <v>47</v>
      </c>
      <c r="C47" s="68">
        <v>58</v>
      </c>
      <c r="D47" s="68">
        <v>10</v>
      </c>
      <c r="E47" s="68">
        <v>2</v>
      </c>
      <c r="F47" s="68">
        <v>24</v>
      </c>
      <c r="G47" s="85">
        <f t="shared" si="0"/>
        <v>94</v>
      </c>
    </row>
    <row r="48" spans="2:9" s="64" customFormat="1" ht="12.75" customHeight="1" x14ac:dyDescent="0.3">
      <c r="B48" s="64" t="s">
        <v>87</v>
      </c>
      <c r="C48" s="68">
        <v>26</v>
      </c>
      <c r="D48" s="68">
        <v>1</v>
      </c>
      <c r="E48" s="68">
        <v>2</v>
      </c>
      <c r="F48" s="68">
        <v>24</v>
      </c>
      <c r="G48" s="85">
        <f t="shared" si="0"/>
        <v>53</v>
      </c>
    </row>
    <row r="49" spans="2:9" s="64" customFormat="1" ht="12.75" customHeight="1" x14ac:dyDescent="0.3">
      <c r="B49" s="64" t="s">
        <v>53</v>
      </c>
      <c r="C49" s="68">
        <v>111</v>
      </c>
      <c r="D49" s="68">
        <v>0</v>
      </c>
      <c r="E49" s="68">
        <v>4</v>
      </c>
      <c r="F49" s="68">
        <v>57</v>
      </c>
      <c r="G49" s="85">
        <f t="shared" si="0"/>
        <v>172</v>
      </c>
    </row>
    <row r="50" spans="2:9" s="64" customFormat="1" ht="12.75" customHeight="1" x14ac:dyDescent="0.3">
      <c r="B50" s="64" t="s">
        <v>55</v>
      </c>
      <c r="C50" s="68">
        <v>100</v>
      </c>
      <c r="D50" s="68">
        <v>29</v>
      </c>
      <c r="E50" s="68">
        <v>1</v>
      </c>
      <c r="F50" s="68">
        <v>35</v>
      </c>
      <c r="G50" s="85">
        <f t="shared" si="0"/>
        <v>165</v>
      </c>
    </row>
    <row r="51" spans="2:9" s="73" customFormat="1" ht="12.75" customHeight="1" x14ac:dyDescent="0.3">
      <c r="B51" s="69" t="s">
        <v>88</v>
      </c>
      <c r="C51" s="71">
        <v>334</v>
      </c>
      <c r="D51" s="70">
        <v>0</v>
      </c>
      <c r="E51" s="70">
        <v>6</v>
      </c>
      <c r="F51" s="71">
        <v>86</v>
      </c>
      <c r="G51" s="85">
        <f t="shared" si="0"/>
        <v>426</v>
      </c>
    </row>
    <row r="52" spans="2:9" s="64" customFormat="1" ht="10.5" customHeight="1" x14ac:dyDescent="0.3">
      <c r="C52" s="74"/>
      <c r="I52" s="75"/>
    </row>
    <row r="53" spans="2:9" s="64" customFormat="1" ht="13.5" customHeight="1" x14ac:dyDescent="0.3">
      <c r="B53" s="87" t="s">
        <v>89</v>
      </c>
      <c r="C53" s="88"/>
      <c r="D53" s="88"/>
      <c r="E53" s="89"/>
      <c r="F53" s="74"/>
      <c r="I53" s="75"/>
    </row>
    <row r="54" spans="2:9" s="64" customFormat="1" ht="13.5" customHeight="1" x14ac:dyDescent="0.3">
      <c r="B54" s="90" t="s">
        <v>90</v>
      </c>
      <c r="C54" s="66"/>
      <c r="H54" s="75"/>
      <c r="I54" s="75"/>
    </row>
    <row r="55" spans="2:9" s="64" customFormat="1" ht="13.5" customHeight="1" x14ac:dyDescent="0.3">
      <c r="B55" s="87" t="s">
        <v>91</v>
      </c>
      <c r="C55" s="88"/>
      <c r="D55" s="88"/>
      <c r="E55" s="88"/>
      <c r="F55" s="74"/>
      <c r="I55" s="75"/>
    </row>
    <row r="56" spans="2:9" s="64" customFormat="1" ht="13.5" customHeight="1" x14ac:dyDescent="0.3">
      <c r="B56" s="91" t="s">
        <v>92</v>
      </c>
      <c r="I56" s="75"/>
    </row>
    <row r="57" spans="2:9" s="64" customFormat="1" ht="13.5" customHeight="1" x14ac:dyDescent="0.3">
      <c r="B57" s="87" t="s">
        <v>93</v>
      </c>
      <c r="C57" s="88"/>
      <c r="D57" s="88"/>
      <c r="E57" s="88"/>
      <c r="F57" s="74"/>
      <c r="I57" s="75"/>
    </row>
    <row r="58" spans="2:9" s="64" customFormat="1" ht="13.5" customHeight="1" x14ac:dyDescent="0.3">
      <c r="B58" s="64" t="s">
        <v>94</v>
      </c>
      <c r="H58" s="75"/>
      <c r="I58" s="75"/>
    </row>
    <row r="59" spans="2:9" s="64" customFormat="1" ht="13.5" customHeight="1" x14ac:dyDescent="0.3">
      <c r="H59" s="75"/>
      <c r="I59" s="75"/>
    </row>
    <row r="60" spans="2:9" s="64" customFormat="1" x14ac:dyDescent="0.3">
      <c r="B60" s="76" t="s">
        <v>95</v>
      </c>
      <c r="H60" s="75"/>
      <c r="I60" s="75"/>
    </row>
    <row r="63" spans="2:9" ht="13.8" x14ac:dyDescent="0.3">
      <c r="B63" s="64" t="s">
        <v>21</v>
      </c>
      <c r="C63" s="68">
        <v>7</v>
      </c>
      <c r="D63" s="68">
        <v>27</v>
      </c>
      <c r="E63" s="68">
        <v>3</v>
      </c>
      <c r="F63" s="68">
        <v>12</v>
      </c>
      <c r="G63" s="85">
        <v>49</v>
      </c>
    </row>
    <row r="64" spans="2:9" ht="13.8" x14ac:dyDescent="0.3">
      <c r="B64" s="64" t="s">
        <v>56</v>
      </c>
      <c r="C64" s="68">
        <v>7</v>
      </c>
      <c r="D64" s="68">
        <v>33</v>
      </c>
      <c r="E64" s="68">
        <v>1</v>
      </c>
      <c r="F64" s="68">
        <v>17</v>
      </c>
      <c r="G64" s="85">
        <v>58</v>
      </c>
    </row>
  </sheetData>
  <printOptions horizontalCentered="1" verticalCentered="1"/>
  <pageMargins left="0.2" right="0.34" top="0.32" bottom="0.25" header="0.51181102362204722" footer="0.51181102362204722"/>
  <pageSetup paperSize="9" scale="65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B8AB-390C-4ABF-8D5B-99970E4482BF}">
  <sheetPr codeName="Sheet17"/>
  <dimension ref="A1:I51"/>
  <sheetViews>
    <sheetView workbookViewId="0">
      <selection activeCell="B1" sqref="B1:I1"/>
    </sheetView>
  </sheetViews>
  <sheetFormatPr defaultRowHeight="14.4" x14ac:dyDescent="0.3"/>
  <cols>
    <col min="2" max="2" width="20.77734375" bestFit="1" customWidth="1"/>
    <col min="3" max="7" width="18.77734375" customWidth="1"/>
    <col min="8" max="9" width="11.21875" customWidth="1"/>
  </cols>
  <sheetData>
    <row r="1" spans="1:9" x14ac:dyDescent="0.3">
      <c r="B1" s="184" t="s">
        <v>144</v>
      </c>
      <c r="C1" s="184"/>
      <c r="D1" s="184"/>
      <c r="E1" s="184"/>
      <c r="F1" s="184"/>
      <c r="G1" s="184"/>
      <c r="H1" s="184"/>
      <c r="I1" s="184"/>
    </row>
    <row r="2" spans="1:9" x14ac:dyDescent="0.3">
      <c r="C2" t="s">
        <v>1</v>
      </c>
      <c r="D2" t="s">
        <v>59</v>
      </c>
      <c r="E2" t="s">
        <v>60</v>
      </c>
      <c r="F2" t="s">
        <v>61</v>
      </c>
      <c r="G2" t="s">
        <v>5</v>
      </c>
    </row>
    <row r="3" spans="1:9" x14ac:dyDescent="0.3">
      <c r="A3">
        <v>2019</v>
      </c>
      <c r="B3" t="s">
        <v>0</v>
      </c>
      <c r="C3" s="106">
        <f>SUM(C4,C44)</f>
        <v>1733</v>
      </c>
      <c r="D3" s="106">
        <f t="shared" ref="D3:F3" si="0">SUM(D4,D44)</f>
        <v>1508</v>
      </c>
      <c r="E3" s="106">
        <f t="shared" si="0"/>
        <v>98</v>
      </c>
      <c r="F3" s="106">
        <f t="shared" si="0"/>
        <v>955</v>
      </c>
      <c r="G3" s="106">
        <f>SUM(C3:F3)</f>
        <v>4294</v>
      </c>
    </row>
    <row r="4" spans="1:9" x14ac:dyDescent="0.3">
      <c r="A4">
        <v>2019</v>
      </c>
      <c r="B4" t="s">
        <v>62</v>
      </c>
      <c r="C4" s="106">
        <f>SUM(C5:C43)</f>
        <v>1042</v>
      </c>
      <c r="D4" s="106">
        <f>SUM(D5:D43)</f>
        <v>1464</v>
      </c>
      <c r="E4" s="106">
        <f>SUM(E5:E43)</f>
        <v>70</v>
      </c>
      <c r="F4" s="106">
        <f>SUM(F5:F43)</f>
        <v>659</v>
      </c>
      <c r="G4" s="106">
        <f>SUM(G5:G43)</f>
        <v>3235</v>
      </c>
    </row>
    <row r="5" spans="1:9" x14ac:dyDescent="0.3">
      <c r="A5">
        <v>2019</v>
      </c>
      <c r="B5" t="s">
        <v>10</v>
      </c>
      <c r="C5" s="106">
        <f>SUMPRODUCT((raw!$A$2:$A$185='(2018-19)'!$A5)*(raw!$B$2:$B$185='(2018-19)'!$B5)*(raw!$C$2:$C$185='(2018-19)'!C$2)*(raw!$D$2:$D$185))</f>
        <v>37</v>
      </c>
      <c r="D5" s="106">
        <f>SUMPRODUCT((raw!$A$2:$A$185='(2018-19)'!$A5)*(raw!$B$2:$B$185='(2018-19)'!$B5)*(raw!$C$2:$C$185='(2018-19)'!D$2)*(raw!$D$2:$D$185))</f>
        <v>16</v>
      </c>
      <c r="E5" s="106">
        <f>SUMPRODUCT((raw!$A$2:$A$185='(2018-19)'!$A5)*(raw!$B$2:$B$185='(2018-19)'!$B5)*(raw!$C$2:$C$185='(2018-19)'!E$2)*(raw!$D$2:$D$185))</f>
        <v>0</v>
      </c>
      <c r="F5" s="106">
        <f>SUMPRODUCT((raw!$A$2:$A$185='(2018-19)'!$A5)*(raw!$B$2:$B$185='(2018-19)'!$B5)*(raw!$C$2:$C$185='(2018-19)'!F$2)*(raw!$D$2:$D$185))</f>
        <v>17</v>
      </c>
      <c r="G5" s="106">
        <f>SUM(C5:F5)</f>
        <v>70</v>
      </c>
    </row>
    <row r="6" spans="1:9" x14ac:dyDescent="0.3">
      <c r="A6">
        <v>2019</v>
      </c>
      <c r="B6" t="s">
        <v>11</v>
      </c>
      <c r="C6" s="106">
        <f>SUMPRODUCT((raw!$A$2:$A$185='(2018-19)'!$A6)*(raw!$B$2:$B$185='(2018-19)'!$B6)*(raw!$C$2:$C$185='(2018-19)'!C$2)*(raw!$D$2:$D$185))</f>
        <v>20</v>
      </c>
      <c r="D6" s="106">
        <f>SUMPRODUCT((raw!$A$2:$A$185='(2018-19)'!$A6)*(raw!$B$2:$B$185='(2018-19)'!$B6)*(raw!$C$2:$C$185='(2018-19)'!D$2)*(raw!$D$2:$D$185))</f>
        <v>14</v>
      </c>
      <c r="E6" s="106">
        <f>SUMPRODUCT((raw!$A$2:$A$185='(2018-19)'!$A6)*(raw!$B$2:$B$185='(2018-19)'!$B6)*(raw!$C$2:$C$185='(2018-19)'!E$2)*(raw!$D$2:$D$185))</f>
        <v>0</v>
      </c>
      <c r="F6" s="106">
        <f>SUMPRODUCT((raw!$A$2:$A$185='(2018-19)'!$A6)*(raw!$B$2:$B$185='(2018-19)'!$B6)*(raw!$C$2:$C$185='(2018-19)'!F$2)*(raw!$D$2:$D$185))</f>
        <v>20</v>
      </c>
      <c r="G6" s="106">
        <f t="shared" ref="G6:G51" si="1">SUM(C6:F6)</f>
        <v>54</v>
      </c>
    </row>
    <row r="7" spans="1:9" x14ac:dyDescent="0.3">
      <c r="A7">
        <v>2019</v>
      </c>
      <c r="B7" t="s">
        <v>12</v>
      </c>
      <c r="C7" s="106">
        <f>SUMPRODUCT((raw!$A$2:$A$185='(2018-19)'!$A7)*(raw!$B$2:$B$185='(2018-19)'!$B7)*(raw!$C$2:$C$185='(2018-19)'!C$2)*(raw!$D$2:$D$185))</f>
        <v>31</v>
      </c>
      <c r="D7" s="106">
        <f>SUMPRODUCT((raw!$A$2:$A$185='(2018-19)'!$A7)*(raw!$B$2:$B$185='(2018-19)'!$B7)*(raw!$C$2:$C$185='(2018-19)'!D$2)*(raw!$D$2:$D$185))</f>
        <v>15</v>
      </c>
      <c r="E7" s="106">
        <f>SUMPRODUCT((raw!$A$2:$A$185='(2018-19)'!$A7)*(raw!$B$2:$B$185='(2018-19)'!$B7)*(raw!$C$2:$C$185='(2018-19)'!E$2)*(raw!$D$2:$D$185))</f>
        <v>4</v>
      </c>
      <c r="F7" s="106">
        <f>SUMPRODUCT((raw!$A$2:$A$185='(2018-19)'!$A7)*(raw!$B$2:$B$185='(2018-19)'!$B7)*(raw!$C$2:$C$185='(2018-19)'!F$2)*(raw!$D$2:$D$185))</f>
        <v>33</v>
      </c>
      <c r="G7" s="106">
        <f t="shared" si="1"/>
        <v>83</v>
      </c>
    </row>
    <row r="8" spans="1:9" x14ac:dyDescent="0.3">
      <c r="A8">
        <v>2019</v>
      </c>
      <c r="B8" t="s">
        <v>13</v>
      </c>
      <c r="C8" s="106">
        <f>SUMPRODUCT((raw!$A$2:$A$185='(2018-19)'!$A8)*(raw!$B$2:$B$185='(2018-19)'!$B8)*(raw!$C$2:$C$185='(2018-19)'!C$2)*(raw!$D$2:$D$185))</f>
        <v>35</v>
      </c>
      <c r="D8" s="106">
        <f>SUMPRODUCT((raw!$A$2:$A$185='(2018-19)'!$A8)*(raw!$B$2:$B$185='(2018-19)'!$B8)*(raw!$C$2:$C$185='(2018-19)'!D$2)*(raw!$D$2:$D$185))</f>
        <v>21</v>
      </c>
      <c r="E8" s="106">
        <f>SUMPRODUCT((raw!$A$2:$A$185='(2018-19)'!$A8)*(raw!$B$2:$B$185='(2018-19)'!$B8)*(raw!$C$2:$C$185='(2018-19)'!E$2)*(raw!$D$2:$D$185))</f>
        <v>0</v>
      </c>
      <c r="F8" s="106">
        <f>SUMPRODUCT((raw!$A$2:$A$185='(2018-19)'!$A8)*(raw!$B$2:$B$185='(2018-19)'!$B8)*(raw!$C$2:$C$185='(2018-19)'!F$2)*(raw!$D$2:$D$185))</f>
        <v>9</v>
      </c>
      <c r="G8" s="106">
        <f t="shared" si="1"/>
        <v>65</v>
      </c>
    </row>
    <row r="9" spans="1:9" x14ac:dyDescent="0.3">
      <c r="A9">
        <v>2019</v>
      </c>
      <c r="B9" t="s">
        <v>14</v>
      </c>
      <c r="C9" s="106">
        <f>SUMPRODUCT((raw!$A$2:$A$185='(2018-19)'!$A9)*(raw!$B$2:$B$185='(2018-19)'!$B9)*(raw!$C$2:$C$185='(2018-19)'!C$2)*(raw!$D$2:$D$185))</f>
        <v>16</v>
      </c>
      <c r="D9" s="106">
        <f>SUMPRODUCT((raw!$A$2:$A$185='(2018-19)'!$A9)*(raw!$B$2:$B$185='(2018-19)'!$B9)*(raw!$C$2:$C$185='(2018-19)'!D$2)*(raw!$D$2:$D$185))</f>
        <v>31</v>
      </c>
      <c r="E9" s="106">
        <f>SUMPRODUCT((raw!$A$2:$A$185='(2018-19)'!$A9)*(raw!$B$2:$B$185='(2018-19)'!$B9)*(raw!$C$2:$C$185='(2018-19)'!E$2)*(raw!$D$2:$D$185))</f>
        <v>9</v>
      </c>
      <c r="F9" s="106">
        <f>SUMPRODUCT((raw!$A$2:$A$185='(2018-19)'!$A9)*(raw!$B$2:$B$185='(2018-19)'!$B9)*(raw!$C$2:$C$185='(2018-19)'!F$2)*(raw!$D$2:$D$185))</f>
        <v>17</v>
      </c>
      <c r="G9" s="106">
        <f t="shared" si="1"/>
        <v>73</v>
      </c>
    </row>
    <row r="10" spans="1:9" x14ac:dyDescent="0.3">
      <c r="A10">
        <v>2019</v>
      </c>
      <c r="B10" t="s">
        <v>15</v>
      </c>
      <c r="C10" s="106">
        <f>SUMPRODUCT((raw!$A$2:$A$185='(2018-19)'!$A10)*(raw!$B$2:$B$185='(2018-19)'!$B10)*(raw!$C$2:$C$185='(2018-19)'!C$2)*(raw!$D$2:$D$185))</f>
        <v>40</v>
      </c>
      <c r="D10" s="106">
        <f>SUMPRODUCT((raw!$A$2:$A$185='(2018-19)'!$A10)*(raw!$B$2:$B$185='(2018-19)'!$B10)*(raw!$C$2:$C$185='(2018-19)'!D$2)*(raw!$D$2:$D$185))</f>
        <v>63</v>
      </c>
      <c r="E10" s="106">
        <f>SUMPRODUCT((raw!$A$2:$A$185='(2018-19)'!$A10)*(raw!$B$2:$B$185='(2018-19)'!$B10)*(raw!$C$2:$C$185='(2018-19)'!E$2)*(raw!$D$2:$D$185))</f>
        <v>0</v>
      </c>
      <c r="F10" s="106">
        <f>SUMPRODUCT((raw!$A$2:$A$185='(2018-19)'!$A10)*(raw!$B$2:$B$185='(2018-19)'!$B10)*(raw!$C$2:$C$185='(2018-19)'!F$2)*(raw!$D$2:$D$185))</f>
        <v>17</v>
      </c>
      <c r="G10" s="106">
        <f t="shared" si="1"/>
        <v>120</v>
      </c>
    </row>
    <row r="11" spans="1:9" x14ac:dyDescent="0.3">
      <c r="A11">
        <v>2019</v>
      </c>
      <c r="B11" t="s">
        <v>16</v>
      </c>
      <c r="C11" s="106">
        <f>SUMPRODUCT((raw!$A$2:$A$185='(2018-19)'!$A11)*(raw!$B$2:$B$185='(2018-19)'!$B11)*(raw!$C$2:$C$185='(2018-19)'!C$2)*(raw!$D$2:$D$185))</f>
        <v>35</v>
      </c>
      <c r="D11" s="106">
        <f>SUMPRODUCT((raw!$A$2:$A$185='(2018-19)'!$A11)*(raw!$B$2:$B$185='(2018-19)'!$B11)*(raw!$C$2:$C$185='(2018-19)'!D$2)*(raw!$D$2:$D$185))</f>
        <v>18</v>
      </c>
      <c r="E11" s="106">
        <f>SUMPRODUCT((raw!$A$2:$A$185='(2018-19)'!$A11)*(raw!$B$2:$B$185='(2018-19)'!$B11)*(raw!$C$2:$C$185='(2018-19)'!E$2)*(raw!$D$2:$D$185))</f>
        <v>2</v>
      </c>
      <c r="F11" s="106">
        <f>SUMPRODUCT((raw!$A$2:$A$185='(2018-19)'!$A11)*(raw!$B$2:$B$185='(2018-19)'!$B11)*(raw!$C$2:$C$185='(2018-19)'!F$2)*(raw!$D$2:$D$185))</f>
        <v>13</v>
      </c>
      <c r="G11" s="106">
        <f t="shared" si="1"/>
        <v>68</v>
      </c>
    </row>
    <row r="12" spans="1:9" x14ac:dyDescent="0.3">
      <c r="A12">
        <v>2019</v>
      </c>
      <c r="B12" t="s">
        <v>17</v>
      </c>
      <c r="C12" s="106">
        <f>SUMPRODUCT((raw!$A$2:$A$185='(2018-19)'!$A12)*(raw!$B$2:$B$185='(2018-19)'!$B12)*(raw!$C$2:$C$185='(2018-19)'!C$2)*(raw!$D$2:$D$185))</f>
        <v>3</v>
      </c>
      <c r="D12" s="106">
        <f>SUMPRODUCT((raw!$A$2:$A$185='(2018-19)'!$A12)*(raw!$B$2:$B$185='(2018-19)'!$B12)*(raw!$C$2:$C$185='(2018-19)'!D$2)*(raw!$D$2:$D$185))</f>
        <v>25</v>
      </c>
      <c r="E12" s="106">
        <f>SUMPRODUCT((raw!$A$2:$A$185='(2018-19)'!$A12)*(raw!$B$2:$B$185='(2018-19)'!$B12)*(raw!$C$2:$C$185='(2018-19)'!E$2)*(raw!$D$2:$D$185))</f>
        <v>3</v>
      </c>
      <c r="F12" s="106">
        <f>SUMPRODUCT((raw!$A$2:$A$185='(2018-19)'!$A12)*(raw!$B$2:$B$185='(2018-19)'!$B12)*(raw!$C$2:$C$185='(2018-19)'!F$2)*(raw!$D$2:$D$185))</f>
        <v>9</v>
      </c>
      <c r="G12" s="106">
        <f t="shared" si="1"/>
        <v>40</v>
      </c>
    </row>
    <row r="13" spans="1:9" x14ac:dyDescent="0.3">
      <c r="A13">
        <v>2019</v>
      </c>
      <c r="B13" t="s">
        <v>18</v>
      </c>
      <c r="C13" s="106">
        <f>SUMPRODUCT((raw!$A$2:$A$185='(2018-19)'!$A13)*(raw!$B$2:$B$185='(2018-19)'!$B13)*(raw!$C$2:$C$185='(2018-19)'!C$2)*(raw!$D$2:$D$185))</f>
        <v>13</v>
      </c>
      <c r="D13" s="106">
        <f>SUMPRODUCT((raw!$A$2:$A$185='(2018-19)'!$A13)*(raw!$B$2:$B$185='(2018-19)'!$B13)*(raw!$C$2:$C$185='(2018-19)'!D$2)*(raw!$D$2:$D$185))</f>
        <v>28</v>
      </c>
      <c r="E13" s="106">
        <f>SUMPRODUCT((raw!$A$2:$A$185='(2018-19)'!$A13)*(raw!$B$2:$B$185='(2018-19)'!$B13)*(raw!$C$2:$C$185='(2018-19)'!E$2)*(raw!$D$2:$D$185))</f>
        <v>0</v>
      </c>
      <c r="F13" s="106">
        <f>SUMPRODUCT((raw!$A$2:$A$185='(2018-19)'!$A13)*(raw!$B$2:$B$185='(2018-19)'!$B13)*(raw!$C$2:$C$185='(2018-19)'!F$2)*(raw!$D$2:$D$185))</f>
        <v>2</v>
      </c>
      <c r="G13" s="106">
        <f t="shared" si="1"/>
        <v>43</v>
      </c>
    </row>
    <row r="14" spans="1:9" x14ac:dyDescent="0.3">
      <c r="A14">
        <v>2019</v>
      </c>
      <c r="B14" t="s">
        <v>19</v>
      </c>
      <c r="C14" s="106">
        <f>SUMPRODUCT((raw!$A$2:$A$185='(2018-19)'!$A14)*(raw!$B$2:$B$185='(2018-19)'!$B14)*(raw!$C$2:$C$185='(2018-19)'!C$2)*(raw!$D$2:$D$185))</f>
        <v>27</v>
      </c>
      <c r="D14" s="106">
        <f>SUMPRODUCT((raw!$A$2:$A$185='(2018-19)'!$A14)*(raw!$B$2:$B$185='(2018-19)'!$B14)*(raw!$C$2:$C$185='(2018-19)'!D$2)*(raw!$D$2:$D$185))</f>
        <v>36</v>
      </c>
      <c r="E14" s="106">
        <f>SUMPRODUCT((raw!$A$2:$A$185='(2018-19)'!$A14)*(raw!$B$2:$B$185='(2018-19)'!$B14)*(raw!$C$2:$C$185='(2018-19)'!E$2)*(raw!$D$2:$D$185))</f>
        <v>1</v>
      </c>
      <c r="F14" s="106">
        <f>SUMPRODUCT((raw!$A$2:$A$185='(2018-19)'!$A14)*(raw!$B$2:$B$185='(2018-19)'!$B14)*(raw!$C$2:$C$185='(2018-19)'!F$2)*(raw!$D$2:$D$185))</f>
        <v>16</v>
      </c>
      <c r="G14" s="106">
        <f t="shared" si="1"/>
        <v>80</v>
      </c>
    </row>
    <row r="15" spans="1:9" x14ac:dyDescent="0.3">
      <c r="A15">
        <v>2019</v>
      </c>
      <c r="B15" t="s">
        <v>20</v>
      </c>
      <c r="C15" s="106">
        <f>SUMPRODUCT((raw!$A$2:$A$185='(2018-19)'!$A15)*(raw!$B$2:$B$185='(2018-19)'!$B15)*(raw!$C$2:$C$185='(2018-19)'!C$2)*(raw!$D$2:$D$185))</f>
        <v>47</v>
      </c>
      <c r="D15" s="106">
        <f>SUMPRODUCT((raw!$A$2:$A$185='(2018-19)'!$A15)*(raw!$B$2:$B$185='(2018-19)'!$B15)*(raw!$C$2:$C$185='(2018-19)'!D$2)*(raw!$D$2:$D$185))</f>
        <v>132</v>
      </c>
      <c r="E15" s="106">
        <f>SUMPRODUCT((raw!$A$2:$A$185='(2018-19)'!$A15)*(raw!$B$2:$B$185='(2018-19)'!$B15)*(raw!$C$2:$C$185='(2018-19)'!E$2)*(raw!$D$2:$D$185))</f>
        <v>3</v>
      </c>
      <c r="F15" s="106">
        <f>SUMPRODUCT((raw!$A$2:$A$185='(2018-19)'!$A15)*(raw!$B$2:$B$185='(2018-19)'!$B15)*(raw!$C$2:$C$185='(2018-19)'!F$2)*(raw!$D$2:$D$185))</f>
        <v>27</v>
      </c>
      <c r="G15" s="106">
        <f t="shared" si="1"/>
        <v>209</v>
      </c>
    </row>
    <row r="16" spans="1:9" x14ac:dyDescent="0.3">
      <c r="A16">
        <v>2019</v>
      </c>
      <c r="B16" t="s">
        <v>105</v>
      </c>
      <c r="C16" s="106">
        <f>SUMPRODUCT((raw!$A$2:$A$185='(2018-19)'!$A16)*(raw!$B$2:$B$185='(2018-19)'!$B16)*(raw!$C$2:$C$185='(2018-19)'!C$2)*(raw!$D$2:$D$185))</f>
        <v>30</v>
      </c>
      <c r="D16" s="106">
        <f>SUMPRODUCT((raw!$A$2:$A$185='(2018-19)'!$A16)*(raw!$B$2:$B$185='(2018-19)'!$B16)*(raw!$C$2:$C$185='(2018-19)'!D$2)*(raw!$D$2:$D$185))</f>
        <v>80</v>
      </c>
      <c r="E16" s="106">
        <f>SUMPRODUCT((raw!$A$2:$A$185='(2018-19)'!$A16)*(raw!$B$2:$B$185='(2018-19)'!$B16)*(raw!$C$2:$C$185='(2018-19)'!E$2)*(raw!$D$2:$D$185))</f>
        <v>2</v>
      </c>
      <c r="F16" s="106">
        <f>SUMPRODUCT((raw!$A$2:$A$185='(2018-19)'!$A16)*(raw!$B$2:$B$185='(2018-19)'!$B16)*(raw!$C$2:$C$185='(2018-19)'!F$2)*(raw!$D$2:$D$185))</f>
        <v>41</v>
      </c>
      <c r="G16" s="106">
        <f t="shared" si="1"/>
        <v>153</v>
      </c>
    </row>
    <row r="17" spans="1:7" x14ac:dyDescent="0.3">
      <c r="A17">
        <v>2019</v>
      </c>
      <c r="B17" t="s">
        <v>22</v>
      </c>
      <c r="C17" s="106">
        <f>SUMPRODUCT((raw!$A$2:$A$185='(2018-19)'!$A17)*(raw!$B$2:$B$185='(2018-19)'!$B17)*(raw!$C$2:$C$185='(2018-19)'!C$2)*(raw!$D$2:$D$185))</f>
        <v>18</v>
      </c>
      <c r="D17" s="106">
        <f>SUMPRODUCT((raw!$A$2:$A$185='(2018-19)'!$A17)*(raw!$B$2:$B$185='(2018-19)'!$B17)*(raw!$C$2:$C$185='(2018-19)'!D$2)*(raw!$D$2:$D$185))</f>
        <v>23</v>
      </c>
      <c r="E17" s="106">
        <f>SUMPRODUCT((raw!$A$2:$A$185='(2018-19)'!$A17)*(raw!$B$2:$B$185='(2018-19)'!$B17)*(raw!$C$2:$C$185='(2018-19)'!E$2)*(raw!$D$2:$D$185))</f>
        <v>2</v>
      </c>
      <c r="F17" s="106">
        <f>SUMPRODUCT((raw!$A$2:$A$185='(2018-19)'!$A17)*(raw!$B$2:$B$185='(2018-19)'!$B17)*(raw!$C$2:$C$185='(2018-19)'!F$2)*(raw!$D$2:$D$185))</f>
        <v>6</v>
      </c>
      <c r="G17" s="106">
        <f t="shared" si="1"/>
        <v>49</v>
      </c>
    </row>
    <row r="18" spans="1:7" x14ac:dyDescent="0.3">
      <c r="A18">
        <v>2019</v>
      </c>
      <c r="B18" t="s">
        <v>23</v>
      </c>
      <c r="C18" s="106">
        <f>SUMPRODUCT((raw!$A$2:$A$185='(2018-19)'!$A18)*(raw!$B$2:$B$185='(2018-19)'!$B18)*(raw!$C$2:$C$185='(2018-19)'!C$2)*(raw!$D$2:$D$185))</f>
        <v>27</v>
      </c>
      <c r="D18" s="106">
        <f>SUMPRODUCT((raw!$A$2:$A$185='(2018-19)'!$A18)*(raw!$B$2:$B$185='(2018-19)'!$B18)*(raw!$C$2:$C$185='(2018-19)'!D$2)*(raw!$D$2:$D$185))</f>
        <v>25</v>
      </c>
      <c r="E18" s="106">
        <f>SUMPRODUCT((raw!$A$2:$A$185='(2018-19)'!$A18)*(raw!$B$2:$B$185='(2018-19)'!$B18)*(raw!$C$2:$C$185='(2018-19)'!E$2)*(raw!$D$2:$D$185))</f>
        <v>5</v>
      </c>
      <c r="F18" s="106">
        <f>SUMPRODUCT((raw!$A$2:$A$185='(2018-19)'!$A18)*(raw!$B$2:$B$185='(2018-19)'!$B18)*(raw!$C$2:$C$185='(2018-19)'!F$2)*(raw!$D$2:$D$185))</f>
        <v>16</v>
      </c>
      <c r="G18" s="106">
        <f t="shared" si="1"/>
        <v>73</v>
      </c>
    </row>
    <row r="19" spans="1:7" x14ac:dyDescent="0.3">
      <c r="A19">
        <v>2019</v>
      </c>
      <c r="B19" t="s">
        <v>24</v>
      </c>
      <c r="C19" s="106">
        <f>SUMPRODUCT((raw!$A$2:$A$185='(2018-19)'!$A19)*(raw!$B$2:$B$185='(2018-19)'!$B19)*(raw!$C$2:$C$185='(2018-19)'!C$2)*(raw!$D$2:$D$185))</f>
        <v>46</v>
      </c>
      <c r="D19" s="106">
        <f>SUMPRODUCT((raw!$A$2:$A$185='(2018-19)'!$A19)*(raw!$B$2:$B$185='(2018-19)'!$B19)*(raw!$C$2:$C$185='(2018-19)'!D$2)*(raw!$D$2:$D$185))</f>
        <v>72</v>
      </c>
      <c r="E19" s="106">
        <f>SUMPRODUCT((raw!$A$2:$A$185='(2018-19)'!$A19)*(raw!$B$2:$B$185='(2018-19)'!$B19)*(raw!$C$2:$C$185='(2018-19)'!E$2)*(raw!$D$2:$D$185))</f>
        <v>1</v>
      </c>
      <c r="F19" s="106">
        <f>SUMPRODUCT((raw!$A$2:$A$185='(2018-19)'!$A19)*(raw!$B$2:$B$185='(2018-19)'!$B19)*(raw!$C$2:$C$185='(2018-19)'!F$2)*(raw!$D$2:$D$185))</f>
        <v>57</v>
      </c>
      <c r="G19" s="106">
        <f t="shared" si="1"/>
        <v>176</v>
      </c>
    </row>
    <row r="20" spans="1:7" x14ac:dyDescent="0.3">
      <c r="A20">
        <v>2019</v>
      </c>
      <c r="B20" t="s">
        <v>25</v>
      </c>
      <c r="C20" s="106">
        <f>SUMPRODUCT((raw!$A$2:$A$185='(2018-19)'!$A20)*(raw!$B$2:$B$185='(2018-19)'!$B20)*(raw!$C$2:$C$185='(2018-19)'!C$2)*(raw!$D$2:$D$185))</f>
        <v>18</v>
      </c>
      <c r="D20" s="106">
        <f>SUMPRODUCT((raw!$A$2:$A$185='(2018-19)'!$A20)*(raw!$B$2:$B$185='(2018-19)'!$B20)*(raw!$C$2:$C$185='(2018-19)'!D$2)*(raw!$D$2:$D$185))</f>
        <v>34</v>
      </c>
      <c r="E20" s="106">
        <f>SUMPRODUCT((raw!$A$2:$A$185='(2018-19)'!$A20)*(raw!$B$2:$B$185='(2018-19)'!$B20)*(raw!$C$2:$C$185='(2018-19)'!E$2)*(raw!$D$2:$D$185))</f>
        <v>2</v>
      </c>
      <c r="F20" s="106">
        <f>SUMPRODUCT((raw!$A$2:$A$185='(2018-19)'!$A20)*(raw!$B$2:$B$185='(2018-19)'!$B20)*(raw!$C$2:$C$185='(2018-19)'!F$2)*(raw!$D$2:$D$185))</f>
        <v>6</v>
      </c>
      <c r="G20" s="106">
        <f t="shared" si="1"/>
        <v>60</v>
      </c>
    </row>
    <row r="21" spans="1:7" x14ac:dyDescent="0.3">
      <c r="A21">
        <v>2019</v>
      </c>
      <c r="B21" t="s">
        <v>28</v>
      </c>
      <c r="C21" s="106">
        <f>SUMPRODUCT((raw!$A$2:$A$185='(2018-19)'!$A21)*(raw!$B$2:$B$185='(2018-19)'!$B21)*(raw!$C$2:$C$185='(2018-19)'!C$2)*(raw!$D$2:$D$185))</f>
        <v>91</v>
      </c>
      <c r="D21" s="106">
        <f>SUMPRODUCT((raw!$A$2:$A$185='(2018-19)'!$A21)*(raw!$B$2:$B$185='(2018-19)'!$B21)*(raw!$C$2:$C$185='(2018-19)'!D$2)*(raw!$D$2:$D$185))</f>
        <v>92</v>
      </c>
      <c r="E21" s="106">
        <f>SUMPRODUCT((raw!$A$2:$A$185='(2018-19)'!$A21)*(raw!$B$2:$B$185='(2018-19)'!$B21)*(raw!$C$2:$C$185='(2018-19)'!E$2)*(raw!$D$2:$D$185))</f>
        <v>3</v>
      </c>
      <c r="F21" s="106">
        <f>SUMPRODUCT((raw!$A$2:$A$185='(2018-19)'!$A21)*(raw!$B$2:$B$185='(2018-19)'!$B21)*(raw!$C$2:$C$185='(2018-19)'!F$2)*(raw!$D$2:$D$185))</f>
        <v>44</v>
      </c>
      <c r="G21" s="106">
        <f t="shared" si="1"/>
        <v>230</v>
      </c>
    </row>
    <row r="22" spans="1:7" x14ac:dyDescent="0.3">
      <c r="A22">
        <v>2019</v>
      </c>
      <c r="B22" t="s">
        <v>29</v>
      </c>
      <c r="C22" s="106">
        <f>SUMPRODUCT((raw!$A$2:$A$185='(2018-19)'!$A22)*(raw!$B$2:$B$185='(2018-19)'!$B22)*(raw!$C$2:$C$185='(2018-19)'!C$2)*(raw!$D$2:$D$185))</f>
        <v>30</v>
      </c>
      <c r="D22" s="106">
        <f>SUMPRODUCT((raw!$A$2:$A$185='(2018-19)'!$A22)*(raw!$B$2:$B$185='(2018-19)'!$B22)*(raw!$C$2:$C$185='(2018-19)'!D$2)*(raw!$D$2:$D$185))</f>
        <v>62</v>
      </c>
      <c r="E22" s="106">
        <f>SUMPRODUCT((raw!$A$2:$A$185='(2018-19)'!$A22)*(raw!$B$2:$B$185='(2018-19)'!$B22)*(raw!$C$2:$C$185='(2018-19)'!E$2)*(raw!$D$2:$D$185))</f>
        <v>2</v>
      </c>
      <c r="F22" s="106">
        <f>SUMPRODUCT((raw!$A$2:$A$185='(2018-19)'!$A22)*(raw!$B$2:$B$185='(2018-19)'!$B22)*(raw!$C$2:$C$185='(2018-19)'!F$2)*(raw!$D$2:$D$185))</f>
        <v>26</v>
      </c>
      <c r="G22" s="106">
        <f t="shared" si="1"/>
        <v>120</v>
      </c>
    </row>
    <row r="23" spans="1:7" x14ac:dyDescent="0.3">
      <c r="A23">
        <v>2019</v>
      </c>
      <c r="B23" t="s">
        <v>30</v>
      </c>
      <c r="C23" s="106">
        <f>SUMPRODUCT((raw!$A$2:$A$185='(2018-19)'!$A23)*(raw!$B$2:$B$185='(2018-19)'!$B23)*(raw!$C$2:$C$185='(2018-19)'!C$2)*(raw!$D$2:$D$185))</f>
        <v>50</v>
      </c>
      <c r="D23" s="106">
        <f>SUMPRODUCT((raw!$A$2:$A$185='(2018-19)'!$A23)*(raw!$B$2:$B$185='(2018-19)'!$B23)*(raw!$C$2:$C$185='(2018-19)'!D$2)*(raw!$D$2:$D$185))</f>
        <v>40</v>
      </c>
      <c r="E23" s="106">
        <f>SUMPRODUCT((raw!$A$2:$A$185='(2018-19)'!$A23)*(raw!$B$2:$B$185='(2018-19)'!$B23)*(raw!$C$2:$C$185='(2018-19)'!E$2)*(raw!$D$2:$D$185))</f>
        <v>4</v>
      </c>
      <c r="F23" s="106">
        <f>SUMPRODUCT((raw!$A$2:$A$185='(2018-19)'!$A23)*(raw!$B$2:$B$185='(2018-19)'!$B23)*(raw!$C$2:$C$185='(2018-19)'!F$2)*(raw!$D$2:$D$185))</f>
        <v>28</v>
      </c>
      <c r="G23" s="106">
        <f t="shared" si="1"/>
        <v>122</v>
      </c>
    </row>
    <row r="24" spans="1:7" x14ac:dyDescent="0.3">
      <c r="A24">
        <v>2019</v>
      </c>
      <c r="B24" t="s">
        <v>31</v>
      </c>
      <c r="C24" s="106">
        <f>SUMPRODUCT((raw!$A$2:$A$185='(2018-19)'!$A24)*(raw!$B$2:$B$185='(2018-19)'!$B24)*(raw!$C$2:$C$185='(2018-19)'!C$2)*(raw!$D$2:$D$185))</f>
        <v>33</v>
      </c>
      <c r="D24" s="106">
        <f>SUMPRODUCT((raw!$A$2:$A$185='(2018-19)'!$A24)*(raw!$B$2:$B$185='(2018-19)'!$B24)*(raw!$C$2:$C$185='(2018-19)'!D$2)*(raw!$D$2:$D$185))</f>
        <v>25</v>
      </c>
      <c r="E24" s="106">
        <f>SUMPRODUCT((raw!$A$2:$A$185='(2018-19)'!$A24)*(raw!$B$2:$B$185='(2018-19)'!$B24)*(raw!$C$2:$C$185='(2018-19)'!E$2)*(raw!$D$2:$D$185))</f>
        <v>2</v>
      </c>
      <c r="F24" s="106">
        <f>SUMPRODUCT((raw!$A$2:$A$185='(2018-19)'!$A24)*(raw!$B$2:$B$185='(2018-19)'!$B24)*(raw!$C$2:$C$185='(2018-19)'!F$2)*(raw!$D$2:$D$185))</f>
        <v>12</v>
      </c>
      <c r="G24" s="106">
        <f t="shared" si="1"/>
        <v>72</v>
      </c>
    </row>
    <row r="25" spans="1:7" x14ac:dyDescent="0.3">
      <c r="A25">
        <v>2019</v>
      </c>
      <c r="B25" t="s">
        <v>65</v>
      </c>
      <c r="C25" s="106">
        <f>SUMPRODUCT((raw!$A$2:$A$185='(2018-19)'!$A25)*(raw!$B$2:$B$185='(2018-19)'!$B25)*(raw!$C$2:$C$185='(2018-19)'!C$2)*(raw!$D$2:$D$185))</f>
        <v>6</v>
      </c>
      <c r="D25" s="106">
        <f>SUMPRODUCT((raw!$A$2:$A$185='(2018-19)'!$A25)*(raw!$B$2:$B$185='(2018-19)'!$B25)*(raw!$C$2:$C$185='(2018-19)'!D$2)*(raw!$D$2:$D$185))</f>
        <v>7</v>
      </c>
      <c r="E25" s="106">
        <f>SUMPRODUCT((raw!$A$2:$A$185='(2018-19)'!$A25)*(raw!$B$2:$B$185='(2018-19)'!$B25)*(raw!$C$2:$C$185='(2018-19)'!E$2)*(raw!$D$2:$D$185))</f>
        <v>0</v>
      </c>
      <c r="F25" s="106">
        <f>SUMPRODUCT((raw!$A$2:$A$185='(2018-19)'!$A25)*(raw!$B$2:$B$185='(2018-19)'!$B25)*(raw!$C$2:$C$185='(2018-19)'!F$2)*(raw!$D$2:$D$185))</f>
        <v>4</v>
      </c>
      <c r="G25" s="106">
        <f t="shared" si="1"/>
        <v>17</v>
      </c>
    </row>
    <row r="26" spans="1:7" x14ac:dyDescent="0.3">
      <c r="A26">
        <v>2019</v>
      </c>
      <c r="B26" t="s">
        <v>34</v>
      </c>
      <c r="C26" s="106">
        <f>SUMPRODUCT((raw!$A$2:$A$185='(2018-19)'!$A26)*(raw!$B$2:$B$185='(2018-19)'!$B26)*(raw!$C$2:$C$185='(2018-19)'!C$2)*(raw!$D$2:$D$185))</f>
        <v>53</v>
      </c>
      <c r="D26" s="106">
        <f>SUMPRODUCT((raw!$A$2:$A$185='(2018-19)'!$A26)*(raw!$B$2:$B$185='(2018-19)'!$B26)*(raw!$C$2:$C$185='(2018-19)'!D$2)*(raw!$D$2:$D$185))</f>
        <v>53</v>
      </c>
      <c r="E26" s="106">
        <f>SUMPRODUCT((raw!$A$2:$A$185='(2018-19)'!$A26)*(raw!$B$2:$B$185='(2018-19)'!$B26)*(raw!$C$2:$C$185='(2018-19)'!E$2)*(raw!$D$2:$D$185))</f>
        <v>1</v>
      </c>
      <c r="F26" s="106">
        <f>SUMPRODUCT((raw!$A$2:$A$185='(2018-19)'!$A26)*(raw!$B$2:$B$185='(2018-19)'!$B26)*(raw!$C$2:$C$185='(2018-19)'!F$2)*(raw!$D$2:$D$185))</f>
        <v>25</v>
      </c>
      <c r="G26" s="106">
        <f t="shared" si="1"/>
        <v>132</v>
      </c>
    </row>
    <row r="27" spans="1:7" x14ac:dyDescent="0.3">
      <c r="A27">
        <v>2019</v>
      </c>
      <c r="B27" t="s">
        <v>35</v>
      </c>
      <c r="C27" s="106">
        <f>SUMPRODUCT((raw!$A$2:$A$185='(2018-19)'!$A27)*(raw!$B$2:$B$185='(2018-19)'!$B27)*(raw!$C$2:$C$185='(2018-19)'!C$2)*(raw!$D$2:$D$185))</f>
        <v>49</v>
      </c>
      <c r="D27" s="106">
        <f>SUMPRODUCT((raw!$A$2:$A$185='(2018-19)'!$A27)*(raw!$B$2:$B$185='(2018-19)'!$B27)*(raw!$C$2:$C$185='(2018-19)'!D$2)*(raw!$D$2:$D$185))</f>
        <v>66</v>
      </c>
      <c r="E27" s="106">
        <f>SUMPRODUCT((raw!$A$2:$A$185='(2018-19)'!$A27)*(raw!$B$2:$B$185='(2018-19)'!$B27)*(raw!$C$2:$C$185='(2018-19)'!E$2)*(raw!$D$2:$D$185))</f>
        <v>0</v>
      </c>
      <c r="F27" s="106">
        <f>SUMPRODUCT((raw!$A$2:$A$185='(2018-19)'!$A27)*(raw!$B$2:$B$185='(2018-19)'!$B27)*(raw!$C$2:$C$185='(2018-19)'!F$2)*(raw!$D$2:$D$185))</f>
        <v>24</v>
      </c>
      <c r="G27" s="106">
        <f t="shared" si="1"/>
        <v>139</v>
      </c>
    </row>
    <row r="28" spans="1:7" x14ac:dyDescent="0.3">
      <c r="A28">
        <v>2019</v>
      </c>
      <c r="B28" t="s">
        <v>36</v>
      </c>
      <c r="C28" s="106">
        <f>SUMPRODUCT((raw!$A$2:$A$185='(2018-19)'!$A28)*(raw!$B$2:$B$185='(2018-19)'!$B28)*(raw!$C$2:$C$185='(2018-19)'!C$2)*(raw!$D$2:$D$185))</f>
        <v>40</v>
      </c>
      <c r="D28" s="106">
        <f>SUMPRODUCT((raw!$A$2:$A$185='(2018-19)'!$A28)*(raw!$B$2:$B$185='(2018-19)'!$B28)*(raw!$C$2:$C$185='(2018-19)'!D$2)*(raw!$D$2:$D$185))</f>
        <v>35</v>
      </c>
      <c r="E28" s="106">
        <f>SUMPRODUCT((raw!$A$2:$A$185='(2018-19)'!$A28)*(raw!$B$2:$B$185='(2018-19)'!$B28)*(raw!$C$2:$C$185='(2018-19)'!E$2)*(raw!$D$2:$D$185))</f>
        <v>0</v>
      </c>
      <c r="F28" s="106">
        <f>SUMPRODUCT((raw!$A$2:$A$185='(2018-19)'!$A28)*(raw!$B$2:$B$185='(2018-19)'!$B28)*(raw!$C$2:$C$185='(2018-19)'!F$2)*(raw!$D$2:$D$185))</f>
        <v>22</v>
      </c>
      <c r="G28" s="106">
        <f t="shared" si="1"/>
        <v>97</v>
      </c>
    </row>
    <row r="29" spans="1:7" x14ac:dyDescent="0.3">
      <c r="A29">
        <v>2019</v>
      </c>
      <c r="B29" t="s">
        <v>37</v>
      </c>
      <c r="C29" s="106">
        <f>SUMPRODUCT((raw!$A$2:$A$185='(2018-19)'!$A29)*(raw!$B$2:$B$185='(2018-19)'!$B29)*(raw!$C$2:$C$185='(2018-19)'!C$2)*(raw!$D$2:$D$185))</f>
        <v>17</v>
      </c>
      <c r="D29" s="106">
        <f>SUMPRODUCT((raw!$A$2:$A$185='(2018-19)'!$A29)*(raw!$B$2:$B$185='(2018-19)'!$B29)*(raw!$C$2:$C$185='(2018-19)'!D$2)*(raw!$D$2:$D$185))</f>
        <v>57</v>
      </c>
      <c r="E29" s="106">
        <f>SUMPRODUCT((raw!$A$2:$A$185='(2018-19)'!$A29)*(raw!$B$2:$B$185='(2018-19)'!$B29)*(raw!$C$2:$C$185='(2018-19)'!E$2)*(raw!$D$2:$D$185))</f>
        <v>2</v>
      </c>
      <c r="F29" s="106">
        <f>SUMPRODUCT((raw!$A$2:$A$185='(2018-19)'!$A29)*(raw!$B$2:$B$185='(2018-19)'!$B29)*(raw!$C$2:$C$185='(2018-19)'!F$2)*(raw!$D$2:$D$185))</f>
        <v>3</v>
      </c>
      <c r="G29" s="106">
        <f t="shared" si="1"/>
        <v>79</v>
      </c>
    </row>
    <row r="30" spans="1:7" x14ac:dyDescent="0.3">
      <c r="A30">
        <v>2019</v>
      </c>
      <c r="B30" t="s">
        <v>39</v>
      </c>
      <c r="C30" s="106">
        <f>SUMPRODUCT((raw!$A$2:$A$185='(2018-19)'!$A30)*(raw!$B$2:$B$185='(2018-19)'!$B30)*(raw!$C$2:$C$185='(2018-19)'!C$2)*(raw!$D$2:$D$185))</f>
        <v>21</v>
      </c>
      <c r="D30" s="106">
        <f>SUMPRODUCT((raw!$A$2:$A$185='(2018-19)'!$A30)*(raw!$B$2:$B$185='(2018-19)'!$B30)*(raw!$C$2:$C$185='(2018-19)'!D$2)*(raw!$D$2:$D$185))</f>
        <v>43</v>
      </c>
      <c r="E30" s="106">
        <f>SUMPRODUCT((raw!$A$2:$A$185='(2018-19)'!$A30)*(raw!$B$2:$B$185='(2018-19)'!$B30)*(raw!$C$2:$C$185='(2018-19)'!E$2)*(raw!$D$2:$D$185))</f>
        <v>1</v>
      </c>
      <c r="F30" s="106">
        <f>SUMPRODUCT((raw!$A$2:$A$185='(2018-19)'!$A30)*(raw!$B$2:$B$185='(2018-19)'!$B30)*(raw!$C$2:$C$185='(2018-19)'!F$2)*(raw!$D$2:$D$185))</f>
        <v>13</v>
      </c>
      <c r="G30" s="106">
        <f t="shared" si="1"/>
        <v>78</v>
      </c>
    </row>
    <row r="31" spans="1:7" x14ac:dyDescent="0.3">
      <c r="A31">
        <v>2019</v>
      </c>
      <c r="B31" t="s">
        <v>40</v>
      </c>
      <c r="C31" s="106">
        <f>SUMPRODUCT((raw!$A$2:$A$185='(2018-19)'!$A31)*(raw!$B$2:$B$185='(2018-19)'!$B31)*(raw!$C$2:$C$185='(2018-19)'!C$2)*(raw!$D$2:$D$185))</f>
        <v>0</v>
      </c>
      <c r="D31" s="106">
        <f>SUMPRODUCT((raw!$A$2:$A$185='(2018-19)'!$A31)*(raw!$B$2:$B$185='(2018-19)'!$B31)*(raw!$C$2:$C$185='(2018-19)'!D$2)*(raw!$D$2:$D$185))</f>
        <v>0</v>
      </c>
      <c r="E31" s="106">
        <f>SUMPRODUCT((raw!$A$2:$A$185='(2018-19)'!$A31)*(raw!$B$2:$B$185='(2018-19)'!$B31)*(raw!$C$2:$C$185='(2018-19)'!E$2)*(raw!$D$2:$D$185))</f>
        <v>10</v>
      </c>
      <c r="F31" s="106">
        <f>SUMPRODUCT((raw!$A$2:$A$185='(2018-19)'!$A31)*(raw!$B$2:$B$185='(2018-19)'!$B31)*(raw!$C$2:$C$185='(2018-19)'!F$2)*(raw!$D$2:$D$185))</f>
        <v>0</v>
      </c>
      <c r="G31" s="106">
        <f t="shared" si="1"/>
        <v>10</v>
      </c>
    </row>
    <row r="32" spans="1:7" x14ac:dyDescent="0.3">
      <c r="A32">
        <v>2019</v>
      </c>
      <c r="B32" t="s">
        <v>41</v>
      </c>
      <c r="C32" s="106">
        <f>SUMPRODUCT((raw!$A$2:$A$185='(2018-19)'!$A32)*(raw!$B$2:$B$185='(2018-19)'!$B32)*(raw!$C$2:$C$185='(2018-19)'!C$2)*(raw!$D$2:$D$185))</f>
        <v>25</v>
      </c>
      <c r="D32" s="106">
        <f>SUMPRODUCT((raw!$A$2:$A$185='(2018-19)'!$A32)*(raw!$B$2:$B$185='(2018-19)'!$B32)*(raw!$C$2:$C$185='(2018-19)'!D$2)*(raw!$D$2:$D$185))</f>
        <v>55</v>
      </c>
      <c r="E32" s="106">
        <f>SUMPRODUCT((raw!$A$2:$A$185='(2018-19)'!$A32)*(raw!$B$2:$B$185='(2018-19)'!$B32)*(raw!$C$2:$C$185='(2018-19)'!E$2)*(raw!$D$2:$D$185))</f>
        <v>2</v>
      </c>
      <c r="F32" s="106">
        <f>SUMPRODUCT((raw!$A$2:$A$185='(2018-19)'!$A32)*(raw!$B$2:$B$185='(2018-19)'!$B32)*(raw!$C$2:$C$185='(2018-19)'!F$2)*(raw!$D$2:$D$185))</f>
        <v>15</v>
      </c>
      <c r="G32" s="106">
        <f t="shared" si="1"/>
        <v>97</v>
      </c>
    </row>
    <row r="33" spans="1:7" x14ac:dyDescent="0.3">
      <c r="A33">
        <v>2019</v>
      </c>
      <c r="B33" t="s">
        <v>42</v>
      </c>
      <c r="C33" s="106">
        <f>SUMPRODUCT((raw!$A$2:$A$185='(2018-19)'!$A33)*(raw!$B$2:$B$185='(2018-19)'!$B33)*(raw!$C$2:$C$185='(2018-19)'!C$2)*(raw!$D$2:$D$185))</f>
        <v>16</v>
      </c>
      <c r="D33" s="106">
        <f>SUMPRODUCT((raw!$A$2:$A$185='(2018-19)'!$A33)*(raw!$B$2:$B$185='(2018-19)'!$B33)*(raw!$C$2:$C$185='(2018-19)'!D$2)*(raw!$D$2:$D$185))</f>
        <v>31</v>
      </c>
      <c r="E33" s="106">
        <f>SUMPRODUCT((raw!$A$2:$A$185='(2018-19)'!$A33)*(raw!$B$2:$B$185='(2018-19)'!$B33)*(raw!$C$2:$C$185='(2018-19)'!E$2)*(raw!$D$2:$D$185))</f>
        <v>2</v>
      </c>
      <c r="F33" s="106">
        <f>SUMPRODUCT((raw!$A$2:$A$185='(2018-19)'!$A33)*(raw!$B$2:$B$185='(2018-19)'!$B33)*(raw!$C$2:$C$185='(2018-19)'!F$2)*(raw!$D$2:$D$185))</f>
        <v>6</v>
      </c>
      <c r="G33" s="106">
        <f t="shared" si="1"/>
        <v>55</v>
      </c>
    </row>
    <row r="34" spans="1:7" x14ac:dyDescent="0.3">
      <c r="A34">
        <v>2019</v>
      </c>
      <c r="B34" t="s">
        <v>43</v>
      </c>
      <c r="C34" s="106">
        <f>SUMPRODUCT((raw!$A$2:$A$185='(2018-19)'!$A34)*(raw!$B$2:$B$185='(2018-19)'!$B34)*(raw!$C$2:$C$185='(2018-19)'!C$2)*(raw!$D$2:$D$185))</f>
        <v>13</v>
      </c>
      <c r="D34" s="106">
        <f>SUMPRODUCT((raw!$A$2:$A$185='(2018-19)'!$A34)*(raw!$B$2:$B$185='(2018-19)'!$B34)*(raw!$C$2:$C$185='(2018-19)'!D$2)*(raw!$D$2:$D$185))</f>
        <v>16</v>
      </c>
      <c r="E34" s="106">
        <f>SUMPRODUCT((raw!$A$2:$A$185='(2018-19)'!$A34)*(raw!$B$2:$B$185='(2018-19)'!$B34)*(raw!$C$2:$C$185='(2018-19)'!E$2)*(raw!$D$2:$D$185))</f>
        <v>0</v>
      </c>
      <c r="F34" s="106">
        <f>SUMPRODUCT((raw!$A$2:$A$185='(2018-19)'!$A34)*(raw!$B$2:$B$185='(2018-19)'!$B34)*(raw!$C$2:$C$185='(2018-19)'!F$2)*(raw!$D$2:$D$185))</f>
        <v>0</v>
      </c>
      <c r="G34" s="106">
        <f t="shared" si="1"/>
        <v>29</v>
      </c>
    </row>
    <row r="35" spans="1:7" x14ac:dyDescent="0.3">
      <c r="A35">
        <v>2019</v>
      </c>
      <c r="B35" t="s">
        <v>44</v>
      </c>
      <c r="C35" s="106">
        <f>SUMPRODUCT((raw!$A$2:$A$185='(2018-19)'!$A35)*(raw!$B$2:$B$185='(2018-19)'!$B35)*(raw!$C$2:$C$185='(2018-19)'!C$2)*(raw!$D$2:$D$185))</f>
        <v>37</v>
      </c>
      <c r="D35" s="106">
        <f>SUMPRODUCT((raw!$A$2:$A$185='(2018-19)'!$A35)*(raw!$B$2:$B$185='(2018-19)'!$B35)*(raw!$C$2:$C$185='(2018-19)'!D$2)*(raw!$D$2:$D$185))</f>
        <v>29</v>
      </c>
      <c r="E35" s="106">
        <f>SUMPRODUCT((raw!$A$2:$A$185='(2018-19)'!$A35)*(raw!$B$2:$B$185='(2018-19)'!$B35)*(raw!$C$2:$C$185='(2018-19)'!E$2)*(raw!$D$2:$D$185))</f>
        <v>1</v>
      </c>
      <c r="F35" s="106">
        <f>SUMPRODUCT((raw!$A$2:$A$185='(2018-19)'!$A35)*(raw!$B$2:$B$185='(2018-19)'!$B35)*(raw!$C$2:$C$185='(2018-19)'!F$2)*(raw!$D$2:$D$185))</f>
        <v>16</v>
      </c>
      <c r="G35" s="106">
        <f t="shared" si="1"/>
        <v>83</v>
      </c>
    </row>
    <row r="36" spans="1:7" x14ac:dyDescent="0.3">
      <c r="A36">
        <v>2019</v>
      </c>
      <c r="B36" t="s">
        <v>45</v>
      </c>
      <c r="C36" s="106">
        <f>SUMPRODUCT((raw!$A$2:$A$185='(2018-19)'!$A36)*(raw!$B$2:$B$185='(2018-19)'!$B36)*(raw!$C$2:$C$185='(2018-19)'!C$2)*(raw!$D$2:$D$185))</f>
        <v>10</v>
      </c>
      <c r="D36" s="106">
        <f>SUMPRODUCT((raw!$A$2:$A$185='(2018-19)'!$A36)*(raw!$B$2:$B$185='(2018-19)'!$B36)*(raw!$C$2:$C$185='(2018-19)'!D$2)*(raw!$D$2:$D$185))</f>
        <v>49</v>
      </c>
      <c r="E36" s="106">
        <f>SUMPRODUCT((raw!$A$2:$A$185='(2018-19)'!$A36)*(raw!$B$2:$B$185='(2018-19)'!$B36)*(raw!$C$2:$C$185='(2018-19)'!E$2)*(raw!$D$2:$D$185))</f>
        <v>0</v>
      </c>
      <c r="F36" s="106">
        <f>SUMPRODUCT((raw!$A$2:$A$185='(2018-19)'!$A36)*(raw!$B$2:$B$185='(2018-19)'!$B36)*(raw!$C$2:$C$185='(2018-19)'!F$2)*(raw!$D$2:$D$185))</f>
        <v>9</v>
      </c>
      <c r="G36" s="106">
        <f t="shared" si="1"/>
        <v>68</v>
      </c>
    </row>
    <row r="37" spans="1:7" x14ac:dyDescent="0.3">
      <c r="A37">
        <v>2019</v>
      </c>
      <c r="B37" t="s">
        <v>46</v>
      </c>
      <c r="C37" s="106">
        <f>SUMPRODUCT((raw!$A$2:$A$185='(2018-19)'!$A37)*(raw!$B$2:$B$185='(2018-19)'!$B37)*(raw!$C$2:$C$185='(2018-19)'!C$2)*(raw!$D$2:$D$185))</f>
        <v>4</v>
      </c>
      <c r="D37" s="106">
        <f>SUMPRODUCT((raw!$A$2:$A$185='(2018-19)'!$A37)*(raw!$B$2:$B$185='(2018-19)'!$B37)*(raw!$C$2:$C$185='(2018-19)'!D$2)*(raw!$D$2:$D$185))</f>
        <v>28</v>
      </c>
      <c r="E37" s="106">
        <f>SUMPRODUCT((raw!$A$2:$A$185='(2018-19)'!$A37)*(raw!$B$2:$B$185='(2018-19)'!$B37)*(raw!$C$2:$C$185='(2018-19)'!E$2)*(raw!$D$2:$D$185))</f>
        <v>2</v>
      </c>
      <c r="F37" s="106">
        <f>SUMPRODUCT((raw!$A$2:$A$185='(2018-19)'!$A37)*(raw!$B$2:$B$185='(2018-19)'!$B37)*(raw!$C$2:$C$185='(2018-19)'!F$2)*(raw!$D$2:$D$185))</f>
        <v>10</v>
      </c>
      <c r="G37" s="106">
        <f t="shared" si="1"/>
        <v>44</v>
      </c>
    </row>
    <row r="38" spans="1:7" x14ac:dyDescent="0.3">
      <c r="A38">
        <v>2019</v>
      </c>
      <c r="B38" t="s">
        <v>48</v>
      </c>
      <c r="C38" s="106">
        <f>SUMPRODUCT((raw!$A$2:$A$185='(2018-19)'!$A38)*(raw!$B$2:$B$185='(2018-19)'!$B38)*(raw!$C$2:$C$185='(2018-19)'!C$2)*(raw!$D$2:$D$185))</f>
        <v>16</v>
      </c>
      <c r="D38" s="106">
        <f>SUMPRODUCT((raw!$A$2:$A$185='(2018-19)'!$A38)*(raw!$B$2:$B$185='(2018-19)'!$B38)*(raw!$C$2:$C$185='(2018-19)'!D$2)*(raw!$D$2:$D$185))</f>
        <v>37</v>
      </c>
      <c r="E38" s="106">
        <f>SUMPRODUCT((raw!$A$2:$A$185='(2018-19)'!$A38)*(raw!$B$2:$B$185='(2018-19)'!$B38)*(raw!$C$2:$C$185='(2018-19)'!E$2)*(raw!$D$2:$D$185))</f>
        <v>0</v>
      </c>
      <c r="F38" s="106">
        <f>SUMPRODUCT((raw!$A$2:$A$185='(2018-19)'!$A38)*(raw!$B$2:$B$185='(2018-19)'!$B38)*(raw!$C$2:$C$185='(2018-19)'!F$2)*(raw!$D$2:$D$185))</f>
        <v>35</v>
      </c>
      <c r="G38" s="106">
        <f t="shared" si="1"/>
        <v>88</v>
      </c>
    </row>
    <row r="39" spans="1:7" x14ac:dyDescent="0.3">
      <c r="A39">
        <v>2019</v>
      </c>
      <c r="B39" t="s">
        <v>49</v>
      </c>
      <c r="C39" s="106">
        <f>SUMPRODUCT((raw!$A$2:$A$185='(2018-19)'!$A39)*(raw!$B$2:$B$185='(2018-19)'!$B39)*(raw!$C$2:$C$185='(2018-19)'!C$2)*(raw!$D$2:$D$185))</f>
        <v>16</v>
      </c>
      <c r="D39" s="106">
        <f>SUMPRODUCT((raw!$A$2:$A$185='(2018-19)'!$A39)*(raw!$B$2:$B$185='(2018-19)'!$B39)*(raw!$C$2:$C$185='(2018-19)'!D$2)*(raw!$D$2:$D$185))</f>
        <v>44</v>
      </c>
      <c r="E39" s="106">
        <f>SUMPRODUCT((raw!$A$2:$A$185='(2018-19)'!$A39)*(raw!$B$2:$B$185='(2018-19)'!$B39)*(raw!$C$2:$C$185='(2018-19)'!E$2)*(raw!$D$2:$D$185))</f>
        <v>0</v>
      </c>
      <c r="F39" s="106">
        <f>SUMPRODUCT((raw!$A$2:$A$185='(2018-19)'!$A39)*(raw!$B$2:$B$185='(2018-19)'!$B39)*(raw!$C$2:$C$185='(2018-19)'!F$2)*(raw!$D$2:$D$185))</f>
        <v>9</v>
      </c>
      <c r="G39" s="106">
        <f t="shared" si="1"/>
        <v>69</v>
      </c>
    </row>
    <row r="40" spans="1:7" x14ac:dyDescent="0.3">
      <c r="A40">
        <v>2019</v>
      </c>
      <c r="B40" t="s">
        <v>50</v>
      </c>
      <c r="C40" s="106">
        <f>SUMPRODUCT((raw!$A$2:$A$185='(2018-19)'!$A40)*(raw!$B$2:$B$185='(2018-19)'!$B40)*(raw!$C$2:$C$185='(2018-19)'!C$2)*(raw!$D$2:$D$185))</f>
        <v>38</v>
      </c>
      <c r="D40" s="106">
        <f>SUMPRODUCT((raw!$A$2:$A$185='(2018-19)'!$A40)*(raw!$B$2:$B$185='(2018-19)'!$B40)*(raw!$C$2:$C$185='(2018-19)'!D$2)*(raw!$D$2:$D$185))</f>
        <v>7</v>
      </c>
      <c r="E40" s="106">
        <f>SUMPRODUCT((raw!$A$2:$A$185='(2018-19)'!$A40)*(raw!$B$2:$B$185='(2018-19)'!$B40)*(raw!$C$2:$C$185='(2018-19)'!E$2)*(raw!$D$2:$D$185))</f>
        <v>4</v>
      </c>
      <c r="F40" s="106">
        <f>SUMPRODUCT((raw!$A$2:$A$185='(2018-19)'!$A40)*(raw!$B$2:$B$185='(2018-19)'!$B40)*(raw!$C$2:$C$185='(2018-19)'!F$2)*(raw!$D$2:$D$185))</f>
        <v>15</v>
      </c>
      <c r="G40" s="106">
        <f t="shared" si="1"/>
        <v>64</v>
      </c>
    </row>
    <row r="41" spans="1:7" x14ac:dyDescent="0.3">
      <c r="A41">
        <v>2019</v>
      </c>
      <c r="B41" t="s">
        <v>52</v>
      </c>
      <c r="C41" s="106">
        <f>SUMPRODUCT((raw!$A$2:$A$185='(2018-19)'!$A41)*(raw!$B$2:$B$185='(2018-19)'!$B41)*(raw!$C$2:$C$185='(2018-19)'!C$2)*(raw!$D$2:$D$185))</f>
        <v>15</v>
      </c>
      <c r="D41" s="106">
        <f>SUMPRODUCT((raw!$A$2:$A$185='(2018-19)'!$A41)*(raw!$B$2:$B$185='(2018-19)'!$B41)*(raw!$C$2:$C$185='(2018-19)'!D$2)*(raw!$D$2:$D$185))</f>
        <v>18</v>
      </c>
      <c r="E41" s="106">
        <f>SUMPRODUCT((raw!$A$2:$A$185='(2018-19)'!$A41)*(raw!$B$2:$B$185='(2018-19)'!$B41)*(raw!$C$2:$C$185='(2018-19)'!E$2)*(raw!$D$2:$D$185))</f>
        <v>0</v>
      </c>
      <c r="F41" s="106">
        <f>SUMPRODUCT((raw!$A$2:$A$185='(2018-19)'!$A41)*(raw!$B$2:$B$185='(2018-19)'!$B41)*(raw!$C$2:$C$185='(2018-19)'!F$2)*(raw!$D$2:$D$185))</f>
        <v>12</v>
      </c>
      <c r="G41" s="106">
        <f t="shared" si="1"/>
        <v>45</v>
      </c>
    </row>
    <row r="42" spans="1:7" x14ac:dyDescent="0.3">
      <c r="A42">
        <v>2019</v>
      </c>
      <c r="B42" t="s">
        <v>54</v>
      </c>
      <c r="C42" s="106">
        <f>SUMPRODUCT((raw!$A$2:$A$185='(2018-19)'!$A42)*(raw!$B$2:$B$185='(2018-19)'!$B42)*(raw!$C$2:$C$185='(2018-19)'!C$2)*(raw!$D$2:$D$185))</f>
        <v>19</v>
      </c>
      <c r="D42" s="106">
        <f>SUMPRODUCT((raw!$A$2:$A$185='(2018-19)'!$A42)*(raw!$B$2:$B$185='(2018-19)'!$B42)*(raw!$C$2:$C$185='(2018-19)'!D$2)*(raw!$D$2:$D$185))</f>
        <v>30</v>
      </c>
      <c r="E42" s="106">
        <f>SUMPRODUCT((raw!$A$2:$A$185='(2018-19)'!$A42)*(raw!$B$2:$B$185='(2018-19)'!$B42)*(raw!$C$2:$C$185='(2018-19)'!E$2)*(raw!$D$2:$D$185))</f>
        <v>0</v>
      </c>
      <c r="F42" s="106">
        <f>SUMPRODUCT((raw!$A$2:$A$185='(2018-19)'!$A42)*(raw!$B$2:$B$185='(2018-19)'!$B42)*(raw!$C$2:$C$185='(2018-19)'!F$2)*(raw!$D$2:$D$185))</f>
        <v>24</v>
      </c>
      <c r="G42" s="106">
        <f t="shared" si="1"/>
        <v>73</v>
      </c>
    </row>
    <row r="43" spans="1:7" x14ac:dyDescent="0.3">
      <c r="A43">
        <v>2019</v>
      </c>
      <c r="B43" t="s">
        <v>33</v>
      </c>
      <c r="C43" s="106">
        <f>SUMPRODUCT((raw!$A$2:$A$185='(2018-19)'!$A43)*(raw!$B$2:$B$185='(2018-19)'!$B43)*(raw!$C$2:$C$185='(2018-19)'!C$2)*(raw!$D$2:$D$185))</f>
        <v>0</v>
      </c>
      <c r="D43" s="106">
        <f>SUMPRODUCT((raw!$A$2:$A$185='(2018-19)'!$A43)*(raw!$B$2:$B$185='(2018-19)'!$B43)*(raw!$C$2:$C$185='(2018-19)'!D$2)*(raw!$D$2:$D$185))</f>
        <v>7</v>
      </c>
      <c r="E43" s="106">
        <f>SUMPRODUCT((raw!$A$2:$A$185='(2018-19)'!$A43)*(raw!$B$2:$B$185='(2018-19)'!$B43)*(raw!$C$2:$C$185='(2018-19)'!E$2)*(raw!$D$2:$D$185))</f>
        <v>0</v>
      </c>
      <c r="F43" s="106">
        <f>SUMPRODUCT((raw!$A$2:$A$185='(2018-19)'!$A43)*(raw!$B$2:$B$185='(2018-19)'!$B43)*(raw!$C$2:$C$185='(2018-19)'!F$2)*(raw!$D$2:$D$185))</f>
        <v>1</v>
      </c>
      <c r="G43" s="106">
        <f t="shared" si="1"/>
        <v>8</v>
      </c>
    </row>
    <row r="44" spans="1:7" x14ac:dyDescent="0.3">
      <c r="A44">
        <v>2019</v>
      </c>
      <c r="B44" t="s">
        <v>66</v>
      </c>
      <c r="C44" s="106">
        <f>SUM(C45:C51)</f>
        <v>691</v>
      </c>
      <c r="D44" s="106">
        <f t="shared" ref="D44:G44" si="2">SUM(D45:D51)</f>
        <v>44</v>
      </c>
      <c r="E44" s="106">
        <f t="shared" si="2"/>
        <v>28</v>
      </c>
      <c r="F44" s="106">
        <f t="shared" si="2"/>
        <v>296</v>
      </c>
      <c r="G44" s="106">
        <f t="shared" si="2"/>
        <v>1059</v>
      </c>
    </row>
    <row r="45" spans="1:7" x14ac:dyDescent="0.3">
      <c r="A45">
        <v>2019</v>
      </c>
      <c r="B45" t="s">
        <v>27</v>
      </c>
      <c r="C45" s="106">
        <f>SUMPRODUCT((raw!$A$2:$A$185='(2018-19)'!$A45)*(raw!$B$2:$B$185='(2018-19)'!$B45)*(raw!$C$2:$C$185='(2018-19)'!C$2)*(raw!$D$2:$D$185))</f>
        <v>92</v>
      </c>
      <c r="D45" s="106">
        <f>SUMPRODUCT((raw!$A$2:$A$185='(2018-19)'!$A45)*(raw!$B$2:$B$185='(2018-19)'!$B45)*(raw!$C$2:$C$185='(2018-19)'!D$2)*(raw!$D$2:$D$185))</f>
        <v>2</v>
      </c>
      <c r="E45" s="106">
        <f>SUMPRODUCT((raw!$A$2:$A$185='(2018-19)'!$A45)*(raw!$B$2:$B$185='(2018-19)'!$B45)*(raw!$C$2:$C$185='(2018-19)'!E$2)*(raw!$D$2:$D$185))</f>
        <v>0</v>
      </c>
      <c r="F45" s="106">
        <f>SUMPRODUCT((raw!$A$2:$A$185='(2018-19)'!$A45)*(raw!$B$2:$B$185='(2018-19)'!$B45)*(raw!$C$2:$C$185='(2018-19)'!F$2)*(raw!$D$2:$D$185))</f>
        <v>64</v>
      </c>
      <c r="G45" s="106">
        <f t="shared" si="1"/>
        <v>158</v>
      </c>
    </row>
    <row r="46" spans="1:7" x14ac:dyDescent="0.3">
      <c r="A46">
        <v>2019</v>
      </c>
      <c r="B46" t="s">
        <v>38</v>
      </c>
      <c r="C46" s="106">
        <f>SUMPRODUCT((raw!$A$2:$A$185='(2018-19)'!$A46)*(raw!$B$2:$B$185='(2018-19)'!$B46)*(raw!$C$2:$C$185='(2018-19)'!C$2)*(raw!$D$2:$D$185))</f>
        <v>72</v>
      </c>
      <c r="D46" s="106">
        <f>SUMPRODUCT((raw!$A$2:$A$185='(2018-19)'!$A46)*(raw!$B$2:$B$185='(2018-19)'!$B46)*(raw!$C$2:$C$185='(2018-19)'!D$2)*(raw!$D$2:$D$185))</f>
        <v>10</v>
      </c>
      <c r="E46" s="106">
        <f>SUMPRODUCT((raw!$A$2:$A$185='(2018-19)'!$A46)*(raw!$B$2:$B$185='(2018-19)'!$B46)*(raw!$C$2:$C$185='(2018-19)'!E$2)*(raw!$D$2:$D$185))</f>
        <v>5</v>
      </c>
      <c r="F46" s="106">
        <f>SUMPRODUCT((raw!$A$2:$A$185='(2018-19)'!$A46)*(raw!$B$2:$B$185='(2018-19)'!$B46)*(raw!$C$2:$C$185='(2018-19)'!F$2)*(raw!$D$2:$D$185))</f>
        <v>35</v>
      </c>
      <c r="G46" s="106">
        <f t="shared" si="1"/>
        <v>122</v>
      </c>
    </row>
    <row r="47" spans="1:7" x14ac:dyDescent="0.3">
      <c r="A47">
        <v>2019</v>
      </c>
      <c r="B47" t="s">
        <v>47</v>
      </c>
      <c r="C47" s="106">
        <f>SUMPRODUCT((raw!$A$2:$A$185='(2018-19)'!$A47)*(raw!$B$2:$B$185='(2018-19)'!$B47)*(raw!$C$2:$C$185='(2018-19)'!C$2)*(raw!$D$2:$D$185))</f>
        <v>47</v>
      </c>
      <c r="D47" s="106">
        <f>SUMPRODUCT((raw!$A$2:$A$185='(2018-19)'!$A47)*(raw!$B$2:$B$185='(2018-19)'!$B47)*(raw!$C$2:$C$185='(2018-19)'!D$2)*(raw!$D$2:$D$185))</f>
        <v>14</v>
      </c>
      <c r="E47" s="106">
        <f>SUMPRODUCT((raw!$A$2:$A$185='(2018-19)'!$A47)*(raw!$B$2:$B$185='(2018-19)'!$B47)*(raw!$C$2:$C$185='(2018-19)'!E$2)*(raw!$D$2:$D$185))</f>
        <v>1</v>
      </c>
      <c r="F47" s="106">
        <f>SUMPRODUCT((raw!$A$2:$A$185='(2018-19)'!$A47)*(raw!$B$2:$B$185='(2018-19)'!$B47)*(raw!$C$2:$C$185='(2018-19)'!F$2)*(raw!$D$2:$D$185))</f>
        <v>27</v>
      </c>
      <c r="G47" s="106">
        <f t="shared" si="1"/>
        <v>89</v>
      </c>
    </row>
    <row r="48" spans="1:7" x14ac:dyDescent="0.3">
      <c r="A48">
        <v>2019</v>
      </c>
      <c r="B48" t="s">
        <v>51</v>
      </c>
      <c r="C48" s="106">
        <f>SUMPRODUCT((raw!$A$2:$A$185='(2018-19)'!$A48)*(raw!$B$2:$B$185='(2018-19)'!$B48)*(raw!$C$2:$C$185='(2018-19)'!C$2)*(raw!$D$2:$D$185))</f>
        <v>47</v>
      </c>
      <c r="D48" s="106">
        <f>SUMPRODUCT((raw!$A$2:$A$185='(2018-19)'!$A48)*(raw!$B$2:$B$185='(2018-19)'!$B48)*(raw!$C$2:$C$185='(2018-19)'!D$2)*(raw!$D$2:$D$185))</f>
        <v>0</v>
      </c>
      <c r="E48" s="106">
        <f>SUMPRODUCT((raw!$A$2:$A$185='(2018-19)'!$A48)*(raw!$B$2:$B$185='(2018-19)'!$B48)*(raw!$C$2:$C$185='(2018-19)'!E$2)*(raw!$D$2:$D$185))</f>
        <v>1</v>
      </c>
      <c r="F48" s="106">
        <f>SUMPRODUCT((raw!$A$2:$A$185='(2018-19)'!$A48)*(raw!$B$2:$B$185='(2018-19)'!$B48)*(raw!$C$2:$C$185='(2018-19)'!F$2)*(raw!$D$2:$D$185))</f>
        <v>19</v>
      </c>
      <c r="G48" s="106">
        <f t="shared" si="1"/>
        <v>67</v>
      </c>
    </row>
    <row r="49" spans="1:7" x14ac:dyDescent="0.3">
      <c r="A49">
        <v>2019</v>
      </c>
      <c r="B49" t="s">
        <v>53</v>
      </c>
      <c r="C49" s="106">
        <f>SUMPRODUCT((raw!$A$2:$A$185='(2018-19)'!$A49)*(raw!$B$2:$B$185='(2018-19)'!$B49)*(raw!$C$2:$C$185='(2018-19)'!C$2)*(raw!$D$2:$D$185))</f>
        <v>103</v>
      </c>
      <c r="D49" s="106">
        <f>SUMPRODUCT((raw!$A$2:$A$185='(2018-19)'!$A49)*(raw!$B$2:$B$185='(2018-19)'!$B49)*(raw!$C$2:$C$185='(2018-19)'!D$2)*(raw!$D$2:$D$185))</f>
        <v>0</v>
      </c>
      <c r="E49" s="106">
        <f>SUMPRODUCT((raw!$A$2:$A$185='(2018-19)'!$A49)*(raw!$B$2:$B$185='(2018-19)'!$B49)*(raw!$C$2:$C$185='(2018-19)'!E$2)*(raw!$D$2:$D$185))</f>
        <v>3</v>
      </c>
      <c r="F49" s="106">
        <f>SUMPRODUCT((raw!$A$2:$A$185='(2018-19)'!$A49)*(raw!$B$2:$B$185='(2018-19)'!$B49)*(raw!$C$2:$C$185='(2018-19)'!F$2)*(raw!$D$2:$D$185))</f>
        <v>38</v>
      </c>
      <c r="G49" s="106">
        <f t="shared" si="1"/>
        <v>144</v>
      </c>
    </row>
    <row r="50" spans="1:7" x14ac:dyDescent="0.3">
      <c r="A50">
        <v>2019</v>
      </c>
      <c r="B50" t="s">
        <v>55</v>
      </c>
      <c r="C50" s="106">
        <f>SUMPRODUCT((raw!$A$2:$A$185='(2018-19)'!$A50)*(raw!$B$2:$B$185='(2018-19)'!$B50)*(raw!$C$2:$C$185='(2018-19)'!C$2)*(raw!$D$2:$D$185))</f>
        <v>77</v>
      </c>
      <c r="D50" s="106">
        <f>SUMPRODUCT((raw!$A$2:$A$185='(2018-19)'!$A50)*(raw!$B$2:$B$185='(2018-19)'!$B50)*(raw!$C$2:$C$185='(2018-19)'!D$2)*(raw!$D$2:$D$185))</f>
        <v>18</v>
      </c>
      <c r="E50" s="106">
        <f>SUMPRODUCT((raw!$A$2:$A$185='(2018-19)'!$A50)*(raw!$B$2:$B$185='(2018-19)'!$B50)*(raw!$C$2:$C$185='(2018-19)'!E$2)*(raw!$D$2:$D$185))</f>
        <v>4</v>
      </c>
      <c r="F50" s="106">
        <f>SUMPRODUCT((raw!$A$2:$A$185='(2018-19)'!$A50)*(raw!$B$2:$B$185='(2018-19)'!$B50)*(raw!$C$2:$C$185='(2018-19)'!F$2)*(raw!$D$2:$D$185))</f>
        <v>39</v>
      </c>
      <c r="G50" s="106">
        <f t="shared" si="1"/>
        <v>138</v>
      </c>
    </row>
    <row r="51" spans="1:7" x14ac:dyDescent="0.3">
      <c r="A51">
        <v>2019</v>
      </c>
      <c r="B51" t="s">
        <v>26</v>
      </c>
      <c r="C51" s="106">
        <f>SUMPRODUCT((raw!$A$2:$A$185='(2018-19)'!$A51)*(raw!$B$2:$B$185='(2018-19)'!$B51)*(raw!$C$2:$C$185='(2018-19)'!C$2)*(raw!$D$2:$D$185))</f>
        <v>253</v>
      </c>
      <c r="D51" s="106">
        <f>SUMPRODUCT((raw!$A$2:$A$185='(2018-19)'!$A51)*(raw!$B$2:$B$185='(2018-19)'!$B51)*(raw!$C$2:$C$185='(2018-19)'!D$2)*(raw!$D$2:$D$185))</f>
        <v>0</v>
      </c>
      <c r="E51" s="106">
        <f>SUMPRODUCT((raw!$A$2:$A$185='(2018-19)'!$A51)*(raw!$B$2:$B$185='(2018-19)'!$B51)*(raw!$C$2:$C$185='(2018-19)'!E$2)*(raw!$D$2:$D$185))</f>
        <v>14</v>
      </c>
      <c r="F51" s="106">
        <f>SUMPRODUCT((raw!$A$2:$A$185='(2018-19)'!$A51)*(raw!$B$2:$B$185='(2018-19)'!$B51)*(raw!$C$2:$C$185='(2018-19)'!F$2)*(raw!$D$2:$D$185))</f>
        <v>74</v>
      </c>
      <c r="G51" s="106">
        <f t="shared" si="1"/>
        <v>341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D166-F669-41A5-AA31-049EBA230AEE}">
  <sheetPr codeName="Sheet16"/>
  <dimension ref="B2:Q74"/>
  <sheetViews>
    <sheetView workbookViewId="0">
      <selection activeCell="I7" sqref="I7"/>
    </sheetView>
  </sheetViews>
  <sheetFormatPr defaultColWidth="8.77734375" defaultRowHeight="12.6" x14ac:dyDescent="0.25"/>
  <cols>
    <col min="1" max="15" width="8.77734375" style="120"/>
    <col min="16" max="16" width="13.5546875" style="120" bestFit="1" customWidth="1"/>
    <col min="17" max="16384" width="8.77734375" style="120"/>
  </cols>
  <sheetData>
    <row r="2" spans="2:17" x14ac:dyDescent="0.25">
      <c r="B2" s="119" t="s">
        <v>110</v>
      </c>
      <c r="C2" s="120" t="s">
        <v>111</v>
      </c>
    </row>
    <row r="3" spans="2:17" ht="14.4" x14ac:dyDescent="0.3">
      <c r="B3" s="121" t="s">
        <v>112</v>
      </c>
      <c r="C3" s="120" t="s">
        <v>113</v>
      </c>
    </row>
    <row r="4" spans="2:17" ht="14.4" x14ac:dyDescent="0.3">
      <c r="B4" s="121"/>
    </row>
    <row r="6" spans="2:17" ht="14.4" x14ac:dyDescent="0.3">
      <c r="B6" s="122" t="s">
        <v>114</v>
      </c>
      <c r="D6" s="122" t="s">
        <v>115</v>
      </c>
      <c r="F6" s="122" t="s">
        <v>116</v>
      </c>
      <c r="H6" s="123">
        <f>MAX(H8:H53)</f>
        <v>46</v>
      </c>
      <c r="I6" s="122" t="s">
        <v>117</v>
      </c>
      <c r="K6" s="122" t="s">
        <v>118</v>
      </c>
      <c r="M6" s="109"/>
      <c r="N6" s="131"/>
      <c r="O6" s="133"/>
      <c r="P6" s="131"/>
      <c r="Q6" s="131"/>
    </row>
    <row r="7" spans="2:17" ht="14.4" x14ac:dyDescent="0.3">
      <c r="B7" s="125" t="s">
        <v>149</v>
      </c>
      <c r="D7" s="126" t="s">
        <v>148</v>
      </c>
      <c r="F7" s="126" t="s">
        <v>119</v>
      </c>
      <c r="H7" s="123">
        <v>47</v>
      </c>
      <c r="I7" s="119" t="e">
        <f>VLOOKUP(H7,H8:I53,2,FALSE)</f>
        <v>#N/A</v>
      </c>
      <c r="K7" s="126" t="str">
        <f>CONCATENATE("_",D7,".xlsx")</f>
        <v>_2019_20.xlsx</v>
      </c>
      <c r="M7" s="134"/>
      <c r="N7" s="131"/>
      <c r="O7" s="133"/>
      <c r="P7" s="131"/>
      <c r="Q7" s="131"/>
    </row>
    <row r="8" spans="2:17" ht="14.4" x14ac:dyDescent="0.3">
      <c r="D8" s="128" t="str">
        <f>CONCATENATE(LEFT(D7,4),"-",RIGHT(D7,2))</f>
        <v>2019-20</v>
      </c>
      <c r="H8" s="120">
        <v>1</v>
      </c>
      <c r="I8" s="129" t="s">
        <v>10</v>
      </c>
      <c r="M8" s="130"/>
      <c r="N8" s="131"/>
      <c r="O8" s="131"/>
      <c r="P8" s="130"/>
      <c r="Q8" s="131"/>
    </row>
    <row r="9" spans="2:17" ht="14.4" x14ac:dyDescent="0.3">
      <c r="D9" s="119" t="str">
        <f>CONCATENATE(LEFT(D7,2),RIGHT(D7,2))</f>
        <v>2020</v>
      </c>
      <c r="H9" s="120">
        <v>2</v>
      </c>
      <c r="I9" s="129" t="s">
        <v>11</v>
      </c>
      <c r="M9" s="130"/>
      <c r="N9" s="131"/>
      <c r="O9" s="131"/>
      <c r="P9" s="135"/>
      <c r="Q9" s="131"/>
    </row>
    <row r="10" spans="2:17" ht="14.4" x14ac:dyDescent="0.3">
      <c r="H10" s="120">
        <v>3</v>
      </c>
      <c r="I10" s="129" t="s">
        <v>12</v>
      </c>
      <c r="M10" s="135"/>
      <c r="N10" s="131"/>
      <c r="O10" s="131"/>
      <c r="P10" s="135"/>
      <c r="Q10" s="131"/>
    </row>
    <row r="11" spans="2:17" ht="14.4" x14ac:dyDescent="0.3">
      <c r="H11" s="120">
        <v>4</v>
      </c>
      <c r="I11" s="129" t="s">
        <v>13</v>
      </c>
      <c r="M11" s="135"/>
      <c r="N11" s="131"/>
      <c r="O11" s="131"/>
      <c r="P11" s="135"/>
      <c r="Q11" s="131"/>
    </row>
    <row r="12" spans="2:17" ht="14.4" x14ac:dyDescent="0.3">
      <c r="H12" s="120">
        <v>5</v>
      </c>
      <c r="I12" s="129" t="s">
        <v>14</v>
      </c>
      <c r="M12" s="132"/>
      <c r="P12" s="132"/>
    </row>
    <row r="13" spans="2:17" ht="14.4" x14ac:dyDescent="0.3">
      <c r="H13" s="120">
        <v>6</v>
      </c>
      <c r="I13" s="129" t="s">
        <v>15</v>
      </c>
      <c r="M13" s="124" t="s">
        <v>120</v>
      </c>
      <c r="O13" s="123">
        <f>MAX(O15:O16)</f>
        <v>1</v>
      </c>
      <c r="P13" s="122" t="s">
        <v>128</v>
      </c>
      <c r="Q13" s="122" t="s">
        <v>129</v>
      </c>
    </row>
    <row r="14" spans="2:17" ht="14.4" x14ac:dyDescent="0.3">
      <c r="H14" s="120">
        <v>7</v>
      </c>
      <c r="I14" s="129" t="s">
        <v>16</v>
      </c>
      <c r="M14" s="127" t="s">
        <v>121</v>
      </c>
      <c r="O14" s="123">
        <v>2</v>
      </c>
      <c r="P14" s="119" t="e">
        <f>VLOOKUP(O14,O15:P16,2,FALSE)</f>
        <v>#N/A</v>
      </c>
      <c r="Q14" s="119" t="e">
        <f>VLOOKUP(O14,O15:Q16,3,FALSE)</f>
        <v>#N/A</v>
      </c>
    </row>
    <row r="15" spans="2:17" ht="14.4" x14ac:dyDescent="0.3">
      <c r="H15" s="120">
        <v>8</v>
      </c>
      <c r="I15" s="129" t="s">
        <v>17</v>
      </c>
      <c r="M15" s="130"/>
      <c r="O15" s="120">
        <v>1</v>
      </c>
      <c r="P15" s="121" t="s">
        <v>138</v>
      </c>
      <c r="Q15" s="120" t="s">
        <v>1</v>
      </c>
    </row>
    <row r="16" spans="2:17" ht="14.4" x14ac:dyDescent="0.3">
      <c r="H16" s="120">
        <v>9</v>
      </c>
      <c r="I16" s="129" t="s">
        <v>18</v>
      </c>
      <c r="M16" s="130"/>
      <c r="P16" s="121"/>
    </row>
    <row r="17" spans="8:17" ht="14.4" x14ac:dyDescent="0.3">
      <c r="H17" s="120">
        <v>10</v>
      </c>
      <c r="I17" s="129" t="s">
        <v>19</v>
      </c>
      <c r="M17" s="130"/>
      <c r="P17" s="121"/>
    </row>
    <row r="18" spans="8:17" ht="14.4" x14ac:dyDescent="0.3">
      <c r="H18" s="120">
        <v>11</v>
      </c>
      <c r="I18" s="129" t="s">
        <v>20</v>
      </c>
      <c r="M18" s="130"/>
      <c r="P18" s="121"/>
    </row>
    <row r="19" spans="8:17" ht="14.4" x14ac:dyDescent="0.3">
      <c r="H19" s="120">
        <v>12</v>
      </c>
      <c r="I19" s="129" t="s">
        <v>22</v>
      </c>
      <c r="M19" s="130"/>
      <c r="P19" s="121"/>
    </row>
    <row r="20" spans="8:17" ht="14.4" x14ac:dyDescent="0.3">
      <c r="H20" s="120">
        <v>13</v>
      </c>
      <c r="I20" s="129" t="s">
        <v>23</v>
      </c>
      <c r="M20" s="130"/>
      <c r="P20" s="121"/>
    </row>
    <row r="21" spans="8:17" ht="14.4" x14ac:dyDescent="0.3">
      <c r="H21" s="120">
        <v>14</v>
      </c>
      <c r="I21" s="129" t="s">
        <v>24</v>
      </c>
      <c r="M21" s="130"/>
      <c r="P21" s="121"/>
    </row>
    <row r="22" spans="8:17" ht="14.4" x14ac:dyDescent="0.3">
      <c r="H22" s="120">
        <v>15</v>
      </c>
      <c r="I22" s="129" t="s">
        <v>25</v>
      </c>
      <c r="M22" s="130"/>
      <c r="P22" s="121"/>
    </row>
    <row r="23" spans="8:17" ht="14.4" x14ac:dyDescent="0.3">
      <c r="H23" s="120">
        <v>16</v>
      </c>
      <c r="I23" s="129" t="s">
        <v>26</v>
      </c>
      <c r="M23" s="130"/>
      <c r="P23" s="121"/>
    </row>
    <row r="24" spans="8:17" ht="14.4" x14ac:dyDescent="0.3">
      <c r="H24" s="120">
        <v>17</v>
      </c>
      <c r="I24" s="129" t="s">
        <v>27</v>
      </c>
      <c r="M24" s="124" t="s">
        <v>122</v>
      </c>
      <c r="O24" s="123">
        <f>MAX(O26:O27)</f>
        <v>1</v>
      </c>
      <c r="P24" s="122" t="s">
        <v>130</v>
      </c>
      <c r="Q24" s="122" t="s">
        <v>131</v>
      </c>
    </row>
    <row r="25" spans="8:17" ht="14.4" x14ac:dyDescent="0.3">
      <c r="H25" s="120">
        <v>18</v>
      </c>
      <c r="I25" s="129" t="s">
        <v>28</v>
      </c>
      <c r="M25" s="127" t="s">
        <v>123</v>
      </c>
      <c r="O25" s="123">
        <v>2</v>
      </c>
      <c r="P25" s="119" t="e">
        <f>VLOOKUP(O25,O26:P27,2,FALSE)</f>
        <v>#N/A</v>
      </c>
      <c r="Q25" s="119" t="e">
        <f>VLOOKUP(P25,P26:Q27,2,FALSE)</f>
        <v>#N/A</v>
      </c>
    </row>
    <row r="26" spans="8:17" ht="14.4" x14ac:dyDescent="0.3">
      <c r="H26" s="120">
        <v>19</v>
      </c>
      <c r="I26" s="129" t="s">
        <v>29</v>
      </c>
      <c r="M26" s="130"/>
      <c r="O26" s="120">
        <v>1</v>
      </c>
      <c r="P26" s="121" t="s">
        <v>139</v>
      </c>
      <c r="Q26" s="120" t="s">
        <v>59</v>
      </c>
    </row>
    <row r="27" spans="8:17" ht="14.4" x14ac:dyDescent="0.3">
      <c r="H27" s="120">
        <v>20</v>
      </c>
      <c r="I27" s="129" t="s">
        <v>30</v>
      </c>
      <c r="M27" s="130"/>
      <c r="P27" s="121"/>
    </row>
    <row r="28" spans="8:17" ht="14.4" x14ac:dyDescent="0.3">
      <c r="H28" s="120">
        <v>21</v>
      </c>
      <c r="I28" s="129" t="s">
        <v>31</v>
      </c>
      <c r="M28" s="130"/>
      <c r="P28" s="121"/>
    </row>
    <row r="29" spans="8:17" ht="14.4" x14ac:dyDescent="0.3">
      <c r="H29" s="120">
        <v>22</v>
      </c>
      <c r="I29" s="129" t="s">
        <v>32</v>
      </c>
      <c r="M29" s="130"/>
      <c r="P29" s="121"/>
    </row>
    <row r="30" spans="8:17" ht="14.4" x14ac:dyDescent="0.3">
      <c r="H30" s="120">
        <v>23</v>
      </c>
      <c r="I30" s="129" t="s">
        <v>33</v>
      </c>
      <c r="M30" s="130"/>
      <c r="P30" s="121"/>
    </row>
    <row r="31" spans="8:17" ht="14.4" x14ac:dyDescent="0.3">
      <c r="H31" s="120">
        <v>24</v>
      </c>
      <c r="I31" s="129" t="s">
        <v>34</v>
      </c>
      <c r="M31" s="130"/>
      <c r="P31" s="121"/>
    </row>
    <row r="32" spans="8:17" ht="14.4" x14ac:dyDescent="0.3">
      <c r="H32" s="120">
        <v>25</v>
      </c>
      <c r="I32" s="129" t="s">
        <v>35</v>
      </c>
      <c r="M32" s="130"/>
      <c r="P32" s="121"/>
    </row>
    <row r="33" spans="8:17" ht="14.4" x14ac:dyDescent="0.3">
      <c r="H33" s="120">
        <v>26</v>
      </c>
      <c r="I33" s="129" t="s">
        <v>36</v>
      </c>
      <c r="M33" s="130"/>
      <c r="P33" s="121"/>
    </row>
    <row r="34" spans="8:17" ht="14.4" x14ac:dyDescent="0.3">
      <c r="H34" s="120">
        <v>27</v>
      </c>
      <c r="I34" s="129" t="s">
        <v>37</v>
      </c>
      <c r="M34" s="132"/>
      <c r="P34" s="132"/>
    </row>
    <row r="35" spans="8:17" ht="14.4" x14ac:dyDescent="0.3">
      <c r="H35" s="120">
        <v>28</v>
      </c>
      <c r="I35" s="129" t="s">
        <v>38</v>
      </c>
      <c r="M35" s="124" t="s">
        <v>124</v>
      </c>
      <c r="O35" s="123">
        <f>MAX(O37:O39)</f>
        <v>1</v>
      </c>
      <c r="P35" s="122" t="s">
        <v>133</v>
      </c>
      <c r="Q35" s="122" t="s">
        <v>132</v>
      </c>
    </row>
    <row r="36" spans="8:17" ht="14.4" x14ac:dyDescent="0.3">
      <c r="H36" s="120">
        <v>29</v>
      </c>
      <c r="I36" s="129" t="s">
        <v>39</v>
      </c>
      <c r="M36" s="127" t="s">
        <v>125</v>
      </c>
      <c r="O36" s="123">
        <v>2</v>
      </c>
      <c r="P36" s="119" t="e">
        <f>VLOOKUP(O36,O37:P38,2,FALSE)</f>
        <v>#N/A</v>
      </c>
      <c r="Q36" s="119" t="e">
        <f>VLOOKUP(P36,P37:Q38,2,FALSE)</f>
        <v>#N/A</v>
      </c>
    </row>
    <row r="37" spans="8:17" ht="14.4" x14ac:dyDescent="0.3">
      <c r="H37" s="120">
        <v>30</v>
      </c>
      <c r="I37" s="129" t="s">
        <v>41</v>
      </c>
      <c r="M37" s="130"/>
      <c r="O37" s="120">
        <v>1</v>
      </c>
      <c r="P37" s="121" t="s">
        <v>140</v>
      </c>
      <c r="Q37" s="120" t="s">
        <v>60</v>
      </c>
    </row>
    <row r="38" spans="8:17" ht="14.4" x14ac:dyDescent="0.3">
      <c r="H38" s="120">
        <v>31</v>
      </c>
      <c r="I38" s="129" t="s">
        <v>42</v>
      </c>
      <c r="M38" s="130"/>
      <c r="P38" s="121"/>
    </row>
    <row r="39" spans="8:17" ht="14.4" x14ac:dyDescent="0.3">
      <c r="H39" s="120">
        <v>32</v>
      </c>
      <c r="I39" s="129" t="s">
        <v>43</v>
      </c>
      <c r="M39" s="130"/>
      <c r="P39" s="121"/>
    </row>
    <row r="40" spans="8:17" ht="14.4" x14ac:dyDescent="0.3">
      <c r="H40" s="120">
        <v>33</v>
      </c>
      <c r="I40" s="129" t="s">
        <v>44</v>
      </c>
      <c r="M40" s="130"/>
      <c r="P40" s="136"/>
    </row>
    <row r="41" spans="8:17" ht="14.4" x14ac:dyDescent="0.3">
      <c r="H41" s="120">
        <v>34</v>
      </c>
      <c r="I41" s="129" t="s">
        <v>45</v>
      </c>
      <c r="M41" s="130"/>
      <c r="P41" s="121"/>
    </row>
    <row r="42" spans="8:17" ht="14.4" x14ac:dyDescent="0.3">
      <c r="H42" s="120">
        <v>35</v>
      </c>
      <c r="I42" s="129" t="s">
        <v>46</v>
      </c>
      <c r="M42" s="130"/>
      <c r="P42" s="121"/>
    </row>
    <row r="43" spans="8:17" ht="14.4" x14ac:dyDescent="0.3">
      <c r="H43" s="120">
        <v>36</v>
      </c>
      <c r="I43" s="129" t="s">
        <v>47</v>
      </c>
      <c r="M43" s="130"/>
      <c r="P43" s="121"/>
    </row>
    <row r="44" spans="8:17" ht="14.4" x14ac:dyDescent="0.3">
      <c r="H44" s="120">
        <v>37</v>
      </c>
      <c r="I44" s="129" t="s">
        <v>48</v>
      </c>
      <c r="M44" s="130"/>
      <c r="P44" s="121"/>
    </row>
    <row r="45" spans="8:17" ht="14.4" x14ac:dyDescent="0.3">
      <c r="H45" s="120">
        <v>38</v>
      </c>
      <c r="I45" s="129" t="s">
        <v>49</v>
      </c>
      <c r="M45" s="132"/>
      <c r="P45" s="132"/>
    </row>
    <row r="46" spans="8:17" ht="14.4" x14ac:dyDescent="0.3">
      <c r="H46" s="120">
        <v>39</v>
      </c>
      <c r="I46" s="129" t="s">
        <v>50</v>
      </c>
      <c r="M46" s="124" t="s">
        <v>126</v>
      </c>
      <c r="O46" s="123">
        <f>MAX(O48:O49)</f>
        <v>1</v>
      </c>
      <c r="P46" s="122" t="s">
        <v>134</v>
      </c>
      <c r="Q46" s="122" t="s">
        <v>135</v>
      </c>
    </row>
    <row r="47" spans="8:17" ht="14.4" x14ac:dyDescent="0.3">
      <c r="H47" s="120">
        <v>40</v>
      </c>
      <c r="I47" s="129" t="s">
        <v>51</v>
      </c>
      <c r="M47" s="127" t="s">
        <v>127</v>
      </c>
      <c r="O47" s="123">
        <v>2</v>
      </c>
      <c r="P47" s="119" t="e">
        <f>VLOOKUP(O47,O48:P49,2,FALSE)</f>
        <v>#N/A</v>
      </c>
      <c r="Q47" s="119" t="e">
        <f>VLOOKUP(P47,P48:Q49,2,FALSE)</f>
        <v>#N/A</v>
      </c>
    </row>
    <row r="48" spans="8:17" ht="14.4" x14ac:dyDescent="0.3">
      <c r="H48" s="120">
        <v>41</v>
      </c>
      <c r="I48" s="129" t="s">
        <v>52</v>
      </c>
      <c r="M48" s="130"/>
      <c r="O48" s="120">
        <v>1</v>
      </c>
      <c r="P48" s="121" t="s">
        <v>141</v>
      </c>
      <c r="Q48" s="120" t="s">
        <v>61</v>
      </c>
    </row>
    <row r="49" spans="8:16" ht="14.4" x14ac:dyDescent="0.3">
      <c r="H49" s="120">
        <v>42</v>
      </c>
      <c r="I49" s="129" t="s">
        <v>53</v>
      </c>
      <c r="M49" s="130"/>
      <c r="P49" s="121"/>
    </row>
    <row r="50" spans="8:16" ht="14.4" x14ac:dyDescent="0.3">
      <c r="H50" s="120">
        <v>43</v>
      </c>
      <c r="I50" s="129" t="s">
        <v>54</v>
      </c>
      <c r="M50" s="121"/>
      <c r="P50" s="121"/>
    </row>
    <row r="51" spans="8:16" ht="14.4" x14ac:dyDescent="0.3">
      <c r="H51" s="120">
        <v>44</v>
      </c>
      <c r="I51" s="129" t="s">
        <v>55</v>
      </c>
      <c r="M51" s="132"/>
      <c r="P51" s="136"/>
    </row>
    <row r="52" spans="8:16" ht="14.4" x14ac:dyDescent="0.3">
      <c r="H52" s="120">
        <v>45</v>
      </c>
      <c r="I52" s="129" t="s">
        <v>105</v>
      </c>
      <c r="M52" s="132"/>
      <c r="P52" s="121"/>
    </row>
    <row r="53" spans="8:16" ht="14.4" x14ac:dyDescent="0.3">
      <c r="H53" s="120">
        <v>46</v>
      </c>
      <c r="I53" s="129" t="s">
        <v>40</v>
      </c>
      <c r="M53" s="132"/>
      <c r="P53" s="121"/>
    </row>
    <row r="54" spans="8:16" ht="14.4" x14ac:dyDescent="0.3">
      <c r="M54" s="132"/>
      <c r="P54" s="121"/>
    </row>
    <row r="55" spans="8:16" ht="14.4" x14ac:dyDescent="0.3">
      <c r="M55" s="132"/>
      <c r="P55" s="121"/>
    </row>
    <row r="56" spans="8:16" x14ac:dyDescent="0.25">
      <c r="P56" s="136"/>
    </row>
    <row r="57" spans="8:16" ht="14.4" x14ac:dyDescent="0.3">
      <c r="O57" s="121"/>
    </row>
    <row r="58" spans="8:16" ht="14.4" x14ac:dyDescent="0.3">
      <c r="O58" s="121"/>
    </row>
    <row r="59" spans="8:16" ht="14.4" x14ac:dyDescent="0.3">
      <c r="O59" s="121"/>
    </row>
    <row r="60" spans="8:16" ht="14.4" x14ac:dyDescent="0.3">
      <c r="O60" s="121"/>
    </row>
    <row r="61" spans="8:16" ht="14.4" x14ac:dyDescent="0.3">
      <c r="O61" s="121"/>
    </row>
    <row r="74" spans="9:9" ht="14.4" x14ac:dyDescent="0.3">
      <c r="I74" s="129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B596-2A1F-48F6-A82E-4644588CEB7B}">
  <dimension ref="A1:K14"/>
  <sheetViews>
    <sheetView tabSelected="1" workbookViewId="0"/>
  </sheetViews>
  <sheetFormatPr defaultRowHeight="13.2" x14ac:dyDescent="0.25"/>
  <cols>
    <col min="1" max="1" width="74" style="144" bestFit="1" customWidth="1"/>
    <col min="2" max="255" width="9.44140625" style="144" customWidth="1"/>
    <col min="256" max="256" width="2.77734375" style="144" customWidth="1"/>
    <col min="257" max="257" width="74" style="144" bestFit="1" customWidth="1"/>
    <col min="258" max="511" width="9.44140625" style="144" customWidth="1"/>
    <col min="512" max="512" width="2.77734375" style="144" customWidth="1"/>
    <col min="513" max="513" width="74" style="144" bestFit="1" customWidth="1"/>
    <col min="514" max="767" width="9.44140625" style="144" customWidth="1"/>
    <col min="768" max="768" width="2.77734375" style="144" customWidth="1"/>
    <col min="769" max="769" width="74" style="144" bestFit="1" customWidth="1"/>
    <col min="770" max="1023" width="9.44140625" style="144" customWidth="1"/>
    <col min="1024" max="1024" width="2.77734375" style="144" customWidth="1"/>
    <col min="1025" max="1025" width="74" style="144" bestFit="1" customWidth="1"/>
    <col min="1026" max="1279" width="9.44140625" style="144" customWidth="1"/>
    <col min="1280" max="1280" width="2.77734375" style="144" customWidth="1"/>
    <col min="1281" max="1281" width="74" style="144" bestFit="1" customWidth="1"/>
    <col min="1282" max="1535" width="9.44140625" style="144" customWidth="1"/>
    <col min="1536" max="1536" width="2.77734375" style="144" customWidth="1"/>
    <col min="1537" max="1537" width="74" style="144" bestFit="1" customWidth="1"/>
    <col min="1538" max="1791" width="9.44140625" style="144" customWidth="1"/>
    <col min="1792" max="1792" width="2.77734375" style="144" customWidth="1"/>
    <col min="1793" max="1793" width="74" style="144" bestFit="1" customWidth="1"/>
    <col min="1794" max="2047" width="9.44140625" style="144" customWidth="1"/>
    <col min="2048" max="2048" width="2.77734375" style="144" customWidth="1"/>
    <col min="2049" max="2049" width="74" style="144" bestFit="1" customWidth="1"/>
    <col min="2050" max="2303" width="9.44140625" style="144" customWidth="1"/>
    <col min="2304" max="2304" width="2.77734375" style="144" customWidth="1"/>
    <col min="2305" max="2305" width="74" style="144" bestFit="1" customWidth="1"/>
    <col min="2306" max="2559" width="9.44140625" style="144" customWidth="1"/>
    <col min="2560" max="2560" width="2.77734375" style="144" customWidth="1"/>
    <col min="2561" max="2561" width="74" style="144" bestFit="1" customWidth="1"/>
    <col min="2562" max="2815" width="9.44140625" style="144" customWidth="1"/>
    <col min="2816" max="2816" width="2.77734375" style="144" customWidth="1"/>
    <col min="2817" max="2817" width="74" style="144" bestFit="1" customWidth="1"/>
    <col min="2818" max="3071" width="9.44140625" style="144" customWidth="1"/>
    <col min="3072" max="3072" width="2.77734375" style="144" customWidth="1"/>
    <col min="3073" max="3073" width="74" style="144" bestFit="1" customWidth="1"/>
    <col min="3074" max="3327" width="9.44140625" style="144" customWidth="1"/>
    <col min="3328" max="3328" width="2.77734375" style="144" customWidth="1"/>
    <col min="3329" max="3329" width="74" style="144" bestFit="1" customWidth="1"/>
    <col min="3330" max="3583" width="9.44140625" style="144" customWidth="1"/>
    <col min="3584" max="3584" width="2.77734375" style="144" customWidth="1"/>
    <col min="3585" max="3585" width="74" style="144" bestFit="1" customWidth="1"/>
    <col min="3586" max="3839" width="9.44140625" style="144" customWidth="1"/>
    <col min="3840" max="3840" width="2.77734375" style="144" customWidth="1"/>
    <col min="3841" max="3841" width="74" style="144" bestFit="1" customWidth="1"/>
    <col min="3842" max="4095" width="9.44140625" style="144" customWidth="1"/>
    <col min="4096" max="4096" width="2.77734375" style="144" customWidth="1"/>
    <col min="4097" max="4097" width="74" style="144" bestFit="1" customWidth="1"/>
    <col min="4098" max="4351" width="9.44140625" style="144" customWidth="1"/>
    <col min="4352" max="4352" width="2.77734375" style="144" customWidth="1"/>
    <col min="4353" max="4353" width="74" style="144" bestFit="1" customWidth="1"/>
    <col min="4354" max="4607" width="9.44140625" style="144" customWidth="1"/>
    <col min="4608" max="4608" width="2.77734375" style="144" customWidth="1"/>
    <col min="4609" max="4609" width="74" style="144" bestFit="1" customWidth="1"/>
    <col min="4610" max="4863" width="9.44140625" style="144" customWidth="1"/>
    <col min="4864" max="4864" width="2.77734375" style="144" customWidth="1"/>
    <col min="4865" max="4865" width="74" style="144" bestFit="1" customWidth="1"/>
    <col min="4866" max="5119" width="9.44140625" style="144" customWidth="1"/>
    <col min="5120" max="5120" width="2.77734375" style="144" customWidth="1"/>
    <col min="5121" max="5121" width="74" style="144" bestFit="1" customWidth="1"/>
    <col min="5122" max="5375" width="9.44140625" style="144" customWidth="1"/>
    <col min="5376" max="5376" width="2.77734375" style="144" customWidth="1"/>
    <col min="5377" max="5377" width="74" style="144" bestFit="1" customWidth="1"/>
    <col min="5378" max="5631" width="9.44140625" style="144" customWidth="1"/>
    <col min="5632" max="5632" width="2.77734375" style="144" customWidth="1"/>
    <col min="5633" max="5633" width="74" style="144" bestFit="1" customWidth="1"/>
    <col min="5634" max="5887" width="9.44140625" style="144" customWidth="1"/>
    <col min="5888" max="5888" width="2.77734375" style="144" customWidth="1"/>
    <col min="5889" max="5889" width="74" style="144" bestFit="1" customWidth="1"/>
    <col min="5890" max="6143" width="9.44140625" style="144" customWidth="1"/>
    <col min="6144" max="6144" width="2.77734375" style="144" customWidth="1"/>
    <col min="6145" max="6145" width="74" style="144" bestFit="1" customWidth="1"/>
    <col min="6146" max="6399" width="9.44140625" style="144" customWidth="1"/>
    <col min="6400" max="6400" width="2.77734375" style="144" customWidth="1"/>
    <col min="6401" max="6401" width="74" style="144" bestFit="1" customWidth="1"/>
    <col min="6402" max="6655" width="9.44140625" style="144" customWidth="1"/>
    <col min="6656" max="6656" width="2.77734375" style="144" customWidth="1"/>
    <col min="6657" max="6657" width="74" style="144" bestFit="1" customWidth="1"/>
    <col min="6658" max="6911" width="9.44140625" style="144" customWidth="1"/>
    <col min="6912" max="6912" width="2.77734375" style="144" customWidth="1"/>
    <col min="6913" max="6913" width="74" style="144" bestFit="1" customWidth="1"/>
    <col min="6914" max="7167" width="9.44140625" style="144" customWidth="1"/>
    <col min="7168" max="7168" width="2.77734375" style="144" customWidth="1"/>
    <col min="7169" max="7169" width="74" style="144" bestFit="1" customWidth="1"/>
    <col min="7170" max="7423" width="9.44140625" style="144" customWidth="1"/>
    <col min="7424" max="7424" width="2.77734375" style="144" customWidth="1"/>
    <col min="7425" max="7425" width="74" style="144" bestFit="1" customWidth="1"/>
    <col min="7426" max="7679" width="9.44140625" style="144" customWidth="1"/>
    <col min="7680" max="7680" width="2.77734375" style="144" customWidth="1"/>
    <col min="7681" max="7681" width="74" style="144" bestFit="1" customWidth="1"/>
    <col min="7682" max="7935" width="9.44140625" style="144" customWidth="1"/>
    <col min="7936" max="7936" width="2.77734375" style="144" customWidth="1"/>
    <col min="7937" max="7937" width="74" style="144" bestFit="1" customWidth="1"/>
    <col min="7938" max="8191" width="9.44140625" style="144" customWidth="1"/>
    <col min="8192" max="8192" width="2.77734375" style="144" customWidth="1"/>
    <col min="8193" max="8193" width="74" style="144" bestFit="1" customWidth="1"/>
    <col min="8194" max="8447" width="9.44140625" style="144" customWidth="1"/>
    <col min="8448" max="8448" width="2.77734375" style="144" customWidth="1"/>
    <col min="8449" max="8449" width="74" style="144" bestFit="1" customWidth="1"/>
    <col min="8450" max="8703" width="9.44140625" style="144" customWidth="1"/>
    <col min="8704" max="8704" width="2.77734375" style="144" customWidth="1"/>
    <col min="8705" max="8705" width="74" style="144" bestFit="1" customWidth="1"/>
    <col min="8706" max="8959" width="9.44140625" style="144" customWidth="1"/>
    <col min="8960" max="8960" width="2.77734375" style="144" customWidth="1"/>
    <col min="8961" max="8961" width="74" style="144" bestFit="1" customWidth="1"/>
    <col min="8962" max="9215" width="9.44140625" style="144" customWidth="1"/>
    <col min="9216" max="9216" width="2.77734375" style="144" customWidth="1"/>
    <col min="9217" max="9217" width="74" style="144" bestFit="1" customWidth="1"/>
    <col min="9218" max="9471" width="9.44140625" style="144" customWidth="1"/>
    <col min="9472" max="9472" width="2.77734375" style="144" customWidth="1"/>
    <col min="9473" max="9473" width="74" style="144" bestFit="1" customWidth="1"/>
    <col min="9474" max="9727" width="9.44140625" style="144" customWidth="1"/>
    <col min="9728" max="9728" width="2.77734375" style="144" customWidth="1"/>
    <col min="9729" max="9729" width="74" style="144" bestFit="1" customWidth="1"/>
    <col min="9730" max="9983" width="9.44140625" style="144" customWidth="1"/>
    <col min="9984" max="9984" width="2.77734375" style="144" customWidth="1"/>
    <col min="9985" max="9985" width="74" style="144" bestFit="1" customWidth="1"/>
    <col min="9986" max="10239" width="9.44140625" style="144" customWidth="1"/>
    <col min="10240" max="10240" width="2.77734375" style="144" customWidth="1"/>
    <col min="10241" max="10241" width="74" style="144" bestFit="1" customWidth="1"/>
    <col min="10242" max="10495" width="9.44140625" style="144" customWidth="1"/>
    <col min="10496" max="10496" width="2.77734375" style="144" customWidth="1"/>
    <col min="10497" max="10497" width="74" style="144" bestFit="1" customWidth="1"/>
    <col min="10498" max="10751" width="9.44140625" style="144" customWidth="1"/>
    <col min="10752" max="10752" width="2.77734375" style="144" customWidth="1"/>
    <col min="10753" max="10753" width="74" style="144" bestFit="1" customWidth="1"/>
    <col min="10754" max="11007" width="9.44140625" style="144" customWidth="1"/>
    <col min="11008" max="11008" width="2.77734375" style="144" customWidth="1"/>
    <col min="11009" max="11009" width="74" style="144" bestFit="1" customWidth="1"/>
    <col min="11010" max="11263" width="9.44140625" style="144" customWidth="1"/>
    <col min="11264" max="11264" width="2.77734375" style="144" customWidth="1"/>
    <col min="11265" max="11265" width="74" style="144" bestFit="1" customWidth="1"/>
    <col min="11266" max="11519" width="9.44140625" style="144" customWidth="1"/>
    <col min="11520" max="11520" width="2.77734375" style="144" customWidth="1"/>
    <col min="11521" max="11521" width="74" style="144" bestFit="1" customWidth="1"/>
    <col min="11522" max="11775" width="9.44140625" style="144" customWidth="1"/>
    <col min="11776" max="11776" width="2.77734375" style="144" customWidth="1"/>
    <col min="11777" max="11777" width="74" style="144" bestFit="1" customWidth="1"/>
    <col min="11778" max="12031" width="9.44140625" style="144" customWidth="1"/>
    <col min="12032" max="12032" width="2.77734375" style="144" customWidth="1"/>
    <col min="12033" max="12033" width="74" style="144" bestFit="1" customWidth="1"/>
    <col min="12034" max="12287" width="9.44140625" style="144" customWidth="1"/>
    <col min="12288" max="12288" width="2.77734375" style="144" customWidth="1"/>
    <col min="12289" max="12289" width="74" style="144" bestFit="1" customWidth="1"/>
    <col min="12290" max="12543" width="9.44140625" style="144" customWidth="1"/>
    <col min="12544" max="12544" width="2.77734375" style="144" customWidth="1"/>
    <col min="12545" max="12545" width="74" style="144" bestFit="1" customWidth="1"/>
    <col min="12546" max="12799" width="9.44140625" style="144" customWidth="1"/>
    <col min="12800" max="12800" width="2.77734375" style="144" customWidth="1"/>
    <col min="12801" max="12801" width="74" style="144" bestFit="1" customWidth="1"/>
    <col min="12802" max="13055" width="9.44140625" style="144" customWidth="1"/>
    <col min="13056" max="13056" width="2.77734375" style="144" customWidth="1"/>
    <col min="13057" max="13057" width="74" style="144" bestFit="1" customWidth="1"/>
    <col min="13058" max="13311" width="9.44140625" style="144" customWidth="1"/>
    <col min="13312" max="13312" width="2.77734375" style="144" customWidth="1"/>
    <col min="13313" max="13313" width="74" style="144" bestFit="1" customWidth="1"/>
    <col min="13314" max="13567" width="9.44140625" style="144" customWidth="1"/>
    <col min="13568" max="13568" width="2.77734375" style="144" customWidth="1"/>
    <col min="13569" max="13569" width="74" style="144" bestFit="1" customWidth="1"/>
    <col min="13570" max="13823" width="9.44140625" style="144" customWidth="1"/>
    <col min="13824" max="13824" width="2.77734375" style="144" customWidth="1"/>
    <col min="13825" max="13825" width="74" style="144" bestFit="1" customWidth="1"/>
    <col min="13826" max="14079" width="9.44140625" style="144" customWidth="1"/>
    <col min="14080" max="14080" width="2.77734375" style="144" customWidth="1"/>
    <col min="14081" max="14081" width="74" style="144" bestFit="1" customWidth="1"/>
    <col min="14082" max="14335" width="9.44140625" style="144" customWidth="1"/>
    <col min="14336" max="14336" width="2.77734375" style="144" customWidth="1"/>
    <col min="14337" max="14337" width="74" style="144" bestFit="1" customWidth="1"/>
    <col min="14338" max="14591" width="9.44140625" style="144" customWidth="1"/>
    <col min="14592" max="14592" width="2.77734375" style="144" customWidth="1"/>
    <col min="14593" max="14593" width="74" style="144" bestFit="1" customWidth="1"/>
    <col min="14594" max="14847" width="9.44140625" style="144" customWidth="1"/>
    <col min="14848" max="14848" width="2.77734375" style="144" customWidth="1"/>
    <col min="14849" max="14849" width="74" style="144" bestFit="1" customWidth="1"/>
    <col min="14850" max="15103" width="9.44140625" style="144" customWidth="1"/>
    <col min="15104" max="15104" width="2.77734375" style="144" customWidth="1"/>
    <col min="15105" max="15105" width="74" style="144" bestFit="1" customWidth="1"/>
    <col min="15106" max="15359" width="9.44140625" style="144" customWidth="1"/>
    <col min="15360" max="15360" width="2.77734375" style="144" customWidth="1"/>
    <col min="15361" max="15361" width="74" style="144" bestFit="1" customWidth="1"/>
    <col min="15362" max="15615" width="9.44140625" style="144" customWidth="1"/>
    <col min="15616" max="15616" width="2.77734375" style="144" customWidth="1"/>
    <col min="15617" max="15617" width="74" style="144" bestFit="1" customWidth="1"/>
    <col min="15618" max="15871" width="9.44140625" style="144" customWidth="1"/>
    <col min="15872" max="15872" width="2.77734375" style="144" customWidth="1"/>
    <col min="15873" max="15873" width="74" style="144" bestFit="1" customWidth="1"/>
    <col min="15874" max="16127" width="9.44140625" style="144" customWidth="1"/>
    <col min="16128" max="16128" width="2.77734375" style="144" customWidth="1"/>
    <col min="16129" max="16129" width="74" style="144" bestFit="1" customWidth="1"/>
    <col min="16130" max="16384" width="9.44140625" style="144" customWidth="1"/>
  </cols>
  <sheetData>
    <row r="1" spans="1:11" ht="84" customHeight="1" x14ac:dyDescent="0.25"/>
    <row r="2" spans="1:11" ht="22.8" x14ac:dyDescent="0.25">
      <c r="A2" s="145" t="s">
        <v>152</v>
      </c>
    </row>
    <row r="3" spans="1:11" ht="22.8" x14ac:dyDescent="0.25">
      <c r="A3" s="145" t="s">
        <v>178</v>
      </c>
    </row>
    <row r="4" spans="1:11" ht="45" customHeight="1" x14ac:dyDescent="0.3">
      <c r="A4" s="146" t="s">
        <v>164</v>
      </c>
      <c r="C4" s="147"/>
      <c r="K4" s="148"/>
    </row>
    <row r="5" spans="1:11" ht="32.25" customHeight="1" x14ac:dyDescent="0.25">
      <c r="A5" s="149" t="s">
        <v>177</v>
      </c>
      <c r="B5" s="149"/>
    </row>
    <row r="6" spans="1:11" ht="15" x14ac:dyDescent="0.25">
      <c r="A6" s="150" t="s">
        <v>153</v>
      </c>
      <c r="B6" s="149"/>
    </row>
    <row r="7" spans="1:11" ht="15.6" x14ac:dyDescent="0.3">
      <c r="A7" s="151" t="s">
        <v>154</v>
      </c>
      <c r="B7" s="152"/>
    </row>
    <row r="8" spans="1:11" ht="28.5" customHeight="1" x14ac:dyDescent="0.25">
      <c r="A8" s="174" t="s">
        <v>167</v>
      </c>
      <c r="B8" s="151"/>
    </row>
    <row r="9" spans="1:11" ht="15" x14ac:dyDescent="0.25">
      <c r="A9" s="174" t="s">
        <v>172</v>
      </c>
      <c r="B9" s="151"/>
    </row>
    <row r="10" spans="1:11" ht="30" customHeight="1" x14ac:dyDescent="0.25">
      <c r="A10" s="149" t="s">
        <v>168</v>
      </c>
    </row>
    <row r="11" spans="1:11" ht="15" x14ac:dyDescent="0.25">
      <c r="A11" s="172" t="s">
        <v>155</v>
      </c>
    </row>
    <row r="12" spans="1:11" ht="26.25" customHeight="1" x14ac:dyDescent="0.25">
      <c r="A12" s="149" t="s">
        <v>156</v>
      </c>
    </row>
    <row r="13" spans="1:11" ht="15" x14ac:dyDescent="0.25">
      <c r="A13" s="153" t="s">
        <v>157</v>
      </c>
    </row>
    <row r="14" spans="1:11" ht="15" x14ac:dyDescent="0.25">
      <c r="A14" s="153"/>
    </row>
  </sheetData>
  <hyperlinks>
    <hyperlink ref="A6" r:id="rId1" xr:uid="{4AFCD06B-F01C-4C7F-8327-6E8E5098D60F}"/>
    <hyperlink ref="A11" location="Contents!A1" display="Contents" xr:uid="{2E2009B9-7105-4697-9CCF-287DE80AC9B9}"/>
    <hyperlink ref="A13" r:id="rId2" xr:uid="{EF1D57AC-0A78-4A41-BFCF-11527CB15816}"/>
    <hyperlink ref="A8" r:id="rId3" display="Updated alongside Fire and rescue workforce and pensions statistics" xr:uid="{E463C46E-EF79-456B-ADF6-B74B23324E3E}"/>
    <hyperlink ref="A9" r:id="rId4" display="Next Update: Autumn 2020" xr:uid="{18C2329C-9972-47C9-95AE-551AF10F6122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E5E0-4B1E-4784-86ED-4390F8ADF0BF}">
  <dimension ref="A1:D21"/>
  <sheetViews>
    <sheetView workbookViewId="0"/>
  </sheetViews>
  <sheetFormatPr defaultColWidth="9.44140625" defaultRowHeight="13.8" x14ac:dyDescent="0.25"/>
  <cols>
    <col min="1" max="1" width="24.5546875" style="167" customWidth="1"/>
    <col min="2" max="2" width="83.77734375" style="168" bestFit="1" customWidth="1"/>
    <col min="3" max="3" width="25" style="167" customWidth="1"/>
    <col min="4" max="4" width="16.21875" style="167" customWidth="1"/>
    <col min="5" max="5" width="9.44140625" style="167" customWidth="1"/>
    <col min="6" max="16384" width="9.44140625" style="167"/>
  </cols>
  <sheetData>
    <row r="1" spans="1:4" s="155" customFormat="1" ht="15.6" customHeight="1" x14ac:dyDescent="0.25">
      <c r="A1" s="154" t="s">
        <v>152</v>
      </c>
      <c r="C1" s="156"/>
      <c r="D1" s="156"/>
    </row>
    <row r="2" spans="1:4" s="155" customFormat="1" ht="21.6" customHeight="1" x14ac:dyDescent="0.25">
      <c r="A2" s="154" t="s">
        <v>169</v>
      </c>
      <c r="C2" s="156"/>
      <c r="D2" s="156"/>
    </row>
    <row r="3" spans="1:4" s="157" customFormat="1" ht="18" customHeight="1" x14ac:dyDescent="0.2">
      <c r="A3" s="157" t="s">
        <v>158</v>
      </c>
      <c r="C3" s="158"/>
      <c r="D3" s="158"/>
    </row>
    <row r="4" spans="1:4" s="157" customFormat="1" ht="18" customHeight="1" x14ac:dyDescent="0.2">
      <c r="A4" s="159" t="s">
        <v>159</v>
      </c>
      <c r="C4" s="158"/>
      <c r="D4" s="158"/>
    </row>
    <row r="5" spans="1:4" s="162" customFormat="1" ht="24" customHeight="1" x14ac:dyDescent="0.3">
      <c r="A5" s="160" t="s">
        <v>160</v>
      </c>
      <c r="B5" s="160" t="s">
        <v>161</v>
      </c>
      <c r="C5" s="160" t="s">
        <v>162</v>
      </c>
      <c r="D5" s="161" t="s">
        <v>163</v>
      </c>
    </row>
    <row r="6" spans="1:4" s="166" customFormat="1" ht="12.75" customHeight="1" x14ac:dyDescent="0.2">
      <c r="A6" s="171" t="s">
        <v>165</v>
      </c>
      <c r="B6" s="163" t="s">
        <v>175</v>
      </c>
      <c r="C6" s="164" t="s">
        <v>170</v>
      </c>
      <c r="D6" s="165" t="s">
        <v>146</v>
      </c>
    </row>
    <row r="7" spans="1:4" s="162" customFormat="1" ht="14.4" x14ac:dyDescent="0.3">
      <c r="A7" s="167"/>
      <c r="B7" s="168"/>
      <c r="C7" s="169"/>
      <c r="D7" s="167"/>
    </row>
    <row r="8" spans="1:4" s="162" customFormat="1" ht="14.4" x14ac:dyDescent="0.3">
      <c r="A8" s="167"/>
      <c r="B8" s="168"/>
      <c r="C8" s="169"/>
      <c r="D8" s="167"/>
    </row>
    <row r="9" spans="1:4" s="162" customFormat="1" ht="14.4" x14ac:dyDescent="0.3">
      <c r="A9" s="167"/>
      <c r="B9" s="168"/>
      <c r="C9" s="169"/>
      <c r="D9" s="167"/>
    </row>
    <row r="10" spans="1:4" s="162" customFormat="1" ht="14.4" x14ac:dyDescent="0.3">
      <c r="A10" s="167"/>
      <c r="B10" s="168"/>
      <c r="C10" s="169"/>
      <c r="D10" s="167"/>
    </row>
    <row r="11" spans="1:4" s="162" customFormat="1" ht="14.4" x14ac:dyDescent="0.3">
      <c r="A11" s="167"/>
      <c r="B11" s="168"/>
      <c r="C11" s="169"/>
      <c r="D11" s="167"/>
    </row>
    <row r="12" spans="1:4" s="162" customFormat="1" ht="14.4" x14ac:dyDescent="0.3">
      <c r="A12" s="167"/>
      <c r="B12" s="168"/>
      <c r="C12" s="169"/>
      <c r="D12" s="167"/>
    </row>
    <row r="13" spans="1:4" s="162" customFormat="1" ht="14.4" x14ac:dyDescent="0.3">
      <c r="A13" s="167"/>
      <c r="B13" s="168"/>
      <c r="C13" s="169"/>
      <c r="D13" s="167"/>
    </row>
    <row r="14" spans="1:4" s="162" customFormat="1" ht="14.4" x14ac:dyDescent="0.3">
      <c r="A14" s="167"/>
      <c r="B14" s="168"/>
      <c r="C14" s="169"/>
      <c r="D14" s="167"/>
    </row>
    <row r="15" spans="1:4" s="162" customFormat="1" ht="14.4" x14ac:dyDescent="0.3">
      <c r="A15" s="167"/>
      <c r="B15" s="168"/>
      <c r="C15" s="169"/>
      <c r="D15" s="167"/>
    </row>
    <row r="16" spans="1:4" s="162" customFormat="1" ht="14.4" x14ac:dyDescent="0.3">
      <c r="A16" s="167"/>
      <c r="B16" s="168"/>
      <c r="C16" s="169"/>
      <c r="D16" s="167"/>
    </row>
    <row r="17" spans="1:4" s="162" customFormat="1" ht="14.4" x14ac:dyDescent="0.3">
      <c r="A17" s="167"/>
      <c r="B17" s="168"/>
      <c r="C17" s="169"/>
      <c r="D17" s="167"/>
    </row>
    <row r="18" spans="1:4" s="162" customFormat="1" ht="14.4" x14ac:dyDescent="0.3">
      <c r="B18" s="168"/>
      <c r="C18" s="169"/>
      <c r="D18" s="167"/>
    </row>
    <row r="19" spans="1:4" s="162" customFormat="1" ht="14.4" x14ac:dyDescent="0.3">
      <c r="B19" s="168"/>
      <c r="C19" s="169"/>
      <c r="D19" s="167"/>
    </row>
    <row r="20" spans="1:4" s="162" customFormat="1" ht="14.4" x14ac:dyDescent="0.3">
      <c r="B20" s="168"/>
      <c r="C20" s="169"/>
      <c r="D20" s="167"/>
    </row>
    <row r="21" spans="1:4" s="162" customFormat="1" ht="14.4" x14ac:dyDescent="0.3">
      <c r="B21" s="168"/>
      <c r="C21" s="169"/>
      <c r="D21" s="167"/>
    </row>
  </sheetData>
  <hyperlinks>
    <hyperlink ref="A4" location="Cover_sheet!A1" display="Cover sheet" xr:uid="{8189B105-BBBD-46DA-B5C5-4E96BCB119E2}"/>
    <hyperlink ref="A6" location="FIRE1110!A1" display="FIRE1110" xr:uid="{884AA35A-1658-4AF8-B78A-0B3F761D25B9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DFBD-DB66-4832-84CB-EB0D6D27FDC8}">
  <sheetPr codeName="Sheet11"/>
  <dimension ref="A1:D553"/>
  <sheetViews>
    <sheetView workbookViewId="0">
      <selection activeCell="B1" sqref="B1"/>
    </sheetView>
  </sheetViews>
  <sheetFormatPr defaultRowHeight="14.4" x14ac:dyDescent="0.3"/>
  <cols>
    <col min="1" max="1" width="10" customWidth="1"/>
    <col min="2" max="2" width="21.44140625" bestFit="1" customWidth="1"/>
    <col min="3" max="3" width="18.77734375" bestFit="1" customWidth="1"/>
    <col min="4" max="4" width="11.77734375" customWidth="1"/>
    <col min="5" max="5" width="8.77734375" customWidth="1"/>
  </cols>
  <sheetData>
    <row r="1" spans="1:4" x14ac:dyDescent="0.3">
      <c r="A1" t="s">
        <v>115</v>
      </c>
      <c r="B1" t="s">
        <v>136</v>
      </c>
      <c r="C1" t="s">
        <v>137</v>
      </c>
      <c r="D1" t="s">
        <v>142</v>
      </c>
    </row>
    <row r="2" spans="1:4" x14ac:dyDescent="0.3">
      <c r="A2">
        <v>2019</v>
      </c>
      <c r="B2" t="s">
        <v>10</v>
      </c>
      <c r="C2" t="s">
        <v>1</v>
      </c>
      <c r="D2">
        <v>37</v>
      </c>
    </row>
    <row r="3" spans="1:4" x14ac:dyDescent="0.3">
      <c r="A3">
        <v>2019</v>
      </c>
      <c r="B3" t="s">
        <v>11</v>
      </c>
      <c r="C3" t="s">
        <v>1</v>
      </c>
      <c r="D3">
        <v>20</v>
      </c>
    </row>
    <row r="4" spans="1:4" x14ac:dyDescent="0.3">
      <c r="A4">
        <v>2019</v>
      </c>
      <c r="B4" t="s">
        <v>12</v>
      </c>
      <c r="C4" t="s">
        <v>1</v>
      </c>
      <c r="D4">
        <v>31</v>
      </c>
    </row>
    <row r="5" spans="1:4" x14ac:dyDescent="0.3">
      <c r="A5">
        <v>2019</v>
      </c>
      <c r="B5" t="s">
        <v>13</v>
      </c>
      <c r="C5" t="s">
        <v>1</v>
      </c>
      <c r="D5">
        <v>35</v>
      </c>
    </row>
    <row r="6" spans="1:4" x14ac:dyDescent="0.3">
      <c r="A6">
        <v>2019</v>
      </c>
      <c r="B6" t="s">
        <v>14</v>
      </c>
      <c r="C6" t="s">
        <v>1</v>
      </c>
      <c r="D6">
        <v>16</v>
      </c>
    </row>
    <row r="7" spans="1:4" x14ac:dyDescent="0.3">
      <c r="A7">
        <v>2019</v>
      </c>
      <c r="B7" t="s">
        <v>15</v>
      </c>
      <c r="C7" t="s">
        <v>1</v>
      </c>
      <c r="D7">
        <v>40</v>
      </c>
    </row>
    <row r="8" spans="1:4" x14ac:dyDescent="0.3">
      <c r="A8">
        <v>2019</v>
      </c>
      <c r="B8" t="s">
        <v>16</v>
      </c>
      <c r="C8" t="s">
        <v>1</v>
      </c>
      <c r="D8">
        <v>35</v>
      </c>
    </row>
    <row r="9" spans="1:4" x14ac:dyDescent="0.3">
      <c r="A9">
        <v>2019</v>
      </c>
      <c r="B9" t="s">
        <v>17</v>
      </c>
      <c r="C9" t="s">
        <v>1</v>
      </c>
      <c r="D9">
        <v>3</v>
      </c>
    </row>
    <row r="10" spans="1:4" x14ac:dyDescent="0.3">
      <c r="A10">
        <v>2019</v>
      </c>
      <c r="B10" t="s">
        <v>18</v>
      </c>
      <c r="C10" t="s">
        <v>1</v>
      </c>
      <c r="D10">
        <v>13</v>
      </c>
    </row>
    <row r="11" spans="1:4" x14ac:dyDescent="0.3">
      <c r="A11">
        <v>2019</v>
      </c>
      <c r="B11" t="s">
        <v>19</v>
      </c>
      <c r="C11" t="s">
        <v>1</v>
      </c>
      <c r="D11">
        <v>27</v>
      </c>
    </row>
    <row r="12" spans="1:4" x14ac:dyDescent="0.3">
      <c r="A12">
        <v>2019</v>
      </c>
      <c r="B12" t="s">
        <v>20</v>
      </c>
      <c r="C12" t="s">
        <v>1</v>
      </c>
      <c r="D12">
        <v>47</v>
      </c>
    </row>
    <row r="13" spans="1:4" x14ac:dyDescent="0.3">
      <c r="A13">
        <v>2019</v>
      </c>
      <c r="B13" t="s">
        <v>22</v>
      </c>
      <c r="C13" t="s">
        <v>1</v>
      </c>
      <c r="D13">
        <v>18</v>
      </c>
    </row>
    <row r="14" spans="1:4" x14ac:dyDescent="0.3">
      <c r="A14">
        <v>2019</v>
      </c>
      <c r="B14" t="s">
        <v>23</v>
      </c>
      <c r="C14" t="s">
        <v>1</v>
      </c>
      <c r="D14">
        <v>27</v>
      </c>
    </row>
    <row r="15" spans="1:4" x14ac:dyDescent="0.3">
      <c r="A15">
        <v>2019</v>
      </c>
      <c r="B15" t="s">
        <v>24</v>
      </c>
      <c r="C15" t="s">
        <v>1</v>
      </c>
      <c r="D15">
        <v>46</v>
      </c>
    </row>
    <row r="16" spans="1:4" x14ac:dyDescent="0.3">
      <c r="A16">
        <v>2019</v>
      </c>
      <c r="B16" t="s">
        <v>25</v>
      </c>
      <c r="C16" t="s">
        <v>1</v>
      </c>
      <c r="D16">
        <v>18</v>
      </c>
    </row>
    <row r="17" spans="1:4" x14ac:dyDescent="0.3">
      <c r="A17">
        <v>2019</v>
      </c>
      <c r="B17" t="s">
        <v>26</v>
      </c>
      <c r="C17" t="s">
        <v>1</v>
      </c>
      <c r="D17">
        <v>253</v>
      </c>
    </row>
    <row r="18" spans="1:4" x14ac:dyDescent="0.3">
      <c r="A18">
        <v>2019</v>
      </c>
      <c r="B18" t="s">
        <v>27</v>
      </c>
      <c r="C18" t="s">
        <v>1</v>
      </c>
      <c r="D18">
        <v>92</v>
      </c>
    </row>
    <row r="19" spans="1:4" x14ac:dyDescent="0.3">
      <c r="A19">
        <v>2019</v>
      </c>
      <c r="B19" t="s">
        <v>28</v>
      </c>
      <c r="C19" t="s">
        <v>1</v>
      </c>
      <c r="D19">
        <v>91</v>
      </c>
    </row>
    <row r="20" spans="1:4" x14ac:dyDescent="0.3">
      <c r="A20">
        <v>2019</v>
      </c>
      <c r="B20" t="s">
        <v>29</v>
      </c>
      <c r="C20" t="s">
        <v>1</v>
      </c>
      <c r="D20">
        <v>30</v>
      </c>
    </row>
    <row r="21" spans="1:4" x14ac:dyDescent="0.3">
      <c r="A21">
        <v>2019</v>
      </c>
      <c r="B21" t="s">
        <v>30</v>
      </c>
      <c r="C21" t="s">
        <v>1</v>
      </c>
      <c r="D21">
        <v>50</v>
      </c>
    </row>
    <row r="22" spans="1:4" x14ac:dyDescent="0.3">
      <c r="A22">
        <v>2019</v>
      </c>
      <c r="B22" t="s">
        <v>31</v>
      </c>
      <c r="C22" t="s">
        <v>1</v>
      </c>
      <c r="D22">
        <v>33</v>
      </c>
    </row>
    <row r="23" spans="1:4" x14ac:dyDescent="0.3">
      <c r="A23">
        <v>2019</v>
      </c>
      <c r="B23" t="s">
        <v>32</v>
      </c>
      <c r="C23" t="s">
        <v>1</v>
      </c>
      <c r="D23">
        <v>6</v>
      </c>
    </row>
    <row r="24" spans="1:4" x14ac:dyDescent="0.3">
      <c r="A24">
        <v>2019</v>
      </c>
      <c r="B24" t="s">
        <v>33</v>
      </c>
      <c r="C24" t="s">
        <v>1</v>
      </c>
      <c r="D24">
        <v>0</v>
      </c>
    </row>
    <row r="25" spans="1:4" x14ac:dyDescent="0.3">
      <c r="A25">
        <v>2019</v>
      </c>
      <c r="B25" t="s">
        <v>34</v>
      </c>
      <c r="C25" t="s">
        <v>1</v>
      </c>
      <c r="D25">
        <v>53</v>
      </c>
    </row>
    <row r="26" spans="1:4" x14ac:dyDescent="0.3">
      <c r="A26">
        <v>2019</v>
      </c>
      <c r="B26" t="s">
        <v>35</v>
      </c>
      <c r="C26" t="s">
        <v>1</v>
      </c>
      <c r="D26">
        <v>49</v>
      </c>
    </row>
    <row r="27" spans="1:4" x14ac:dyDescent="0.3">
      <c r="A27">
        <v>2019</v>
      </c>
      <c r="B27" t="s">
        <v>36</v>
      </c>
      <c r="C27" t="s">
        <v>1</v>
      </c>
      <c r="D27">
        <v>40</v>
      </c>
    </row>
    <row r="28" spans="1:4" x14ac:dyDescent="0.3">
      <c r="A28">
        <v>2019</v>
      </c>
      <c r="B28" t="s">
        <v>37</v>
      </c>
      <c r="C28" t="s">
        <v>1</v>
      </c>
      <c r="D28">
        <v>17</v>
      </c>
    </row>
    <row r="29" spans="1:4" x14ac:dyDescent="0.3">
      <c r="A29">
        <v>2019</v>
      </c>
      <c r="B29" t="s">
        <v>38</v>
      </c>
      <c r="C29" t="s">
        <v>1</v>
      </c>
      <c r="D29">
        <v>72</v>
      </c>
    </row>
    <row r="30" spans="1:4" x14ac:dyDescent="0.3">
      <c r="A30">
        <v>2019</v>
      </c>
      <c r="B30" t="s">
        <v>39</v>
      </c>
      <c r="C30" t="s">
        <v>1</v>
      </c>
      <c r="D30">
        <v>21</v>
      </c>
    </row>
    <row r="31" spans="1:4" x14ac:dyDescent="0.3">
      <c r="A31">
        <v>2019</v>
      </c>
      <c r="B31" t="s">
        <v>41</v>
      </c>
      <c r="C31" t="s">
        <v>1</v>
      </c>
      <c r="D31">
        <v>25</v>
      </c>
    </row>
    <row r="32" spans="1:4" x14ac:dyDescent="0.3">
      <c r="A32">
        <v>2019</v>
      </c>
      <c r="B32" t="s">
        <v>42</v>
      </c>
      <c r="C32" t="s">
        <v>1</v>
      </c>
      <c r="D32">
        <v>16</v>
      </c>
    </row>
    <row r="33" spans="1:4" x14ac:dyDescent="0.3">
      <c r="A33">
        <v>2019</v>
      </c>
      <c r="B33" t="s">
        <v>43</v>
      </c>
      <c r="C33" t="s">
        <v>1</v>
      </c>
      <c r="D33">
        <v>13</v>
      </c>
    </row>
    <row r="34" spans="1:4" x14ac:dyDescent="0.3">
      <c r="A34">
        <v>2019</v>
      </c>
      <c r="B34" t="s">
        <v>44</v>
      </c>
      <c r="C34" t="s">
        <v>1</v>
      </c>
      <c r="D34">
        <v>37</v>
      </c>
    </row>
    <row r="35" spans="1:4" x14ac:dyDescent="0.3">
      <c r="A35">
        <v>2019</v>
      </c>
      <c r="B35" t="s">
        <v>45</v>
      </c>
      <c r="C35" t="s">
        <v>1</v>
      </c>
      <c r="D35">
        <v>10</v>
      </c>
    </row>
    <row r="36" spans="1:4" x14ac:dyDescent="0.3">
      <c r="A36">
        <v>2019</v>
      </c>
      <c r="B36" t="s">
        <v>46</v>
      </c>
      <c r="C36" t="s">
        <v>1</v>
      </c>
      <c r="D36">
        <v>4</v>
      </c>
    </row>
    <row r="37" spans="1:4" x14ac:dyDescent="0.3">
      <c r="A37">
        <v>2019</v>
      </c>
      <c r="B37" t="s">
        <v>47</v>
      </c>
      <c r="C37" t="s">
        <v>1</v>
      </c>
      <c r="D37">
        <v>47</v>
      </c>
    </row>
    <row r="38" spans="1:4" x14ac:dyDescent="0.3">
      <c r="A38">
        <v>2019</v>
      </c>
      <c r="B38" t="s">
        <v>48</v>
      </c>
      <c r="C38" t="s">
        <v>1</v>
      </c>
      <c r="D38">
        <v>16</v>
      </c>
    </row>
    <row r="39" spans="1:4" x14ac:dyDescent="0.3">
      <c r="A39">
        <v>2019</v>
      </c>
      <c r="B39" t="s">
        <v>49</v>
      </c>
      <c r="C39" t="s">
        <v>1</v>
      </c>
      <c r="D39">
        <v>16</v>
      </c>
    </row>
    <row r="40" spans="1:4" x14ac:dyDescent="0.3">
      <c r="A40">
        <v>2019</v>
      </c>
      <c r="B40" t="s">
        <v>50</v>
      </c>
      <c r="C40" t="s">
        <v>1</v>
      </c>
      <c r="D40">
        <v>38</v>
      </c>
    </row>
    <row r="41" spans="1:4" x14ac:dyDescent="0.3">
      <c r="A41">
        <v>2019</v>
      </c>
      <c r="B41" t="s">
        <v>51</v>
      </c>
      <c r="C41" t="s">
        <v>1</v>
      </c>
      <c r="D41">
        <v>47</v>
      </c>
    </row>
    <row r="42" spans="1:4" x14ac:dyDescent="0.3">
      <c r="A42">
        <v>2019</v>
      </c>
      <c r="B42" t="s">
        <v>52</v>
      </c>
      <c r="C42" t="s">
        <v>1</v>
      </c>
      <c r="D42">
        <v>15</v>
      </c>
    </row>
    <row r="43" spans="1:4" x14ac:dyDescent="0.3">
      <c r="A43">
        <v>2019</v>
      </c>
      <c r="B43" t="s">
        <v>53</v>
      </c>
      <c r="C43" t="s">
        <v>1</v>
      </c>
      <c r="D43">
        <v>103</v>
      </c>
    </row>
    <row r="44" spans="1:4" x14ac:dyDescent="0.3">
      <c r="A44">
        <v>2019</v>
      </c>
      <c r="B44" t="s">
        <v>54</v>
      </c>
      <c r="C44" t="s">
        <v>1</v>
      </c>
      <c r="D44">
        <v>19</v>
      </c>
    </row>
    <row r="45" spans="1:4" x14ac:dyDescent="0.3">
      <c r="A45">
        <v>2019</v>
      </c>
      <c r="B45" t="s">
        <v>55</v>
      </c>
      <c r="C45" t="s">
        <v>1</v>
      </c>
      <c r="D45">
        <v>77</v>
      </c>
    </row>
    <row r="46" spans="1:4" x14ac:dyDescent="0.3">
      <c r="A46">
        <v>2019</v>
      </c>
      <c r="B46" t="s">
        <v>105</v>
      </c>
      <c r="C46" t="s">
        <v>1</v>
      </c>
      <c r="D46">
        <v>30</v>
      </c>
    </row>
    <row r="47" spans="1:4" x14ac:dyDescent="0.3">
      <c r="A47">
        <v>2019</v>
      </c>
      <c r="B47" t="s">
        <v>40</v>
      </c>
      <c r="C47" t="s">
        <v>1</v>
      </c>
      <c r="D47">
        <v>0</v>
      </c>
    </row>
    <row r="48" spans="1:4" x14ac:dyDescent="0.3">
      <c r="A48">
        <v>2019</v>
      </c>
      <c r="B48" t="s">
        <v>10</v>
      </c>
      <c r="C48" t="s">
        <v>59</v>
      </c>
      <c r="D48">
        <v>16</v>
      </c>
    </row>
    <row r="49" spans="1:4" x14ac:dyDescent="0.3">
      <c r="A49">
        <v>2019</v>
      </c>
      <c r="B49" t="s">
        <v>11</v>
      </c>
      <c r="C49" t="s">
        <v>59</v>
      </c>
      <c r="D49">
        <v>14</v>
      </c>
    </row>
    <row r="50" spans="1:4" x14ac:dyDescent="0.3">
      <c r="A50">
        <v>2019</v>
      </c>
      <c r="B50" t="s">
        <v>12</v>
      </c>
      <c r="C50" t="s">
        <v>59</v>
      </c>
      <c r="D50">
        <v>15</v>
      </c>
    </row>
    <row r="51" spans="1:4" x14ac:dyDescent="0.3">
      <c r="A51">
        <v>2019</v>
      </c>
      <c r="B51" t="s">
        <v>13</v>
      </c>
      <c r="C51" t="s">
        <v>59</v>
      </c>
      <c r="D51">
        <v>21</v>
      </c>
    </row>
    <row r="52" spans="1:4" x14ac:dyDescent="0.3">
      <c r="A52">
        <v>2019</v>
      </c>
      <c r="B52" t="s">
        <v>14</v>
      </c>
      <c r="C52" t="s">
        <v>59</v>
      </c>
      <c r="D52">
        <v>31</v>
      </c>
    </row>
    <row r="53" spans="1:4" x14ac:dyDescent="0.3">
      <c r="A53">
        <v>2019</v>
      </c>
      <c r="B53" t="s">
        <v>15</v>
      </c>
      <c r="C53" t="s">
        <v>59</v>
      </c>
      <c r="D53">
        <v>63</v>
      </c>
    </row>
    <row r="54" spans="1:4" x14ac:dyDescent="0.3">
      <c r="A54">
        <v>2019</v>
      </c>
      <c r="B54" t="s">
        <v>16</v>
      </c>
      <c r="C54" t="s">
        <v>59</v>
      </c>
      <c r="D54">
        <v>18</v>
      </c>
    </row>
    <row r="55" spans="1:4" x14ac:dyDescent="0.3">
      <c r="A55">
        <v>2019</v>
      </c>
      <c r="B55" t="s">
        <v>17</v>
      </c>
      <c r="C55" t="s">
        <v>59</v>
      </c>
      <c r="D55">
        <v>25</v>
      </c>
    </row>
    <row r="56" spans="1:4" x14ac:dyDescent="0.3">
      <c r="A56">
        <v>2019</v>
      </c>
      <c r="B56" t="s">
        <v>18</v>
      </c>
      <c r="C56" t="s">
        <v>59</v>
      </c>
      <c r="D56">
        <v>28</v>
      </c>
    </row>
    <row r="57" spans="1:4" x14ac:dyDescent="0.3">
      <c r="A57">
        <v>2019</v>
      </c>
      <c r="B57" t="s">
        <v>19</v>
      </c>
      <c r="C57" t="s">
        <v>59</v>
      </c>
      <c r="D57">
        <v>36</v>
      </c>
    </row>
    <row r="58" spans="1:4" x14ac:dyDescent="0.3">
      <c r="A58">
        <v>2019</v>
      </c>
      <c r="B58" t="s">
        <v>20</v>
      </c>
      <c r="C58" t="s">
        <v>59</v>
      </c>
      <c r="D58">
        <v>132</v>
      </c>
    </row>
    <row r="59" spans="1:4" x14ac:dyDescent="0.3">
      <c r="A59">
        <v>2019</v>
      </c>
      <c r="B59" t="s">
        <v>22</v>
      </c>
      <c r="C59" t="s">
        <v>59</v>
      </c>
      <c r="D59">
        <v>23</v>
      </c>
    </row>
    <row r="60" spans="1:4" x14ac:dyDescent="0.3">
      <c r="A60">
        <v>2019</v>
      </c>
      <c r="B60" t="s">
        <v>23</v>
      </c>
      <c r="C60" t="s">
        <v>59</v>
      </c>
      <c r="D60">
        <v>25</v>
      </c>
    </row>
    <row r="61" spans="1:4" x14ac:dyDescent="0.3">
      <c r="A61">
        <v>2019</v>
      </c>
      <c r="B61" t="s">
        <v>24</v>
      </c>
      <c r="C61" t="s">
        <v>59</v>
      </c>
      <c r="D61">
        <v>72</v>
      </c>
    </row>
    <row r="62" spans="1:4" x14ac:dyDescent="0.3">
      <c r="A62">
        <v>2019</v>
      </c>
      <c r="B62" t="s">
        <v>25</v>
      </c>
      <c r="C62" t="s">
        <v>59</v>
      </c>
      <c r="D62">
        <v>34</v>
      </c>
    </row>
    <row r="63" spans="1:4" x14ac:dyDescent="0.3">
      <c r="A63">
        <v>2019</v>
      </c>
      <c r="B63" t="s">
        <v>26</v>
      </c>
      <c r="C63" t="s">
        <v>59</v>
      </c>
      <c r="D63">
        <v>0</v>
      </c>
    </row>
    <row r="64" spans="1:4" x14ac:dyDescent="0.3">
      <c r="A64">
        <v>2019</v>
      </c>
      <c r="B64" t="s">
        <v>27</v>
      </c>
      <c r="C64" t="s">
        <v>59</v>
      </c>
      <c r="D64">
        <v>2</v>
      </c>
    </row>
    <row r="65" spans="1:4" x14ac:dyDescent="0.3">
      <c r="A65">
        <v>2019</v>
      </c>
      <c r="B65" t="s">
        <v>28</v>
      </c>
      <c r="C65" t="s">
        <v>59</v>
      </c>
      <c r="D65">
        <v>92</v>
      </c>
    </row>
    <row r="66" spans="1:4" x14ac:dyDescent="0.3">
      <c r="A66">
        <v>2019</v>
      </c>
      <c r="B66" t="s">
        <v>29</v>
      </c>
      <c r="C66" t="s">
        <v>59</v>
      </c>
      <c r="D66">
        <v>62</v>
      </c>
    </row>
    <row r="67" spans="1:4" x14ac:dyDescent="0.3">
      <c r="A67">
        <v>2019</v>
      </c>
      <c r="B67" t="s">
        <v>30</v>
      </c>
      <c r="C67" t="s">
        <v>59</v>
      </c>
      <c r="D67">
        <v>40</v>
      </c>
    </row>
    <row r="68" spans="1:4" x14ac:dyDescent="0.3">
      <c r="A68">
        <v>2019</v>
      </c>
      <c r="B68" t="s">
        <v>31</v>
      </c>
      <c r="C68" t="s">
        <v>59</v>
      </c>
      <c r="D68">
        <v>25</v>
      </c>
    </row>
    <row r="69" spans="1:4" x14ac:dyDescent="0.3">
      <c r="A69">
        <v>2019</v>
      </c>
      <c r="B69" t="s">
        <v>32</v>
      </c>
      <c r="C69" t="s">
        <v>59</v>
      </c>
      <c r="D69">
        <v>7</v>
      </c>
    </row>
    <row r="70" spans="1:4" x14ac:dyDescent="0.3">
      <c r="A70">
        <v>2019</v>
      </c>
      <c r="B70" t="s">
        <v>33</v>
      </c>
      <c r="C70" t="s">
        <v>59</v>
      </c>
      <c r="D70">
        <v>7</v>
      </c>
    </row>
    <row r="71" spans="1:4" x14ac:dyDescent="0.3">
      <c r="A71">
        <v>2019</v>
      </c>
      <c r="B71" t="s">
        <v>34</v>
      </c>
      <c r="C71" t="s">
        <v>59</v>
      </c>
      <c r="D71">
        <v>53</v>
      </c>
    </row>
    <row r="72" spans="1:4" x14ac:dyDescent="0.3">
      <c r="A72">
        <v>2019</v>
      </c>
      <c r="B72" t="s">
        <v>35</v>
      </c>
      <c r="C72" t="s">
        <v>59</v>
      </c>
      <c r="D72">
        <v>66</v>
      </c>
    </row>
    <row r="73" spans="1:4" x14ac:dyDescent="0.3">
      <c r="A73">
        <v>2019</v>
      </c>
      <c r="B73" t="s">
        <v>36</v>
      </c>
      <c r="C73" t="s">
        <v>59</v>
      </c>
      <c r="D73">
        <v>35</v>
      </c>
    </row>
    <row r="74" spans="1:4" x14ac:dyDescent="0.3">
      <c r="A74">
        <v>2019</v>
      </c>
      <c r="B74" t="s">
        <v>37</v>
      </c>
      <c r="C74" t="s">
        <v>59</v>
      </c>
      <c r="D74">
        <v>57</v>
      </c>
    </row>
    <row r="75" spans="1:4" x14ac:dyDescent="0.3">
      <c r="A75">
        <v>2019</v>
      </c>
      <c r="B75" t="s">
        <v>38</v>
      </c>
      <c r="C75" t="s">
        <v>59</v>
      </c>
      <c r="D75">
        <v>10</v>
      </c>
    </row>
    <row r="76" spans="1:4" x14ac:dyDescent="0.3">
      <c r="A76">
        <v>2019</v>
      </c>
      <c r="B76" t="s">
        <v>39</v>
      </c>
      <c r="C76" t="s">
        <v>59</v>
      </c>
      <c r="D76">
        <v>43</v>
      </c>
    </row>
    <row r="77" spans="1:4" x14ac:dyDescent="0.3">
      <c r="A77">
        <v>2019</v>
      </c>
      <c r="B77" t="s">
        <v>41</v>
      </c>
      <c r="C77" t="s">
        <v>59</v>
      </c>
      <c r="D77">
        <v>55</v>
      </c>
    </row>
    <row r="78" spans="1:4" x14ac:dyDescent="0.3">
      <c r="A78">
        <v>2019</v>
      </c>
      <c r="B78" t="s">
        <v>42</v>
      </c>
      <c r="C78" t="s">
        <v>59</v>
      </c>
      <c r="D78">
        <v>31</v>
      </c>
    </row>
    <row r="79" spans="1:4" x14ac:dyDescent="0.3">
      <c r="A79">
        <v>2019</v>
      </c>
      <c r="B79" t="s">
        <v>43</v>
      </c>
      <c r="C79" t="s">
        <v>59</v>
      </c>
      <c r="D79">
        <v>16</v>
      </c>
    </row>
    <row r="80" spans="1:4" x14ac:dyDescent="0.3">
      <c r="A80">
        <v>2019</v>
      </c>
      <c r="B80" t="s">
        <v>44</v>
      </c>
      <c r="C80" t="s">
        <v>59</v>
      </c>
      <c r="D80">
        <v>29</v>
      </c>
    </row>
    <row r="81" spans="1:4" x14ac:dyDescent="0.3">
      <c r="A81">
        <v>2019</v>
      </c>
      <c r="B81" t="s">
        <v>45</v>
      </c>
      <c r="C81" t="s">
        <v>59</v>
      </c>
      <c r="D81">
        <v>49</v>
      </c>
    </row>
    <row r="82" spans="1:4" x14ac:dyDescent="0.3">
      <c r="A82">
        <v>2019</v>
      </c>
      <c r="B82" t="s">
        <v>46</v>
      </c>
      <c r="C82" t="s">
        <v>59</v>
      </c>
      <c r="D82">
        <v>28</v>
      </c>
    </row>
    <row r="83" spans="1:4" x14ac:dyDescent="0.3">
      <c r="A83">
        <v>2019</v>
      </c>
      <c r="B83" t="s">
        <v>47</v>
      </c>
      <c r="C83" t="s">
        <v>59</v>
      </c>
      <c r="D83">
        <v>14</v>
      </c>
    </row>
    <row r="84" spans="1:4" x14ac:dyDescent="0.3">
      <c r="A84">
        <v>2019</v>
      </c>
      <c r="B84" t="s">
        <v>48</v>
      </c>
      <c r="C84" t="s">
        <v>59</v>
      </c>
      <c r="D84">
        <v>37</v>
      </c>
    </row>
    <row r="85" spans="1:4" x14ac:dyDescent="0.3">
      <c r="A85">
        <v>2019</v>
      </c>
      <c r="B85" t="s">
        <v>49</v>
      </c>
      <c r="C85" t="s">
        <v>59</v>
      </c>
      <c r="D85">
        <v>44</v>
      </c>
    </row>
    <row r="86" spans="1:4" x14ac:dyDescent="0.3">
      <c r="A86">
        <v>2019</v>
      </c>
      <c r="B86" t="s">
        <v>50</v>
      </c>
      <c r="C86" t="s">
        <v>59</v>
      </c>
      <c r="D86">
        <v>7</v>
      </c>
    </row>
    <row r="87" spans="1:4" x14ac:dyDescent="0.3">
      <c r="A87">
        <v>2019</v>
      </c>
      <c r="B87" t="s">
        <v>51</v>
      </c>
      <c r="C87" t="s">
        <v>59</v>
      </c>
      <c r="D87">
        <v>0</v>
      </c>
    </row>
    <row r="88" spans="1:4" x14ac:dyDescent="0.3">
      <c r="A88">
        <v>2019</v>
      </c>
      <c r="B88" t="s">
        <v>52</v>
      </c>
      <c r="C88" t="s">
        <v>59</v>
      </c>
      <c r="D88">
        <v>18</v>
      </c>
    </row>
    <row r="89" spans="1:4" x14ac:dyDescent="0.3">
      <c r="A89">
        <v>2019</v>
      </c>
      <c r="B89" t="s">
        <v>53</v>
      </c>
      <c r="C89" t="s">
        <v>59</v>
      </c>
      <c r="D89">
        <v>0</v>
      </c>
    </row>
    <row r="90" spans="1:4" x14ac:dyDescent="0.3">
      <c r="A90">
        <v>2019</v>
      </c>
      <c r="B90" t="s">
        <v>54</v>
      </c>
      <c r="C90" t="s">
        <v>59</v>
      </c>
      <c r="D90">
        <v>30</v>
      </c>
    </row>
    <row r="91" spans="1:4" x14ac:dyDescent="0.3">
      <c r="A91">
        <v>2019</v>
      </c>
      <c r="B91" t="s">
        <v>55</v>
      </c>
      <c r="C91" t="s">
        <v>59</v>
      </c>
      <c r="D91">
        <v>18</v>
      </c>
    </row>
    <row r="92" spans="1:4" x14ac:dyDescent="0.3">
      <c r="A92">
        <v>2019</v>
      </c>
      <c r="B92" t="s">
        <v>105</v>
      </c>
      <c r="C92" t="s">
        <v>59</v>
      </c>
      <c r="D92">
        <v>80</v>
      </c>
    </row>
    <row r="93" spans="1:4" x14ac:dyDescent="0.3">
      <c r="A93">
        <v>2019</v>
      </c>
      <c r="B93" t="s">
        <v>40</v>
      </c>
      <c r="C93" t="s">
        <v>59</v>
      </c>
      <c r="D93">
        <v>0</v>
      </c>
    </row>
    <row r="94" spans="1:4" x14ac:dyDescent="0.3">
      <c r="A94">
        <v>2019</v>
      </c>
      <c r="B94" t="s">
        <v>10</v>
      </c>
      <c r="C94" t="s">
        <v>60</v>
      </c>
      <c r="D94">
        <v>0</v>
      </c>
    </row>
    <row r="95" spans="1:4" x14ac:dyDescent="0.3">
      <c r="A95">
        <v>2019</v>
      </c>
      <c r="B95" t="s">
        <v>11</v>
      </c>
      <c r="C95" t="s">
        <v>60</v>
      </c>
      <c r="D95">
        <v>0</v>
      </c>
    </row>
    <row r="96" spans="1:4" x14ac:dyDescent="0.3">
      <c r="A96">
        <v>2019</v>
      </c>
      <c r="B96" t="s">
        <v>12</v>
      </c>
      <c r="C96" t="s">
        <v>60</v>
      </c>
      <c r="D96">
        <v>4</v>
      </c>
    </row>
    <row r="97" spans="1:4" x14ac:dyDescent="0.3">
      <c r="A97">
        <v>2019</v>
      </c>
      <c r="B97" t="s">
        <v>13</v>
      </c>
      <c r="C97" t="s">
        <v>60</v>
      </c>
      <c r="D97">
        <v>0</v>
      </c>
    </row>
    <row r="98" spans="1:4" x14ac:dyDescent="0.3">
      <c r="A98">
        <v>2019</v>
      </c>
      <c r="B98" t="s">
        <v>14</v>
      </c>
      <c r="C98" t="s">
        <v>60</v>
      </c>
      <c r="D98">
        <v>9</v>
      </c>
    </row>
    <row r="99" spans="1:4" x14ac:dyDescent="0.3">
      <c r="A99">
        <v>2019</v>
      </c>
      <c r="B99" t="s">
        <v>15</v>
      </c>
      <c r="C99" t="s">
        <v>60</v>
      </c>
      <c r="D99">
        <v>0</v>
      </c>
    </row>
    <row r="100" spans="1:4" x14ac:dyDescent="0.3">
      <c r="A100">
        <v>2019</v>
      </c>
      <c r="B100" t="s">
        <v>16</v>
      </c>
      <c r="C100" t="s">
        <v>60</v>
      </c>
      <c r="D100">
        <v>2</v>
      </c>
    </row>
    <row r="101" spans="1:4" x14ac:dyDescent="0.3">
      <c r="A101">
        <v>2019</v>
      </c>
      <c r="B101" t="s">
        <v>17</v>
      </c>
      <c r="C101" t="s">
        <v>60</v>
      </c>
      <c r="D101">
        <v>3</v>
      </c>
    </row>
    <row r="102" spans="1:4" x14ac:dyDescent="0.3">
      <c r="A102">
        <v>2019</v>
      </c>
      <c r="B102" t="s">
        <v>18</v>
      </c>
      <c r="C102" t="s">
        <v>60</v>
      </c>
      <c r="D102">
        <v>0</v>
      </c>
    </row>
    <row r="103" spans="1:4" x14ac:dyDescent="0.3">
      <c r="A103">
        <v>2019</v>
      </c>
      <c r="B103" t="s">
        <v>19</v>
      </c>
      <c r="C103" t="s">
        <v>60</v>
      </c>
      <c r="D103">
        <v>1</v>
      </c>
    </row>
    <row r="104" spans="1:4" x14ac:dyDescent="0.3">
      <c r="A104">
        <v>2019</v>
      </c>
      <c r="B104" t="s">
        <v>20</v>
      </c>
      <c r="C104" t="s">
        <v>60</v>
      </c>
      <c r="D104">
        <v>3</v>
      </c>
    </row>
    <row r="105" spans="1:4" x14ac:dyDescent="0.3">
      <c r="A105">
        <v>2019</v>
      </c>
      <c r="B105" t="s">
        <v>22</v>
      </c>
      <c r="C105" t="s">
        <v>60</v>
      </c>
      <c r="D105">
        <v>2</v>
      </c>
    </row>
    <row r="106" spans="1:4" x14ac:dyDescent="0.3">
      <c r="A106">
        <v>2019</v>
      </c>
      <c r="B106" t="s">
        <v>23</v>
      </c>
      <c r="C106" t="s">
        <v>60</v>
      </c>
      <c r="D106">
        <v>5</v>
      </c>
    </row>
    <row r="107" spans="1:4" x14ac:dyDescent="0.3">
      <c r="A107">
        <v>2019</v>
      </c>
      <c r="B107" t="s">
        <v>24</v>
      </c>
      <c r="C107" t="s">
        <v>60</v>
      </c>
      <c r="D107">
        <v>1</v>
      </c>
    </row>
    <row r="108" spans="1:4" x14ac:dyDescent="0.3">
      <c r="A108">
        <v>2019</v>
      </c>
      <c r="B108" t="s">
        <v>25</v>
      </c>
      <c r="C108" t="s">
        <v>60</v>
      </c>
      <c r="D108">
        <v>2</v>
      </c>
    </row>
    <row r="109" spans="1:4" x14ac:dyDescent="0.3">
      <c r="A109">
        <v>2019</v>
      </c>
      <c r="B109" t="s">
        <v>26</v>
      </c>
      <c r="C109" t="s">
        <v>60</v>
      </c>
      <c r="D109">
        <v>14</v>
      </c>
    </row>
    <row r="110" spans="1:4" x14ac:dyDescent="0.3">
      <c r="A110">
        <v>2019</v>
      </c>
      <c r="B110" t="s">
        <v>27</v>
      </c>
      <c r="C110" t="s">
        <v>60</v>
      </c>
      <c r="D110">
        <v>0</v>
      </c>
    </row>
    <row r="111" spans="1:4" x14ac:dyDescent="0.3">
      <c r="A111">
        <v>2019</v>
      </c>
      <c r="B111" t="s">
        <v>28</v>
      </c>
      <c r="C111" t="s">
        <v>60</v>
      </c>
      <c r="D111">
        <v>3</v>
      </c>
    </row>
    <row r="112" spans="1:4" x14ac:dyDescent="0.3">
      <c r="A112">
        <v>2019</v>
      </c>
      <c r="B112" t="s">
        <v>29</v>
      </c>
      <c r="C112" t="s">
        <v>60</v>
      </c>
      <c r="D112">
        <v>2</v>
      </c>
    </row>
    <row r="113" spans="1:4" x14ac:dyDescent="0.3">
      <c r="A113">
        <v>2019</v>
      </c>
      <c r="B113" t="s">
        <v>30</v>
      </c>
      <c r="C113" t="s">
        <v>60</v>
      </c>
      <c r="D113">
        <v>4</v>
      </c>
    </row>
    <row r="114" spans="1:4" x14ac:dyDescent="0.3">
      <c r="A114">
        <v>2019</v>
      </c>
      <c r="B114" t="s">
        <v>31</v>
      </c>
      <c r="C114" t="s">
        <v>60</v>
      </c>
      <c r="D114">
        <v>2</v>
      </c>
    </row>
    <row r="115" spans="1:4" x14ac:dyDescent="0.3">
      <c r="A115">
        <v>2019</v>
      </c>
      <c r="B115" t="s">
        <v>32</v>
      </c>
      <c r="C115" t="s">
        <v>60</v>
      </c>
      <c r="D115">
        <v>0</v>
      </c>
    </row>
    <row r="116" spans="1:4" x14ac:dyDescent="0.3">
      <c r="A116">
        <v>2019</v>
      </c>
      <c r="B116" t="s">
        <v>33</v>
      </c>
      <c r="C116" t="s">
        <v>60</v>
      </c>
      <c r="D116">
        <v>0</v>
      </c>
    </row>
    <row r="117" spans="1:4" x14ac:dyDescent="0.3">
      <c r="A117">
        <v>2019</v>
      </c>
      <c r="B117" t="s">
        <v>34</v>
      </c>
      <c r="C117" t="s">
        <v>60</v>
      </c>
      <c r="D117">
        <v>1</v>
      </c>
    </row>
    <row r="118" spans="1:4" x14ac:dyDescent="0.3">
      <c r="A118">
        <v>2019</v>
      </c>
      <c r="B118" t="s">
        <v>35</v>
      </c>
      <c r="C118" t="s">
        <v>60</v>
      </c>
      <c r="D118">
        <v>0</v>
      </c>
    </row>
    <row r="119" spans="1:4" x14ac:dyDescent="0.3">
      <c r="A119">
        <v>2019</v>
      </c>
      <c r="B119" t="s">
        <v>36</v>
      </c>
      <c r="C119" t="s">
        <v>60</v>
      </c>
      <c r="D119">
        <v>0</v>
      </c>
    </row>
    <row r="120" spans="1:4" x14ac:dyDescent="0.3">
      <c r="A120">
        <v>2019</v>
      </c>
      <c r="B120" t="s">
        <v>37</v>
      </c>
      <c r="C120" t="s">
        <v>60</v>
      </c>
      <c r="D120">
        <v>2</v>
      </c>
    </row>
    <row r="121" spans="1:4" x14ac:dyDescent="0.3">
      <c r="A121">
        <v>2019</v>
      </c>
      <c r="B121" t="s">
        <v>38</v>
      </c>
      <c r="C121" t="s">
        <v>60</v>
      </c>
      <c r="D121">
        <v>5</v>
      </c>
    </row>
    <row r="122" spans="1:4" x14ac:dyDescent="0.3">
      <c r="A122">
        <v>2019</v>
      </c>
      <c r="B122" t="s">
        <v>39</v>
      </c>
      <c r="C122" t="s">
        <v>60</v>
      </c>
      <c r="D122">
        <v>1</v>
      </c>
    </row>
    <row r="123" spans="1:4" x14ac:dyDescent="0.3">
      <c r="A123">
        <v>2019</v>
      </c>
      <c r="B123" t="s">
        <v>41</v>
      </c>
      <c r="C123" t="s">
        <v>60</v>
      </c>
      <c r="D123">
        <v>2</v>
      </c>
    </row>
    <row r="124" spans="1:4" x14ac:dyDescent="0.3">
      <c r="A124">
        <v>2019</v>
      </c>
      <c r="B124" t="s">
        <v>42</v>
      </c>
      <c r="C124" t="s">
        <v>60</v>
      </c>
      <c r="D124">
        <v>2</v>
      </c>
    </row>
    <row r="125" spans="1:4" x14ac:dyDescent="0.3">
      <c r="A125">
        <v>2019</v>
      </c>
      <c r="B125" t="s">
        <v>43</v>
      </c>
      <c r="C125" t="s">
        <v>60</v>
      </c>
      <c r="D125">
        <v>0</v>
      </c>
    </row>
    <row r="126" spans="1:4" x14ac:dyDescent="0.3">
      <c r="A126">
        <v>2019</v>
      </c>
      <c r="B126" t="s">
        <v>44</v>
      </c>
      <c r="C126" t="s">
        <v>60</v>
      </c>
      <c r="D126">
        <v>1</v>
      </c>
    </row>
    <row r="127" spans="1:4" x14ac:dyDescent="0.3">
      <c r="A127">
        <v>2019</v>
      </c>
      <c r="B127" t="s">
        <v>45</v>
      </c>
      <c r="C127" t="s">
        <v>60</v>
      </c>
      <c r="D127">
        <v>0</v>
      </c>
    </row>
    <row r="128" spans="1:4" x14ac:dyDescent="0.3">
      <c r="A128">
        <v>2019</v>
      </c>
      <c r="B128" t="s">
        <v>46</v>
      </c>
      <c r="C128" t="s">
        <v>60</v>
      </c>
      <c r="D128">
        <v>2</v>
      </c>
    </row>
    <row r="129" spans="1:4" x14ac:dyDescent="0.3">
      <c r="A129">
        <v>2019</v>
      </c>
      <c r="B129" t="s">
        <v>47</v>
      </c>
      <c r="C129" t="s">
        <v>60</v>
      </c>
      <c r="D129">
        <v>1</v>
      </c>
    </row>
    <row r="130" spans="1:4" x14ac:dyDescent="0.3">
      <c r="A130">
        <v>2019</v>
      </c>
      <c r="B130" t="s">
        <v>48</v>
      </c>
      <c r="C130" t="s">
        <v>60</v>
      </c>
      <c r="D130">
        <v>0</v>
      </c>
    </row>
    <row r="131" spans="1:4" x14ac:dyDescent="0.3">
      <c r="A131">
        <v>2019</v>
      </c>
      <c r="B131" t="s">
        <v>49</v>
      </c>
      <c r="C131" t="s">
        <v>60</v>
      </c>
      <c r="D131">
        <v>0</v>
      </c>
    </row>
    <row r="132" spans="1:4" x14ac:dyDescent="0.3">
      <c r="A132">
        <v>2019</v>
      </c>
      <c r="B132" t="s">
        <v>50</v>
      </c>
      <c r="C132" t="s">
        <v>60</v>
      </c>
      <c r="D132">
        <v>4</v>
      </c>
    </row>
    <row r="133" spans="1:4" x14ac:dyDescent="0.3">
      <c r="A133">
        <v>2019</v>
      </c>
      <c r="B133" t="s">
        <v>51</v>
      </c>
      <c r="C133" t="s">
        <v>60</v>
      </c>
      <c r="D133">
        <v>1</v>
      </c>
    </row>
    <row r="134" spans="1:4" x14ac:dyDescent="0.3">
      <c r="A134">
        <v>2019</v>
      </c>
      <c r="B134" t="s">
        <v>52</v>
      </c>
      <c r="C134" t="s">
        <v>60</v>
      </c>
      <c r="D134">
        <v>0</v>
      </c>
    </row>
    <row r="135" spans="1:4" x14ac:dyDescent="0.3">
      <c r="A135">
        <v>2019</v>
      </c>
      <c r="B135" t="s">
        <v>53</v>
      </c>
      <c r="C135" t="s">
        <v>60</v>
      </c>
      <c r="D135">
        <v>3</v>
      </c>
    </row>
    <row r="136" spans="1:4" x14ac:dyDescent="0.3">
      <c r="A136">
        <v>2019</v>
      </c>
      <c r="B136" t="s">
        <v>54</v>
      </c>
      <c r="C136" t="s">
        <v>60</v>
      </c>
      <c r="D136">
        <v>0</v>
      </c>
    </row>
    <row r="137" spans="1:4" x14ac:dyDescent="0.3">
      <c r="A137">
        <v>2019</v>
      </c>
      <c r="B137" t="s">
        <v>55</v>
      </c>
      <c r="C137" t="s">
        <v>60</v>
      </c>
      <c r="D137">
        <v>4</v>
      </c>
    </row>
    <row r="138" spans="1:4" x14ac:dyDescent="0.3">
      <c r="A138">
        <v>2019</v>
      </c>
      <c r="B138" t="s">
        <v>105</v>
      </c>
      <c r="C138" t="s">
        <v>60</v>
      </c>
      <c r="D138">
        <v>2</v>
      </c>
    </row>
    <row r="139" spans="1:4" x14ac:dyDescent="0.3">
      <c r="A139">
        <v>2019</v>
      </c>
      <c r="B139" t="s">
        <v>40</v>
      </c>
      <c r="C139" t="s">
        <v>60</v>
      </c>
      <c r="D139">
        <v>10</v>
      </c>
    </row>
    <row r="140" spans="1:4" x14ac:dyDescent="0.3">
      <c r="A140">
        <v>2019</v>
      </c>
      <c r="B140" t="s">
        <v>10</v>
      </c>
      <c r="C140" t="s">
        <v>61</v>
      </c>
      <c r="D140">
        <v>17</v>
      </c>
    </row>
    <row r="141" spans="1:4" x14ac:dyDescent="0.3">
      <c r="A141">
        <v>2019</v>
      </c>
      <c r="B141" t="s">
        <v>11</v>
      </c>
      <c r="C141" t="s">
        <v>61</v>
      </c>
      <c r="D141">
        <v>20</v>
      </c>
    </row>
    <row r="142" spans="1:4" x14ac:dyDescent="0.3">
      <c r="A142">
        <v>2019</v>
      </c>
      <c r="B142" t="s">
        <v>12</v>
      </c>
      <c r="C142" t="s">
        <v>61</v>
      </c>
      <c r="D142">
        <v>33</v>
      </c>
    </row>
    <row r="143" spans="1:4" x14ac:dyDescent="0.3">
      <c r="A143">
        <v>2019</v>
      </c>
      <c r="B143" t="s">
        <v>13</v>
      </c>
      <c r="C143" t="s">
        <v>61</v>
      </c>
      <c r="D143">
        <v>9</v>
      </c>
    </row>
    <row r="144" spans="1:4" x14ac:dyDescent="0.3">
      <c r="A144">
        <v>2019</v>
      </c>
      <c r="B144" t="s">
        <v>14</v>
      </c>
      <c r="C144" t="s">
        <v>61</v>
      </c>
      <c r="D144">
        <v>17</v>
      </c>
    </row>
    <row r="145" spans="1:4" x14ac:dyDescent="0.3">
      <c r="A145">
        <v>2019</v>
      </c>
      <c r="B145" t="s">
        <v>15</v>
      </c>
      <c r="C145" t="s">
        <v>61</v>
      </c>
      <c r="D145">
        <v>17</v>
      </c>
    </row>
    <row r="146" spans="1:4" x14ac:dyDescent="0.3">
      <c r="A146">
        <v>2019</v>
      </c>
      <c r="B146" t="s">
        <v>16</v>
      </c>
      <c r="C146" t="s">
        <v>61</v>
      </c>
      <c r="D146">
        <v>13</v>
      </c>
    </row>
    <row r="147" spans="1:4" x14ac:dyDescent="0.3">
      <c r="A147">
        <v>2019</v>
      </c>
      <c r="B147" t="s">
        <v>17</v>
      </c>
      <c r="C147" t="s">
        <v>61</v>
      </c>
      <c r="D147">
        <v>9</v>
      </c>
    </row>
    <row r="148" spans="1:4" x14ac:dyDescent="0.3">
      <c r="A148">
        <v>2019</v>
      </c>
      <c r="B148" t="s">
        <v>18</v>
      </c>
      <c r="C148" t="s">
        <v>61</v>
      </c>
      <c r="D148">
        <v>2</v>
      </c>
    </row>
    <row r="149" spans="1:4" x14ac:dyDescent="0.3">
      <c r="A149">
        <v>2019</v>
      </c>
      <c r="B149" t="s">
        <v>19</v>
      </c>
      <c r="C149" t="s">
        <v>61</v>
      </c>
      <c r="D149">
        <v>16</v>
      </c>
    </row>
    <row r="150" spans="1:4" x14ac:dyDescent="0.3">
      <c r="A150">
        <v>2019</v>
      </c>
      <c r="B150" t="s">
        <v>20</v>
      </c>
      <c r="C150" t="s">
        <v>61</v>
      </c>
      <c r="D150">
        <v>27</v>
      </c>
    </row>
    <row r="151" spans="1:4" x14ac:dyDescent="0.3">
      <c r="A151">
        <v>2019</v>
      </c>
      <c r="B151" t="s">
        <v>22</v>
      </c>
      <c r="C151" t="s">
        <v>61</v>
      </c>
      <c r="D151">
        <v>6</v>
      </c>
    </row>
    <row r="152" spans="1:4" x14ac:dyDescent="0.3">
      <c r="A152">
        <v>2019</v>
      </c>
      <c r="B152" t="s">
        <v>23</v>
      </c>
      <c r="C152" t="s">
        <v>61</v>
      </c>
      <c r="D152">
        <v>16</v>
      </c>
    </row>
    <row r="153" spans="1:4" x14ac:dyDescent="0.3">
      <c r="A153">
        <v>2019</v>
      </c>
      <c r="B153" t="s">
        <v>24</v>
      </c>
      <c r="C153" t="s">
        <v>61</v>
      </c>
      <c r="D153">
        <v>57</v>
      </c>
    </row>
    <row r="154" spans="1:4" x14ac:dyDescent="0.3">
      <c r="A154">
        <v>2019</v>
      </c>
      <c r="B154" t="s">
        <v>25</v>
      </c>
      <c r="C154" t="s">
        <v>61</v>
      </c>
      <c r="D154">
        <v>6</v>
      </c>
    </row>
    <row r="155" spans="1:4" x14ac:dyDescent="0.3">
      <c r="A155">
        <v>2019</v>
      </c>
      <c r="B155" t="s">
        <v>26</v>
      </c>
      <c r="C155" t="s">
        <v>61</v>
      </c>
      <c r="D155">
        <v>74</v>
      </c>
    </row>
    <row r="156" spans="1:4" x14ac:dyDescent="0.3">
      <c r="A156">
        <v>2019</v>
      </c>
      <c r="B156" t="s">
        <v>27</v>
      </c>
      <c r="C156" t="s">
        <v>61</v>
      </c>
      <c r="D156">
        <v>64</v>
      </c>
    </row>
    <row r="157" spans="1:4" x14ac:dyDescent="0.3">
      <c r="A157">
        <v>2019</v>
      </c>
      <c r="B157" t="s">
        <v>28</v>
      </c>
      <c r="C157" t="s">
        <v>61</v>
      </c>
      <c r="D157">
        <v>44</v>
      </c>
    </row>
    <row r="158" spans="1:4" x14ac:dyDescent="0.3">
      <c r="A158">
        <v>2019</v>
      </c>
      <c r="B158" t="s">
        <v>29</v>
      </c>
      <c r="C158" t="s">
        <v>61</v>
      </c>
      <c r="D158">
        <v>26</v>
      </c>
    </row>
    <row r="159" spans="1:4" x14ac:dyDescent="0.3">
      <c r="A159">
        <v>2019</v>
      </c>
      <c r="B159" t="s">
        <v>30</v>
      </c>
      <c r="C159" t="s">
        <v>61</v>
      </c>
      <c r="D159">
        <v>28</v>
      </c>
    </row>
    <row r="160" spans="1:4" x14ac:dyDescent="0.3">
      <c r="A160">
        <v>2019</v>
      </c>
      <c r="B160" t="s">
        <v>31</v>
      </c>
      <c r="C160" t="s">
        <v>61</v>
      </c>
      <c r="D160">
        <v>12</v>
      </c>
    </row>
    <row r="161" spans="1:4" x14ac:dyDescent="0.3">
      <c r="A161">
        <v>2019</v>
      </c>
      <c r="B161" t="s">
        <v>32</v>
      </c>
      <c r="C161" t="s">
        <v>61</v>
      </c>
      <c r="D161">
        <v>4</v>
      </c>
    </row>
    <row r="162" spans="1:4" x14ac:dyDescent="0.3">
      <c r="A162">
        <v>2019</v>
      </c>
      <c r="B162" t="s">
        <v>33</v>
      </c>
      <c r="C162" t="s">
        <v>61</v>
      </c>
      <c r="D162">
        <v>1</v>
      </c>
    </row>
    <row r="163" spans="1:4" x14ac:dyDescent="0.3">
      <c r="A163">
        <v>2019</v>
      </c>
      <c r="B163" t="s">
        <v>34</v>
      </c>
      <c r="C163" t="s">
        <v>61</v>
      </c>
      <c r="D163">
        <v>25</v>
      </c>
    </row>
    <row r="164" spans="1:4" x14ac:dyDescent="0.3">
      <c r="A164">
        <v>2019</v>
      </c>
      <c r="B164" t="s">
        <v>35</v>
      </c>
      <c r="C164" t="s">
        <v>61</v>
      </c>
      <c r="D164">
        <v>24</v>
      </c>
    </row>
    <row r="165" spans="1:4" x14ac:dyDescent="0.3">
      <c r="A165">
        <v>2019</v>
      </c>
      <c r="B165" t="s">
        <v>36</v>
      </c>
      <c r="C165" t="s">
        <v>61</v>
      </c>
      <c r="D165">
        <v>22</v>
      </c>
    </row>
    <row r="166" spans="1:4" x14ac:dyDescent="0.3">
      <c r="A166">
        <v>2019</v>
      </c>
      <c r="B166" t="s">
        <v>37</v>
      </c>
      <c r="C166" t="s">
        <v>61</v>
      </c>
      <c r="D166">
        <v>3</v>
      </c>
    </row>
    <row r="167" spans="1:4" x14ac:dyDescent="0.3">
      <c r="A167">
        <v>2019</v>
      </c>
      <c r="B167" t="s">
        <v>38</v>
      </c>
      <c r="C167" t="s">
        <v>61</v>
      </c>
      <c r="D167">
        <v>35</v>
      </c>
    </row>
    <row r="168" spans="1:4" x14ac:dyDescent="0.3">
      <c r="A168">
        <v>2019</v>
      </c>
      <c r="B168" t="s">
        <v>39</v>
      </c>
      <c r="C168" t="s">
        <v>61</v>
      </c>
      <c r="D168">
        <v>13</v>
      </c>
    </row>
    <row r="169" spans="1:4" x14ac:dyDescent="0.3">
      <c r="A169">
        <v>2019</v>
      </c>
      <c r="B169" t="s">
        <v>41</v>
      </c>
      <c r="C169" t="s">
        <v>61</v>
      </c>
      <c r="D169">
        <v>15</v>
      </c>
    </row>
    <row r="170" spans="1:4" x14ac:dyDescent="0.3">
      <c r="A170">
        <v>2019</v>
      </c>
      <c r="B170" t="s">
        <v>42</v>
      </c>
      <c r="C170" t="s">
        <v>61</v>
      </c>
      <c r="D170">
        <v>6</v>
      </c>
    </row>
    <row r="171" spans="1:4" x14ac:dyDescent="0.3">
      <c r="A171">
        <v>2019</v>
      </c>
      <c r="B171" t="s">
        <v>43</v>
      </c>
      <c r="C171" t="s">
        <v>61</v>
      </c>
      <c r="D171">
        <v>0</v>
      </c>
    </row>
    <row r="172" spans="1:4" x14ac:dyDescent="0.3">
      <c r="A172">
        <v>2019</v>
      </c>
      <c r="B172" t="s">
        <v>44</v>
      </c>
      <c r="C172" t="s">
        <v>61</v>
      </c>
      <c r="D172">
        <v>16</v>
      </c>
    </row>
    <row r="173" spans="1:4" x14ac:dyDescent="0.3">
      <c r="A173">
        <v>2019</v>
      </c>
      <c r="B173" t="s">
        <v>45</v>
      </c>
      <c r="C173" t="s">
        <v>61</v>
      </c>
      <c r="D173">
        <v>9</v>
      </c>
    </row>
    <row r="174" spans="1:4" x14ac:dyDescent="0.3">
      <c r="A174">
        <v>2019</v>
      </c>
      <c r="B174" t="s">
        <v>46</v>
      </c>
      <c r="C174" t="s">
        <v>61</v>
      </c>
      <c r="D174">
        <v>10</v>
      </c>
    </row>
    <row r="175" spans="1:4" x14ac:dyDescent="0.3">
      <c r="A175">
        <v>2019</v>
      </c>
      <c r="B175" t="s">
        <v>47</v>
      </c>
      <c r="C175" t="s">
        <v>61</v>
      </c>
      <c r="D175">
        <v>27</v>
      </c>
    </row>
    <row r="176" spans="1:4" x14ac:dyDescent="0.3">
      <c r="A176">
        <v>2019</v>
      </c>
      <c r="B176" t="s">
        <v>48</v>
      </c>
      <c r="C176" t="s">
        <v>61</v>
      </c>
      <c r="D176">
        <v>35</v>
      </c>
    </row>
    <row r="177" spans="1:4" x14ac:dyDescent="0.3">
      <c r="A177">
        <v>2019</v>
      </c>
      <c r="B177" t="s">
        <v>49</v>
      </c>
      <c r="C177" t="s">
        <v>61</v>
      </c>
      <c r="D177">
        <v>9</v>
      </c>
    </row>
    <row r="178" spans="1:4" x14ac:dyDescent="0.3">
      <c r="A178">
        <v>2019</v>
      </c>
      <c r="B178" t="s">
        <v>50</v>
      </c>
      <c r="C178" t="s">
        <v>61</v>
      </c>
      <c r="D178">
        <v>15</v>
      </c>
    </row>
    <row r="179" spans="1:4" x14ac:dyDescent="0.3">
      <c r="A179">
        <v>2019</v>
      </c>
      <c r="B179" t="s">
        <v>51</v>
      </c>
      <c r="C179" t="s">
        <v>61</v>
      </c>
      <c r="D179">
        <v>19</v>
      </c>
    </row>
    <row r="180" spans="1:4" x14ac:dyDescent="0.3">
      <c r="A180">
        <v>2019</v>
      </c>
      <c r="B180" t="s">
        <v>52</v>
      </c>
      <c r="C180" t="s">
        <v>61</v>
      </c>
      <c r="D180">
        <v>12</v>
      </c>
    </row>
    <row r="181" spans="1:4" x14ac:dyDescent="0.3">
      <c r="A181">
        <v>2019</v>
      </c>
      <c r="B181" t="s">
        <v>53</v>
      </c>
      <c r="C181" t="s">
        <v>61</v>
      </c>
      <c r="D181">
        <v>38</v>
      </c>
    </row>
    <row r="182" spans="1:4" x14ac:dyDescent="0.3">
      <c r="A182">
        <v>2019</v>
      </c>
      <c r="B182" t="s">
        <v>54</v>
      </c>
      <c r="C182" t="s">
        <v>61</v>
      </c>
      <c r="D182">
        <v>24</v>
      </c>
    </row>
    <row r="183" spans="1:4" x14ac:dyDescent="0.3">
      <c r="A183">
        <v>2019</v>
      </c>
      <c r="B183" t="s">
        <v>55</v>
      </c>
      <c r="C183" t="s">
        <v>61</v>
      </c>
      <c r="D183">
        <v>39</v>
      </c>
    </row>
    <row r="184" spans="1:4" x14ac:dyDescent="0.3">
      <c r="A184">
        <v>2019</v>
      </c>
      <c r="B184" t="s">
        <v>105</v>
      </c>
      <c r="C184" t="s">
        <v>61</v>
      </c>
      <c r="D184">
        <v>41</v>
      </c>
    </row>
    <row r="185" spans="1:4" x14ac:dyDescent="0.3">
      <c r="A185">
        <v>2019</v>
      </c>
      <c r="B185" t="s">
        <v>40</v>
      </c>
      <c r="C185" t="s">
        <v>61</v>
      </c>
      <c r="D185">
        <v>0</v>
      </c>
    </row>
    <row r="186" spans="1:4" x14ac:dyDescent="0.3">
      <c r="A186">
        <v>2020</v>
      </c>
      <c r="B186" t="s">
        <v>10</v>
      </c>
      <c r="C186" t="s">
        <v>1</v>
      </c>
      <c r="D186">
        <v>26</v>
      </c>
    </row>
    <row r="187" spans="1:4" x14ac:dyDescent="0.3">
      <c r="A187">
        <v>2020</v>
      </c>
      <c r="B187" t="s">
        <v>11</v>
      </c>
      <c r="C187" t="s">
        <v>1</v>
      </c>
      <c r="D187">
        <v>19</v>
      </c>
    </row>
    <row r="188" spans="1:4" x14ac:dyDescent="0.3">
      <c r="A188">
        <v>2020</v>
      </c>
      <c r="B188" t="s">
        <v>12</v>
      </c>
      <c r="C188" t="s">
        <v>1</v>
      </c>
      <c r="D188">
        <v>25</v>
      </c>
    </row>
    <row r="189" spans="1:4" x14ac:dyDescent="0.3">
      <c r="A189">
        <v>2020</v>
      </c>
      <c r="B189" t="s">
        <v>13</v>
      </c>
      <c r="C189" t="s">
        <v>1</v>
      </c>
      <c r="D189">
        <v>16</v>
      </c>
    </row>
    <row r="190" spans="1:4" x14ac:dyDescent="0.3">
      <c r="A190">
        <v>2020</v>
      </c>
      <c r="B190" t="s">
        <v>14</v>
      </c>
      <c r="C190" t="s">
        <v>1</v>
      </c>
      <c r="D190">
        <v>17</v>
      </c>
    </row>
    <row r="191" spans="1:4" x14ac:dyDescent="0.3">
      <c r="A191">
        <v>2020</v>
      </c>
      <c r="B191" t="s">
        <v>15</v>
      </c>
      <c r="C191" t="s">
        <v>1</v>
      </c>
      <c r="D191">
        <v>31</v>
      </c>
    </row>
    <row r="192" spans="1:4" x14ac:dyDescent="0.3">
      <c r="A192">
        <v>2020</v>
      </c>
      <c r="B192" t="s">
        <v>16</v>
      </c>
      <c r="C192" t="s">
        <v>1</v>
      </c>
      <c r="D192">
        <v>25</v>
      </c>
    </row>
    <row r="193" spans="1:4" x14ac:dyDescent="0.3">
      <c r="A193">
        <v>2020</v>
      </c>
      <c r="B193" t="s">
        <v>17</v>
      </c>
      <c r="C193" t="s">
        <v>1</v>
      </c>
      <c r="D193">
        <v>13</v>
      </c>
    </row>
    <row r="194" spans="1:4" x14ac:dyDescent="0.3">
      <c r="A194">
        <v>2020</v>
      </c>
      <c r="B194" t="s">
        <v>18</v>
      </c>
      <c r="C194" t="s">
        <v>1</v>
      </c>
      <c r="D194">
        <v>19</v>
      </c>
    </row>
    <row r="195" spans="1:4" x14ac:dyDescent="0.3">
      <c r="A195">
        <v>2020</v>
      </c>
      <c r="B195" t="s">
        <v>19</v>
      </c>
      <c r="C195" t="s">
        <v>1</v>
      </c>
      <c r="D195">
        <v>25</v>
      </c>
    </row>
    <row r="196" spans="1:4" x14ac:dyDescent="0.3">
      <c r="A196">
        <v>2020</v>
      </c>
      <c r="B196" t="s">
        <v>20</v>
      </c>
      <c r="C196" t="s">
        <v>1</v>
      </c>
      <c r="D196">
        <v>38</v>
      </c>
    </row>
    <row r="197" spans="1:4" x14ac:dyDescent="0.3">
      <c r="A197">
        <v>2020</v>
      </c>
      <c r="B197" t="s">
        <v>22</v>
      </c>
      <c r="C197" t="s">
        <v>1</v>
      </c>
      <c r="D197">
        <v>22</v>
      </c>
    </row>
    <row r="198" spans="1:4" x14ac:dyDescent="0.3">
      <c r="A198">
        <v>2020</v>
      </c>
      <c r="B198" t="s">
        <v>23</v>
      </c>
      <c r="C198" t="s">
        <v>1</v>
      </c>
      <c r="D198">
        <v>19</v>
      </c>
    </row>
    <row r="199" spans="1:4" x14ac:dyDescent="0.3">
      <c r="A199">
        <v>2020</v>
      </c>
      <c r="B199" t="s">
        <v>24</v>
      </c>
      <c r="C199" t="s">
        <v>1</v>
      </c>
      <c r="D199">
        <v>46</v>
      </c>
    </row>
    <row r="200" spans="1:4" x14ac:dyDescent="0.3">
      <c r="A200">
        <v>2020</v>
      </c>
      <c r="B200" t="s">
        <v>25</v>
      </c>
      <c r="C200" t="s">
        <v>1</v>
      </c>
      <c r="D200">
        <v>15</v>
      </c>
    </row>
    <row r="201" spans="1:4" x14ac:dyDescent="0.3">
      <c r="A201">
        <v>2020</v>
      </c>
      <c r="B201" t="s">
        <v>26</v>
      </c>
      <c r="C201" t="s">
        <v>1</v>
      </c>
      <c r="D201">
        <v>311</v>
      </c>
    </row>
    <row r="202" spans="1:4" x14ac:dyDescent="0.3">
      <c r="A202">
        <v>2020</v>
      </c>
      <c r="B202" t="s">
        <v>27</v>
      </c>
      <c r="C202" t="s">
        <v>1</v>
      </c>
      <c r="D202">
        <v>92</v>
      </c>
    </row>
    <row r="203" spans="1:4" x14ac:dyDescent="0.3">
      <c r="A203">
        <v>2020</v>
      </c>
      <c r="B203" t="s">
        <v>28</v>
      </c>
      <c r="C203" t="s">
        <v>1</v>
      </c>
      <c r="D203">
        <v>58</v>
      </c>
    </row>
    <row r="204" spans="1:4" x14ac:dyDescent="0.3">
      <c r="A204">
        <v>2020</v>
      </c>
      <c r="B204" t="s">
        <v>29</v>
      </c>
      <c r="C204" t="s">
        <v>1</v>
      </c>
      <c r="D204">
        <v>28</v>
      </c>
    </row>
    <row r="205" spans="1:4" x14ac:dyDescent="0.3">
      <c r="A205">
        <v>2020</v>
      </c>
      <c r="B205" t="s">
        <v>30</v>
      </c>
      <c r="C205" t="s">
        <v>1</v>
      </c>
      <c r="D205">
        <v>37</v>
      </c>
    </row>
    <row r="206" spans="1:4" x14ac:dyDescent="0.3">
      <c r="A206">
        <v>2020</v>
      </c>
      <c r="B206" t="s">
        <v>31</v>
      </c>
      <c r="C206" t="s">
        <v>1</v>
      </c>
      <c r="D206">
        <v>48</v>
      </c>
    </row>
    <row r="207" spans="1:4" x14ac:dyDescent="0.3">
      <c r="A207">
        <v>2020</v>
      </c>
      <c r="B207" t="s">
        <v>32</v>
      </c>
      <c r="C207" t="s">
        <v>1</v>
      </c>
      <c r="D207">
        <v>2</v>
      </c>
    </row>
    <row r="208" spans="1:4" x14ac:dyDescent="0.3">
      <c r="A208">
        <v>2020</v>
      </c>
      <c r="B208" t="s">
        <v>33</v>
      </c>
      <c r="C208" t="s">
        <v>1</v>
      </c>
      <c r="D208">
        <v>0</v>
      </c>
    </row>
    <row r="209" spans="1:4" x14ac:dyDescent="0.3">
      <c r="A209">
        <v>2020</v>
      </c>
      <c r="B209" t="s">
        <v>34</v>
      </c>
      <c r="C209" t="s">
        <v>1</v>
      </c>
      <c r="D209">
        <v>61</v>
      </c>
    </row>
    <row r="210" spans="1:4" x14ac:dyDescent="0.3">
      <c r="A210">
        <v>2020</v>
      </c>
      <c r="B210" t="s">
        <v>35</v>
      </c>
      <c r="C210" t="s">
        <v>1</v>
      </c>
      <c r="D210">
        <v>42</v>
      </c>
    </row>
    <row r="211" spans="1:4" x14ac:dyDescent="0.3">
      <c r="A211">
        <v>2020</v>
      </c>
      <c r="B211" t="s">
        <v>36</v>
      </c>
      <c r="C211" t="s">
        <v>1</v>
      </c>
      <c r="D211">
        <v>19</v>
      </c>
    </row>
    <row r="212" spans="1:4" x14ac:dyDescent="0.3">
      <c r="A212">
        <v>2020</v>
      </c>
      <c r="B212" t="s">
        <v>37</v>
      </c>
      <c r="C212" t="s">
        <v>1</v>
      </c>
      <c r="D212">
        <v>8</v>
      </c>
    </row>
    <row r="213" spans="1:4" x14ac:dyDescent="0.3">
      <c r="A213">
        <v>2020</v>
      </c>
      <c r="B213" t="s">
        <v>38</v>
      </c>
      <c r="C213" t="s">
        <v>1</v>
      </c>
      <c r="D213">
        <v>66</v>
      </c>
    </row>
    <row r="214" spans="1:4" x14ac:dyDescent="0.3">
      <c r="A214">
        <v>2020</v>
      </c>
      <c r="B214" t="s">
        <v>39</v>
      </c>
      <c r="C214" t="s">
        <v>1</v>
      </c>
      <c r="D214">
        <v>29</v>
      </c>
    </row>
    <row r="215" spans="1:4" x14ac:dyDescent="0.3">
      <c r="A215">
        <v>2020</v>
      </c>
      <c r="B215" t="s">
        <v>41</v>
      </c>
      <c r="C215" t="s">
        <v>1</v>
      </c>
      <c r="D215">
        <v>11</v>
      </c>
    </row>
    <row r="216" spans="1:4" x14ac:dyDescent="0.3">
      <c r="A216">
        <v>2020</v>
      </c>
      <c r="B216" t="s">
        <v>42</v>
      </c>
      <c r="C216" t="s">
        <v>1</v>
      </c>
      <c r="D216">
        <v>12</v>
      </c>
    </row>
    <row r="217" spans="1:4" x14ac:dyDescent="0.3">
      <c r="A217">
        <v>2020</v>
      </c>
      <c r="B217" t="s">
        <v>43</v>
      </c>
      <c r="C217" t="s">
        <v>1</v>
      </c>
      <c r="D217">
        <v>17</v>
      </c>
    </row>
    <row r="218" spans="1:4" x14ac:dyDescent="0.3">
      <c r="A218">
        <v>2020</v>
      </c>
      <c r="B218" t="s">
        <v>44</v>
      </c>
      <c r="C218" t="s">
        <v>1</v>
      </c>
      <c r="D218">
        <v>37</v>
      </c>
    </row>
    <row r="219" spans="1:4" x14ac:dyDescent="0.3">
      <c r="A219">
        <v>2020</v>
      </c>
      <c r="B219" t="s">
        <v>45</v>
      </c>
      <c r="C219" t="s">
        <v>1</v>
      </c>
      <c r="D219">
        <v>18</v>
      </c>
    </row>
    <row r="220" spans="1:4" x14ac:dyDescent="0.3">
      <c r="A220">
        <v>2020</v>
      </c>
      <c r="B220" t="s">
        <v>46</v>
      </c>
      <c r="C220" t="s">
        <v>1</v>
      </c>
      <c r="D220">
        <v>10</v>
      </c>
    </row>
    <row r="221" spans="1:4" x14ac:dyDescent="0.3">
      <c r="A221">
        <v>2020</v>
      </c>
      <c r="B221" t="s">
        <v>47</v>
      </c>
      <c r="C221" t="s">
        <v>1</v>
      </c>
      <c r="D221">
        <v>54</v>
      </c>
    </row>
    <row r="222" spans="1:4" x14ac:dyDescent="0.3">
      <c r="A222">
        <v>2020</v>
      </c>
      <c r="B222" t="s">
        <v>48</v>
      </c>
      <c r="C222" t="s">
        <v>1</v>
      </c>
      <c r="D222">
        <v>20</v>
      </c>
    </row>
    <row r="223" spans="1:4" x14ac:dyDescent="0.3">
      <c r="A223">
        <v>2020</v>
      </c>
      <c r="B223" t="s">
        <v>49</v>
      </c>
      <c r="C223" t="s">
        <v>1</v>
      </c>
      <c r="D223">
        <v>11</v>
      </c>
    </row>
    <row r="224" spans="1:4" x14ac:dyDescent="0.3">
      <c r="A224">
        <v>2020</v>
      </c>
      <c r="B224" t="s">
        <v>50</v>
      </c>
      <c r="C224" t="s">
        <v>1</v>
      </c>
      <c r="D224">
        <v>54</v>
      </c>
    </row>
    <row r="225" spans="1:4" x14ac:dyDescent="0.3">
      <c r="A225">
        <v>2020</v>
      </c>
      <c r="B225" t="s">
        <v>51</v>
      </c>
      <c r="C225" t="s">
        <v>1</v>
      </c>
      <c r="D225">
        <v>53</v>
      </c>
    </row>
    <row r="226" spans="1:4" x14ac:dyDescent="0.3">
      <c r="A226">
        <v>2020</v>
      </c>
      <c r="B226" t="s">
        <v>52</v>
      </c>
      <c r="C226" t="s">
        <v>1</v>
      </c>
      <c r="D226">
        <v>15</v>
      </c>
    </row>
    <row r="227" spans="1:4" x14ac:dyDescent="0.3">
      <c r="A227">
        <v>2020</v>
      </c>
      <c r="B227" t="s">
        <v>53</v>
      </c>
      <c r="C227" t="s">
        <v>1</v>
      </c>
      <c r="D227">
        <v>88</v>
      </c>
    </row>
    <row r="228" spans="1:4" x14ac:dyDescent="0.3">
      <c r="A228">
        <v>2020</v>
      </c>
      <c r="B228" t="s">
        <v>54</v>
      </c>
      <c r="C228" t="s">
        <v>1</v>
      </c>
      <c r="D228">
        <v>15</v>
      </c>
    </row>
    <row r="229" spans="1:4" x14ac:dyDescent="0.3">
      <c r="A229">
        <v>2020</v>
      </c>
      <c r="B229" t="s">
        <v>55</v>
      </c>
      <c r="C229" t="s">
        <v>1</v>
      </c>
      <c r="D229">
        <v>86</v>
      </c>
    </row>
    <row r="230" spans="1:4" x14ac:dyDescent="0.3">
      <c r="A230">
        <v>2020</v>
      </c>
      <c r="B230" t="s">
        <v>105</v>
      </c>
      <c r="C230" t="s">
        <v>1</v>
      </c>
      <c r="D230">
        <v>40</v>
      </c>
    </row>
    <row r="231" spans="1:4" x14ac:dyDescent="0.3">
      <c r="A231">
        <v>2020</v>
      </c>
      <c r="B231" t="s">
        <v>40</v>
      </c>
      <c r="C231" t="s">
        <v>1</v>
      </c>
      <c r="D231">
        <v>0</v>
      </c>
    </row>
    <row r="232" spans="1:4" x14ac:dyDescent="0.3">
      <c r="A232">
        <v>2020</v>
      </c>
      <c r="B232" t="s">
        <v>10</v>
      </c>
      <c r="C232" t="s">
        <v>59</v>
      </c>
      <c r="D232">
        <v>11</v>
      </c>
    </row>
    <row r="233" spans="1:4" x14ac:dyDescent="0.3">
      <c r="A233">
        <v>2020</v>
      </c>
      <c r="B233" t="s">
        <v>11</v>
      </c>
      <c r="C233" t="s">
        <v>59</v>
      </c>
      <c r="D233">
        <v>14</v>
      </c>
    </row>
    <row r="234" spans="1:4" x14ac:dyDescent="0.3">
      <c r="A234">
        <v>2020</v>
      </c>
      <c r="B234" t="s">
        <v>12</v>
      </c>
      <c r="C234" t="s">
        <v>59</v>
      </c>
      <c r="D234">
        <v>14</v>
      </c>
    </row>
    <row r="235" spans="1:4" x14ac:dyDescent="0.3">
      <c r="A235">
        <v>2020</v>
      </c>
      <c r="B235" t="s">
        <v>13</v>
      </c>
      <c r="C235" t="s">
        <v>59</v>
      </c>
      <c r="D235">
        <v>29</v>
      </c>
    </row>
    <row r="236" spans="1:4" x14ac:dyDescent="0.3">
      <c r="A236">
        <v>2020</v>
      </c>
      <c r="B236" t="s">
        <v>14</v>
      </c>
      <c r="C236" t="s">
        <v>59</v>
      </c>
      <c r="D236">
        <v>22</v>
      </c>
    </row>
    <row r="237" spans="1:4" x14ac:dyDescent="0.3">
      <c r="A237">
        <v>2020</v>
      </c>
      <c r="B237" t="s">
        <v>15</v>
      </c>
      <c r="C237" t="s">
        <v>59</v>
      </c>
      <c r="D237">
        <v>36</v>
      </c>
    </row>
    <row r="238" spans="1:4" x14ac:dyDescent="0.3">
      <c r="A238">
        <v>2020</v>
      </c>
      <c r="B238" t="s">
        <v>16</v>
      </c>
      <c r="C238" t="s">
        <v>59</v>
      </c>
      <c r="D238">
        <v>15</v>
      </c>
    </row>
    <row r="239" spans="1:4" x14ac:dyDescent="0.3">
      <c r="A239">
        <v>2020</v>
      </c>
      <c r="B239" t="s">
        <v>17</v>
      </c>
      <c r="C239" t="s">
        <v>59</v>
      </c>
      <c r="D239">
        <v>24</v>
      </c>
    </row>
    <row r="240" spans="1:4" x14ac:dyDescent="0.3">
      <c r="A240">
        <v>2020</v>
      </c>
      <c r="B240" t="s">
        <v>18</v>
      </c>
      <c r="C240" t="s">
        <v>59</v>
      </c>
      <c r="D240">
        <v>35</v>
      </c>
    </row>
    <row r="241" spans="1:4" x14ac:dyDescent="0.3">
      <c r="A241">
        <v>2020</v>
      </c>
      <c r="B241" t="s">
        <v>19</v>
      </c>
      <c r="C241" t="s">
        <v>59</v>
      </c>
      <c r="D241">
        <v>47</v>
      </c>
    </row>
    <row r="242" spans="1:4" x14ac:dyDescent="0.3">
      <c r="A242">
        <v>2020</v>
      </c>
      <c r="B242" t="s">
        <v>20</v>
      </c>
      <c r="C242" t="s">
        <v>59</v>
      </c>
      <c r="D242">
        <v>110</v>
      </c>
    </row>
    <row r="243" spans="1:4" x14ac:dyDescent="0.3">
      <c r="A243">
        <v>2020</v>
      </c>
      <c r="B243" t="s">
        <v>22</v>
      </c>
      <c r="C243" t="s">
        <v>59</v>
      </c>
      <c r="D243">
        <v>17</v>
      </c>
    </row>
    <row r="244" spans="1:4" x14ac:dyDescent="0.3">
      <c r="A244">
        <v>2020</v>
      </c>
      <c r="B244" t="s">
        <v>23</v>
      </c>
      <c r="C244" t="s">
        <v>59</v>
      </c>
      <c r="D244">
        <v>18</v>
      </c>
    </row>
    <row r="245" spans="1:4" x14ac:dyDescent="0.3">
      <c r="A245">
        <v>2020</v>
      </c>
      <c r="B245" t="s">
        <v>24</v>
      </c>
      <c r="C245" t="s">
        <v>59</v>
      </c>
      <c r="D245">
        <v>78</v>
      </c>
    </row>
    <row r="246" spans="1:4" x14ac:dyDescent="0.3">
      <c r="A246">
        <v>2020</v>
      </c>
      <c r="B246" t="s">
        <v>25</v>
      </c>
      <c r="C246" t="s">
        <v>59</v>
      </c>
      <c r="D246">
        <v>49</v>
      </c>
    </row>
    <row r="247" spans="1:4" x14ac:dyDescent="0.3">
      <c r="A247">
        <v>2020</v>
      </c>
      <c r="B247" t="s">
        <v>26</v>
      </c>
      <c r="C247" t="s">
        <v>59</v>
      </c>
      <c r="D247">
        <v>0</v>
      </c>
    </row>
    <row r="248" spans="1:4" x14ac:dyDescent="0.3">
      <c r="A248">
        <v>2020</v>
      </c>
      <c r="B248" t="s">
        <v>27</v>
      </c>
      <c r="C248" t="s">
        <v>59</v>
      </c>
      <c r="D248">
        <v>0</v>
      </c>
    </row>
    <row r="249" spans="1:4" x14ac:dyDescent="0.3">
      <c r="A249">
        <v>2020</v>
      </c>
      <c r="B249" t="s">
        <v>28</v>
      </c>
      <c r="C249" t="s">
        <v>59</v>
      </c>
      <c r="D249">
        <v>78</v>
      </c>
    </row>
    <row r="250" spans="1:4" x14ac:dyDescent="0.3">
      <c r="A250">
        <v>2020</v>
      </c>
      <c r="B250" t="s">
        <v>29</v>
      </c>
      <c r="C250" t="s">
        <v>59</v>
      </c>
      <c r="D250">
        <v>40</v>
      </c>
    </row>
    <row r="251" spans="1:4" x14ac:dyDescent="0.3">
      <c r="A251">
        <v>2020</v>
      </c>
      <c r="B251" t="s">
        <v>30</v>
      </c>
      <c r="C251" t="s">
        <v>59</v>
      </c>
      <c r="D251">
        <v>32</v>
      </c>
    </row>
    <row r="252" spans="1:4" x14ac:dyDescent="0.3">
      <c r="A252">
        <v>2020</v>
      </c>
      <c r="B252" t="s">
        <v>31</v>
      </c>
      <c r="C252" t="s">
        <v>59</v>
      </c>
      <c r="D252">
        <v>30</v>
      </c>
    </row>
    <row r="253" spans="1:4" x14ac:dyDescent="0.3">
      <c r="A253">
        <v>2020</v>
      </c>
      <c r="B253" t="s">
        <v>32</v>
      </c>
      <c r="C253" t="s">
        <v>59</v>
      </c>
      <c r="D253">
        <v>9</v>
      </c>
    </row>
    <row r="254" spans="1:4" x14ac:dyDescent="0.3">
      <c r="A254">
        <v>2020</v>
      </c>
      <c r="B254" t="s">
        <v>33</v>
      </c>
      <c r="C254" t="s">
        <v>59</v>
      </c>
      <c r="D254">
        <v>5</v>
      </c>
    </row>
    <row r="255" spans="1:4" x14ac:dyDescent="0.3">
      <c r="A255">
        <v>2020</v>
      </c>
      <c r="B255" t="s">
        <v>34</v>
      </c>
      <c r="C255" t="s">
        <v>59</v>
      </c>
      <c r="D255">
        <v>35</v>
      </c>
    </row>
    <row r="256" spans="1:4" x14ac:dyDescent="0.3">
      <c r="A256">
        <v>2020</v>
      </c>
      <c r="B256" t="s">
        <v>35</v>
      </c>
      <c r="C256" t="s">
        <v>59</v>
      </c>
      <c r="D256">
        <v>48</v>
      </c>
    </row>
    <row r="257" spans="1:4" x14ac:dyDescent="0.3">
      <c r="A257">
        <v>2020</v>
      </c>
      <c r="B257" t="s">
        <v>36</v>
      </c>
      <c r="C257" t="s">
        <v>59</v>
      </c>
      <c r="D257">
        <v>24</v>
      </c>
    </row>
    <row r="258" spans="1:4" x14ac:dyDescent="0.3">
      <c r="A258">
        <v>2020</v>
      </c>
      <c r="B258" t="s">
        <v>37</v>
      </c>
      <c r="C258" t="s">
        <v>59</v>
      </c>
      <c r="D258">
        <v>52</v>
      </c>
    </row>
    <row r="259" spans="1:4" x14ac:dyDescent="0.3">
      <c r="A259">
        <v>2020</v>
      </c>
      <c r="B259" t="s">
        <v>38</v>
      </c>
      <c r="C259" t="s">
        <v>59</v>
      </c>
      <c r="D259">
        <v>14</v>
      </c>
    </row>
    <row r="260" spans="1:4" x14ac:dyDescent="0.3">
      <c r="A260">
        <v>2020</v>
      </c>
      <c r="B260" t="s">
        <v>39</v>
      </c>
      <c r="C260" t="s">
        <v>59</v>
      </c>
      <c r="D260">
        <v>42</v>
      </c>
    </row>
    <row r="261" spans="1:4" x14ac:dyDescent="0.3">
      <c r="A261">
        <v>2020</v>
      </c>
      <c r="B261" t="s">
        <v>41</v>
      </c>
      <c r="C261" t="s">
        <v>59</v>
      </c>
      <c r="D261">
        <v>43</v>
      </c>
    </row>
    <row r="262" spans="1:4" x14ac:dyDescent="0.3">
      <c r="A262">
        <v>2020</v>
      </c>
      <c r="B262" t="s">
        <v>42</v>
      </c>
      <c r="C262" t="s">
        <v>59</v>
      </c>
      <c r="D262">
        <v>28</v>
      </c>
    </row>
    <row r="263" spans="1:4" x14ac:dyDescent="0.3">
      <c r="A263">
        <v>2020</v>
      </c>
      <c r="B263" t="s">
        <v>43</v>
      </c>
      <c r="C263" t="s">
        <v>59</v>
      </c>
      <c r="D263">
        <v>13</v>
      </c>
    </row>
    <row r="264" spans="1:4" x14ac:dyDescent="0.3">
      <c r="A264">
        <v>2020</v>
      </c>
      <c r="B264" t="s">
        <v>44</v>
      </c>
      <c r="C264" t="s">
        <v>59</v>
      </c>
      <c r="D264">
        <v>31</v>
      </c>
    </row>
    <row r="265" spans="1:4" x14ac:dyDescent="0.3">
      <c r="A265">
        <v>2020</v>
      </c>
      <c r="B265" t="s">
        <v>45</v>
      </c>
      <c r="C265" t="s">
        <v>59</v>
      </c>
      <c r="D265">
        <v>54</v>
      </c>
    </row>
    <row r="266" spans="1:4" x14ac:dyDescent="0.3">
      <c r="A266">
        <v>2020</v>
      </c>
      <c r="B266" t="s">
        <v>46</v>
      </c>
      <c r="C266" t="s">
        <v>59</v>
      </c>
      <c r="D266">
        <v>29</v>
      </c>
    </row>
    <row r="267" spans="1:4" x14ac:dyDescent="0.3">
      <c r="A267">
        <v>2020</v>
      </c>
      <c r="B267" t="s">
        <v>47</v>
      </c>
      <c r="C267" t="s">
        <v>59</v>
      </c>
      <c r="D267">
        <v>9</v>
      </c>
    </row>
    <row r="268" spans="1:4" x14ac:dyDescent="0.3">
      <c r="A268">
        <v>2020</v>
      </c>
      <c r="B268" t="s">
        <v>48</v>
      </c>
      <c r="C268" t="s">
        <v>59</v>
      </c>
      <c r="D268">
        <v>31</v>
      </c>
    </row>
    <row r="269" spans="1:4" x14ac:dyDescent="0.3">
      <c r="A269">
        <v>2020</v>
      </c>
      <c r="B269" t="s">
        <v>49</v>
      </c>
      <c r="C269" t="s">
        <v>59</v>
      </c>
      <c r="D269">
        <v>47</v>
      </c>
    </row>
    <row r="270" spans="1:4" x14ac:dyDescent="0.3">
      <c r="A270">
        <v>2020</v>
      </c>
      <c r="B270" t="s">
        <v>50</v>
      </c>
      <c r="C270" t="s">
        <v>59</v>
      </c>
      <c r="D270">
        <v>8</v>
      </c>
    </row>
    <row r="271" spans="1:4" x14ac:dyDescent="0.3">
      <c r="A271">
        <v>2020</v>
      </c>
      <c r="B271" t="s">
        <v>51</v>
      </c>
      <c r="C271" t="s">
        <v>59</v>
      </c>
      <c r="D271">
        <v>1</v>
      </c>
    </row>
    <row r="272" spans="1:4" x14ac:dyDescent="0.3">
      <c r="A272">
        <v>2020</v>
      </c>
      <c r="B272" t="s">
        <v>52</v>
      </c>
      <c r="C272" t="s">
        <v>59</v>
      </c>
      <c r="D272">
        <v>7</v>
      </c>
    </row>
    <row r="273" spans="1:4" x14ac:dyDescent="0.3">
      <c r="A273">
        <v>2020</v>
      </c>
      <c r="B273" t="s">
        <v>53</v>
      </c>
      <c r="C273" t="s">
        <v>59</v>
      </c>
      <c r="D273">
        <v>0</v>
      </c>
    </row>
    <row r="274" spans="1:4" x14ac:dyDescent="0.3">
      <c r="A274">
        <v>2020</v>
      </c>
      <c r="B274" t="s">
        <v>54</v>
      </c>
      <c r="C274" t="s">
        <v>59</v>
      </c>
      <c r="D274">
        <v>24</v>
      </c>
    </row>
    <row r="275" spans="1:4" x14ac:dyDescent="0.3">
      <c r="A275">
        <v>2020</v>
      </c>
      <c r="B275" t="s">
        <v>55</v>
      </c>
      <c r="C275" t="s">
        <v>59</v>
      </c>
      <c r="D275">
        <v>7</v>
      </c>
    </row>
    <row r="276" spans="1:4" x14ac:dyDescent="0.3">
      <c r="A276">
        <v>2020</v>
      </c>
      <c r="B276" t="s">
        <v>105</v>
      </c>
      <c r="C276" t="s">
        <v>59</v>
      </c>
      <c r="D276">
        <v>83</v>
      </c>
    </row>
    <row r="277" spans="1:4" x14ac:dyDescent="0.3">
      <c r="A277">
        <v>2020</v>
      </c>
      <c r="B277" t="s">
        <v>40</v>
      </c>
      <c r="C277" t="s">
        <v>59</v>
      </c>
      <c r="D277">
        <v>0</v>
      </c>
    </row>
    <row r="278" spans="1:4" x14ac:dyDescent="0.3">
      <c r="A278">
        <v>2020</v>
      </c>
      <c r="B278" t="s">
        <v>10</v>
      </c>
      <c r="C278" t="s">
        <v>60</v>
      </c>
      <c r="D278">
        <v>1</v>
      </c>
    </row>
    <row r="279" spans="1:4" x14ac:dyDescent="0.3">
      <c r="A279">
        <v>2020</v>
      </c>
      <c r="B279" t="s">
        <v>11</v>
      </c>
      <c r="C279" t="s">
        <v>60</v>
      </c>
      <c r="D279">
        <v>3</v>
      </c>
    </row>
    <row r="280" spans="1:4" x14ac:dyDescent="0.3">
      <c r="A280">
        <v>2020</v>
      </c>
      <c r="B280" t="s">
        <v>12</v>
      </c>
      <c r="C280" t="s">
        <v>60</v>
      </c>
      <c r="D280">
        <v>3</v>
      </c>
    </row>
    <row r="281" spans="1:4" x14ac:dyDescent="0.3">
      <c r="A281">
        <v>2020</v>
      </c>
      <c r="B281" t="s">
        <v>13</v>
      </c>
      <c r="C281" t="s">
        <v>60</v>
      </c>
      <c r="D281">
        <v>0</v>
      </c>
    </row>
    <row r="282" spans="1:4" x14ac:dyDescent="0.3">
      <c r="A282">
        <v>2020</v>
      </c>
      <c r="B282" t="s">
        <v>14</v>
      </c>
      <c r="C282" t="s">
        <v>60</v>
      </c>
      <c r="D282">
        <v>6</v>
      </c>
    </row>
    <row r="283" spans="1:4" x14ac:dyDescent="0.3">
      <c r="A283">
        <v>2020</v>
      </c>
      <c r="B283" t="s">
        <v>15</v>
      </c>
      <c r="C283" t="s">
        <v>60</v>
      </c>
      <c r="D283">
        <v>0</v>
      </c>
    </row>
    <row r="284" spans="1:4" x14ac:dyDescent="0.3">
      <c r="A284">
        <v>2020</v>
      </c>
      <c r="B284" t="s">
        <v>16</v>
      </c>
      <c r="C284" t="s">
        <v>60</v>
      </c>
      <c r="D284">
        <v>4</v>
      </c>
    </row>
    <row r="285" spans="1:4" x14ac:dyDescent="0.3">
      <c r="A285">
        <v>2020</v>
      </c>
      <c r="B285" t="s">
        <v>17</v>
      </c>
      <c r="C285" t="s">
        <v>60</v>
      </c>
      <c r="D285">
        <v>2</v>
      </c>
    </row>
    <row r="286" spans="1:4" x14ac:dyDescent="0.3">
      <c r="A286">
        <v>2020</v>
      </c>
      <c r="B286" t="s">
        <v>18</v>
      </c>
      <c r="C286" t="s">
        <v>60</v>
      </c>
      <c r="D286">
        <v>0</v>
      </c>
    </row>
    <row r="287" spans="1:4" x14ac:dyDescent="0.3">
      <c r="A287">
        <v>2020</v>
      </c>
      <c r="B287" t="s">
        <v>19</v>
      </c>
      <c r="C287" t="s">
        <v>60</v>
      </c>
      <c r="D287">
        <v>17</v>
      </c>
    </row>
    <row r="288" spans="1:4" x14ac:dyDescent="0.3">
      <c r="A288">
        <v>2020</v>
      </c>
      <c r="B288" t="s">
        <v>20</v>
      </c>
      <c r="C288" t="s">
        <v>60</v>
      </c>
      <c r="D288">
        <v>2</v>
      </c>
    </row>
    <row r="289" spans="1:4" x14ac:dyDescent="0.3">
      <c r="A289">
        <v>2020</v>
      </c>
      <c r="B289" t="s">
        <v>22</v>
      </c>
      <c r="C289" t="s">
        <v>60</v>
      </c>
      <c r="D289">
        <v>0</v>
      </c>
    </row>
    <row r="290" spans="1:4" x14ac:dyDescent="0.3">
      <c r="A290">
        <v>2020</v>
      </c>
      <c r="B290" t="s">
        <v>23</v>
      </c>
      <c r="C290" t="s">
        <v>60</v>
      </c>
      <c r="D290">
        <v>18</v>
      </c>
    </row>
    <row r="291" spans="1:4" x14ac:dyDescent="0.3">
      <c r="A291">
        <v>2020</v>
      </c>
      <c r="B291" t="s">
        <v>24</v>
      </c>
      <c r="C291" t="s">
        <v>60</v>
      </c>
      <c r="D291">
        <v>0</v>
      </c>
    </row>
    <row r="292" spans="1:4" x14ac:dyDescent="0.3">
      <c r="A292">
        <v>2020</v>
      </c>
      <c r="B292" t="s">
        <v>25</v>
      </c>
      <c r="C292" t="s">
        <v>60</v>
      </c>
      <c r="D292">
        <v>1</v>
      </c>
    </row>
    <row r="293" spans="1:4" x14ac:dyDescent="0.3">
      <c r="A293">
        <v>2020</v>
      </c>
      <c r="B293" t="s">
        <v>26</v>
      </c>
      <c r="C293" t="s">
        <v>60</v>
      </c>
      <c r="D293">
        <v>9</v>
      </c>
    </row>
    <row r="294" spans="1:4" x14ac:dyDescent="0.3">
      <c r="A294">
        <v>2020</v>
      </c>
      <c r="B294" t="s">
        <v>27</v>
      </c>
      <c r="C294" t="s">
        <v>60</v>
      </c>
      <c r="D294">
        <v>0</v>
      </c>
    </row>
    <row r="295" spans="1:4" x14ac:dyDescent="0.3">
      <c r="A295">
        <v>2020</v>
      </c>
      <c r="B295" t="s">
        <v>28</v>
      </c>
      <c r="C295" t="s">
        <v>60</v>
      </c>
      <c r="D295">
        <v>2</v>
      </c>
    </row>
    <row r="296" spans="1:4" x14ac:dyDescent="0.3">
      <c r="A296">
        <v>2020</v>
      </c>
      <c r="B296" t="s">
        <v>29</v>
      </c>
      <c r="C296" t="s">
        <v>60</v>
      </c>
      <c r="D296">
        <v>0</v>
      </c>
    </row>
    <row r="297" spans="1:4" x14ac:dyDescent="0.3">
      <c r="A297">
        <v>2020</v>
      </c>
      <c r="B297" t="s">
        <v>30</v>
      </c>
      <c r="C297" t="s">
        <v>60</v>
      </c>
      <c r="D297">
        <v>7</v>
      </c>
    </row>
    <row r="298" spans="1:4" x14ac:dyDescent="0.3">
      <c r="A298">
        <v>2020</v>
      </c>
      <c r="B298" t="s">
        <v>31</v>
      </c>
      <c r="C298" t="s">
        <v>60</v>
      </c>
      <c r="D298">
        <v>0</v>
      </c>
    </row>
    <row r="299" spans="1:4" x14ac:dyDescent="0.3">
      <c r="A299">
        <v>2020</v>
      </c>
      <c r="B299" t="s">
        <v>32</v>
      </c>
      <c r="C299" t="s">
        <v>60</v>
      </c>
      <c r="D299">
        <v>0</v>
      </c>
    </row>
    <row r="300" spans="1:4" x14ac:dyDescent="0.3">
      <c r="A300">
        <v>2020</v>
      </c>
      <c r="B300" t="s">
        <v>33</v>
      </c>
      <c r="C300" t="s">
        <v>60</v>
      </c>
      <c r="D300">
        <v>0</v>
      </c>
    </row>
    <row r="301" spans="1:4" x14ac:dyDescent="0.3">
      <c r="A301">
        <v>2020</v>
      </c>
      <c r="B301" t="s">
        <v>34</v>
      </c>
      <c r="C301" t="s">
        <v>60</v>
      </c>
      <c r="D301">
        <v>1</v>
      </c>
    </row>
    <row r="302" spans="1:4" x14ac:dyDescent="0.3">
      <c r="A302">
        <v>2020</v>
      </c>
      <c r="B302" t="s">
        <v>35</v>
      </c>
      <c r="C302" t="s">
        <v>60</v>
      </c>
      <c r="D302">
        <v>0</v>
      </c>
    </row>
    <row r="303" spans="1:4" x14ac:dyDescent="0.3">
      <c r="A303">
        <v>2020</v>
      </c>
      <c r="B303" t="s">
        <v>36</v>
      </c>
      <c r="C303" t="s">
        <v>60</v>
      </c>
      <c r="D303">
        <v>2</v>
      </c>
    </row>
    <row r="304" spans="1:4" x14ac:dyDescent="0.3">
      <c r="A304">
        <v>2020</v>
      </c>
      <c r="B304" t="s">
        <v>37</v>
      </c>
      <c r="C304" t="s">
        <v>60</v>
      </c>
      <c r="D304">
        <v>1</v>
      </c>
    </row>
    <row r="305" spans="1:4" x14ac:dyDescent="0.3">
      <c r="A305">
        <v>2020</v>
      </c>
      <c r="B305" t="s">
        <v>38</v>
      </c>
      <c r="C305" t="s">
        <v>60</v>
      </c>
      <c r="D305">
        <v>4</v>
      </c>
    </row>
    <row r="306" spans="1:4" x14ac:dyDescent="0.3">
      <c r="A306">
        <v>2020</v>
      </c>
      <c r="B306" t="s">
        <v>39</v>
      </c>
      <c r="C306" t="s">
        <v>60</v>
      </c>
      <c r="D306">
        <v>0</v>
      </c>
    </row>
    <row r="307" spans="1:4" x14ac:dyDescent="0.3">
      <c r="A307">
        <v>2020</v>
      </c>
      <c r="B307" t="s">
        <v>41</v>
      </c>
      <c r="C307" t="s">
        <v>60</v>
      </c>
      <c r="D307">
        <v>0</v>
      </c>
    </row>
    <row r="308" spans="1:4" x14ac:dyDescent="0.3">
      <c r="A308">
        <v>2020</v>
      </c>
      <c r="B308" t="s">
        <v>42</v>
      </c>
      <c r="C308" t="s">
        <v>60</v>
      </c>
      <c r="D308">
        <v>2</v>
      </c>
    </row>
    <row r="309" spans="1:4" x14ac:dyDescent="0.3">
      <c r="A309">
        <v>2020</v>
      </c>
      <c r="B309" t="s">
        <v>43</v>
      </c>
      <c r="C309" t="s">
        <v>60</v>
      </c>
      <c r="D309">
        <v>2</v>
      </c>
    </row>
    <row r="310" spans="1:4" x14ac:dyDescent="0.3">
      <c r="A310">
        <v>2020</v>
      </c>
      <c r="B310" t="s">
        <v>44</v>
      </c>
      <c r="C310" t="s">
        <v>60</v>
      </c>
      <c r="D310">
        <v>0</v>
      </c>
    </row>
    <row r="311" spans="1:4" x14ac:dyDescent="0.3">
      <c r="A311">
        <v>2020</v>
      </c>
      <c r="B311" t="s">
        <v>45</v>
      </c>
      <c r="C311" t="s">
        <v>60</v>
      </c>
      <c r="D311">
        <v>0</v>
      </c>
    </row>
    <row r="312" spans="1:4" x14ac:dyDescent="0.3">
      <c r="A312">
        <v>2020</v>
      </c>
      <c r="B312" t="s">
        <v>46</v>
      </c>
      <c r="C312" t="s">
        <v>60</v>
      </c>
      <c r="D312">
        <v>2</v>
      </c>
    </row>
    <row r="313" spans="1:4" x14ac:dyDescent="0.3">
      <c r="A313">
        <v>2020</v>
      </c>
      <c r="B313" t="s">
        <v>47</v>
      </c>
      <c r="C313" t="s">
        <v>60</v>
      </c>
      <c r="D313">
        <v>1</v>
      </c>
    </row>
    <row r="314" spans="1:4" x14ac:dyDescent="0.3">
      <c r="A314">
        <v>2020</v>
      </c>
      <c r="B314" t="s">
        <v>48</v>
      </c>
      <c r="C314" t="s">
        <v>60</v>
      </c>
      <c r="D314">
        <v>0</v>
      </c>
    </row>
    <row r="315" spans="1:4" x14ac:dyDescent="0.3">
      <c r="A315">
        <v>2020</v>
      </c>
      <c r="B315" t="s">
        <v>49</v>
      </c>
      <c r="C315" t="s">
        <v>60</v>
      </c>
      <c r="D315">
        <v>0</v>
      </c>
    </row>
    <row r="316" spans="1:4" x14ac:dyDescent="0.3">
      <c r="A316">
        <v>2020</v>
      </c>
      <c r="B316" t="s">
        <v>50</v>
      </c>
      <c r="C316" t="s">
        <v>60</v>
      </c>
      <c r="D316">
        <v>1</v>
      </c>
    </row>
    <row r="317" spans="1:4" x14ac:dyDescent="0.3">
      <c r="A317">
        <v>2020</v>
      </c>
      <c r="B317" t="s">
        <v>51</v>
      </c>
      <c r="C317" t="s">
        <v>60</v>
      </c>
      <c r="D317">
        <v>0</v>
      </c>
    </row>
    <row r="318" spans="1:4" x14ac:dyDescent="0.3">
      <c r="A318">
        <v>2020</v>
      </c>
      <c r="B318" t="s">
        <v>52</v>
      </c>
      <c r="C318" t="s">
        <v>60</v>
      </c>
      <c r="D318">
        <v>0</v>
      </c>
    </row>
    <row r="319" spans="1:4" x14ac:dyDescent="0.3">
      <c r="A319">
        <v>2020</v>
      </c>
      <c r="B319" t="s">
        <v>53</v>
      </c>
      <c r="C319" t="s">
        <v>60</v>
      </c>
      <c r="D319">
        <v>7</v>
      </c>
    </row>
    <row r="320" spans="1:4" x14ac:dyDescent="0.3">
      <c r="A320">
        <v>2020</v>
      </c>
      <c r="B320" t="s">
        <v>54</v>
      </c>
      <c r="C320" t="s">
        <v>60</v>
      </c>
      <c r="D320">
        <v>0</v>
      </c>
    </row>
    <row r="321" spans="1:4" x14ac:dyDescent="0.3">
      <c r="A321">
        <v>2020</v>
      </c>
      <c r="B321" t="s">
        <v>55</v>
      </c>
      <c r="C321" t="s">
        <v>60</v>
      </c>
      <c r="D321">
        <v>0</v>
      </c>
    </row>
    <row r="322" spans="1:4" x14ac:dyDescent="0.3">
      <c r="A322">
        <v>2020</v>
      </c>
      <c r="B322" t="s">
        <v>105</v>
      </c>
      <c r="C322" t="s">
        <v>60</v>
      </c>
      <c r="D322">
        <v>4</v>
      </c>
    </row>
    <row r="323" spans="1:4" x14ac:dyDescent="0.3">
      <c r="A323">
        <v>2020</v>
      </c>
      <c r="B323" t="s">
        <v>40</v>
      </c>
      <c r="C323" t="s">
        <v>60</v>
      </c>
      <c r="D323">
        <v>12</v>
      </c>
    </row>
    <row r="324" spans="1:4" x14ac:dyDescent="0.3">
      <c r="A324">
        <v>2020</v>
      </c>
      <c r="B324" t="s">
        <v>10</v>
      </c>
      <c r="C324" t="s">
        <v>61</v>
      </c>
      <c r="D324">
        <v>19</v>
      </c>
    </row>
    <row r="325" spans="1:4" x14ac:dyDescent="0.3">
      <c r="A325">
        <v>2020</v>
      </c>
      <c r="B325" t="s">
        <v>11</v>
      </c>
      <c r="C325" t="s">
        <v>61</v>
      </c>
      <c r="D325">
        <v>15</v>
      </c>
    </row>
    <row r="326" spans="1:4" x14ac:dyDescent="0.3">
      <c r="A326">
        <v>2020</v>
      </c>
      <c r="B326" t="s">
        <v>12</v>
      </c>
      <c r="C326" t="s">
        <v>61</v>
      </c>
      <c r="D326">
        <v>31</v>
      </c>
    </row>
    <row r="327" spans="1:4" x14ac:dyDescent="0.3">
      <c r="A327">
        <v>2020</v>
      </c>
      <c r="B327" t="s">
        <v>13</v>
      </c>
      <c r="C327" t="s">
        <v>61</v>
      </c>
      <c r="D327">
        <v>20</v>
      </c>
    </row>
    <row r="328" spans="1:4" x14ac:dyDescent="0.3">
      <c r="A328">
        <v>2020</v>
      </c>
      <c r="B328" t="s">
        <v>14</v>
      </c>
      <c r="C328" t="s">
        <v>61</v>
      </c>
      <c r="D328">
        <v>19</v>
      </c>
    </row>
    <row r="329" spans="1:4" x14ac:dyDescent="0.3">
      <c r="A329">
        <v>2020</v>
      </c>
      <c r="B329" t="s">
        <v>15</v>
      </c>
      <c r="C329" t="s">
        <v>61</v>
      </c>
      <c r="D329">
        <v>21</v>
      </c>
    </row>
    <row r="330" spans="1:4" x14ac:dyDescent="0.3">
      <c r="A330">
        <v>2020</v>
      </c>
      <c r="B330" t="s">
        <v>16</v>
      </c>
      <c r="C330" t="s">
        <v>61</v>
      </c>
      <c r="D330">
        <v>12</v>
      </c>
    </row>
    <row r="331" spans="1:4" x14ac:dyDescent="0.3">
      <c r="A331">
        <v>2020</v>
      </c>
      <c r="B331" t="s">
        <v>17</v>
      </c>
      <c r="C331" t="s">
        <v>61</v>
      </c>
      <c r="D331">
        <v>4</v>
      </c>
    </row>
    <row r="332" spans="1:4" x14ac:dyDescent="0.3">
      <c r="A332">
        <v>2020</v>
      </c>
      <c r="B332" t="s">
        <v>18</v>
      </c>
      <c r="C332" t="s">
        <v>61</v>
      </c>
      <c r="D332">
        <v>2</v>
      </c>
    </row>
    <row r="333" spans="1:4" x14ac:dyDescent="0.3">
      <c r="A333">
        <v>2020</v>
      </c>
      <c r="B333" t="s">
        <v>19</v>
      </c>
      <c r="C333" t="s">
        <v>61</v>
      </c>
      <c r="D333">
        <v>31</v>
      </c>
    </row>
    <row r="334" spans="1:4" x14ac:dyDescent="0.3">
      <c r="A334">
        <v>2020</v>
      </c>
      <c r="B334" t="s">
        <v>20</v>
      </c>
      <c r="C334" t="s">
        <v>61</v>
      </c>
      <c r="D334">
        <v>34</v>
      </c>
    </row>
    <row r="335" spans="1:4" x14ac:dyDescent="0.3">
      <c r="A335">
        <v>2020</v>
      </c>
      <c r="B335" t="s">
        <v>22</v>
      </c>
      <c r="C335" t="s">
        <v>61</v>
      </c>
      <c r="D335">
        <v>9</v>
      </c>
    </row>
    <row r="336" spans="1:4" x14ac:dyDescent="0.3">
      <c r="A336">
        <v>2020</v>
      </c>
      <c r="B336" t="s">
        <v>23</v>
      </c>
      <c r="C336" t="s">
        <v>61</v>
      </c>
      <c r="D336">
        <v>17</v>
      </c>
    </row>
    <row r="337" spans="1:4" x14ac:dyDescent="0.3">
      <c r="A337">
        <v>2020</v>
      </c>
      <c r="B337" t="s">
        <v>24</v>
      </c>
      <c r="C337" t="s">
        <v>61</v>
      </c>
      <c r="D337">
        <v>33</v>
      </c>
    </row>
    <row r="338" spans="1:4" x14ac:dyDescent="0.3">
      <c r="A338">
        <v>2020</v>
      </c>
      <c r="B338" t="s">
        <v>25</v>
      </c>
      <c r="C338" t="s">
        <v>61</v>
      </c>
      <c r="D338">
        <v>2</v>
      </c>
    </row>
    <row r="339" spans="1:4" x14ac:dyDescent="0.3">
      <c r="A339">
        <v>2020</v>
      </c>
      <c r="B339" t="s">
        <v>26</v>
      </c>
      <c r="C339" t="s">
        <v>61</v>
      </c>
      <c r="D339">
        <v>83</v>
      </c>
    </row>
    <row r="340" spans="1:4" x14ac:dyDescent="0.3">
      <c r="A340">
        <v>2020</v>
      </c>
      <c r="B340" t="s">
        <v>27</v>
      </c>
      <c r="C340" t="s">
        <v>61</v>
      </c>
      <c r="D340">
        <v>124</v>
      </c>
    </row>
    <row r="341" spans="1:4" x14ac:dyDescent="0.3">
      <c r="A341">
        <v>2020</v>
      </c>
      <c r="B341" t="s">
        <v>28</v>
      </c>
      <c r="C341" t="s">
        <v>61</v>
      </c>
      <c r="D341">
        <v>43</v>
      </c>
    </row>
    <row r="342" spans="1:4" x14ac:dyDescent="0.3">
      <c r="A342">
        <v>2020</v>
      </c>
      <c r="B342" t="s">
        <v>29</v>
      </c>
      <c r="C342" t="s">
        <v>61</v>
      </c>
      <c r="D342">
        <v>25</v>
      </c>
    </row>
    <row r="343" spans="1:4" x14ac:dyDescent="0.3">
      <c r="A343">
        <v>2020</v>
      </c>
      <c r="B343" t="s">
        <v>30</v>
      </c>
      <c r="C343" t="s">
        <v>61</v>
      </c>
      <c r="D343">
        <v>25</v>
      </c>
    </row>
    <row r="344" spans="1:4" x14ac:dyDescent="0.3">
      <c r="A344">
        <v>2020</v>
      </c>
      <c r="B344" t="s">
        <v>31</v>
      </c>
      <c r="C344" t="s">
        <v>61</v>
      </c>
      <c r="D344">
        <v>16</v>
      </c>
    </row>
    <row r="345" spans="1:4" x14ac:dyDescent="0.3">
      <c r="A345">
        <v>2020</v>
      </c>
      <c r="B345" t="s">
        <v>32</v>
      </c>
      <c r="C345" t="s">
        <v>61</v>
      </c>
      <c r="D345">
        <v>0</v>
      </c>
    </row>
    <row r="346" spans="1:4" x14ac:dyDescent="0.3">
      <c r="A346">
        <v>2020</v>
      </c>
      <c r="B346" t="s">
        <v>33</v>
      </c>
      <c r="C346" t="s">
        <v>61</v>
      </c>
      <c r="D346">
        <v>0</v>
      </c>
    </row>
    <row r="347" spans="1:4" x14ac:dyDescent="0.3">
      <c r="A347">
        <v>2020</v>
      </c>
      <c r="B347" t="s">
        <v>34</v>
      </c>
      <c r="C347" t="s">
        <v>61</v>
      </c>
      <c r="D347">
        <v>38</v>
      </c>
    </row>
    <row r="348" spans="1:4" x14ac:dyDescent="0.3">
      <c r="A348">
        <v>2020</v>
      </c>
      <c r="B348" t="s">
        <v>35</v>
      </c>
      <c r="C348" t="s">
        <v>61</v>
      </c>
      <c r="D348">
        <v>29</v>
      </c>
    </row>
    <row r="349" spans="1:4" x14ac:dyDescent="0.3">
      <c r="A349">
        <v>2020</v>
      </c>
      <c r="B349" t="s">
        <v>36</v>
      </c>
      <c r="C349" t="s">
        <v>61</v>
      </c>
      <c r="D349">
        <v>21</v>
      </c>
    </row>
    <row r="350" spans="1:4" x14ac:dyDescent="0.3">
      <c r="A350">
        <v>2020</v>
      </c>
      <c r="B350" t="s">
        <v>37</v>
      </c>
      <c r="C350" t="s">
        <v>61</v>
      </c>
      <c r="D350">
        <v>5</v>
      </c>
    </row>
    <row r="351" spans="1:4" x14ac:dyDescent="0.3">
      <c r="A351">
        <v>2020</v>
      </c>
      <c r="B351" t="s">
        <v>38</v>
      </c>
      <c r="C351" t="s">
        <v>61</v>
      </c>
      <c r="D351">
        <v>52</v>
      </c>
    </row>
    <row r="352" spans="1:4" x14ac:dyDescent="0.3">
      <c r="A352">
        <v>2020</v>
      </c>
      <c r="B352" t="s">
        <v>39</v>
      </c>
      <c r="C352" t="s">
        <v>61</v>
      </c>
      <c r="D352">
        <v>16</v>
      </c>
    </row>
    <row r="353" spans="1:4" x14ac:dyDescent="0.3">
      <c r="A353">
        <v>2020</v>
      </c>
      <c r="B353" t="s">
        <v>41</v>
      </c>
      <c r="C353" t="s">
        <v>61</v>
      </c>
      <c r="D353">
        <v>16</v>
      </c>
    </row>
    <row r="354" spans="1:4" x14ac:dyDescent="0.3">
      <c r="A354">
        <v>2020</v>
      </c>
      <c r="B354" t="s">
        <v>42</v>
      </c>
      <c r="C354" t="s">
        <v>61</v>
      </c>
      <c r="D354">
        <v>7</v>
      </c>
    </row>
    <row r="355" spans="1:4" x14ac:dyDescent="0.3">
      <c r="A355">
        <v>2020</v>
      </c>
      <c r="B355" t="s">
        <v>43</v>
      </c>
      <c r="C355" t="s">
        <v>61</v>
      </c>
      <c r="D355">
        <v>1</v>
      </c>
    </row>
    <row r="356" spans="1:4" x14ac:dyDescent="0.3">
      <c r="A356">
        <v>2020</v>
      </c>
      <c r="B356" t="s">
        <v>44</v>
      </c>
      <c r="C356" t="s">
        <v>61</v>
      </c>
      <c r="D356">
        <v>19</v>
      </c>
    </row>
    <row r="357" spans="1:4" x14ac:dyDescent="0.3">
      <c r="A357">
        <v>2020</v>
      </c>
      <c r="B357" t="s">
        <v>45</v>
      </c>
      <c r="C357" t="s">
        <v>61</v>
      </c>
      <c r="D357">
        <v>8</v>
      </c>
    </row>
    <row r="358" spans="1:4" x14ac:dyDescent="0.3">
      <c r="A358">
        <v>2020</v>
      </c>
      <c r="B358" t="s">
        <v>46</v>
      </c>
      <c r="C358" t="s">
        <v>61</v>
      </c>
      <c r="D358">
        <v>2</v>
      </c>
    </row>
    <row r="359" spans="1:4" x14ac:dyDescent="0.3">
      <c r="A359">
        <v>2020</v>
      </c>
      <c r="B359" t="s">
        <v>47</v>
      </c>
      <c r="C359" t="s">
        <v>61</v>
      </c>
      <c r="D359">
        <v>21</v>
      </c>
    </row>
    <row r="360" spans="1:4" x14ac:dyDescent="0.3">
      <c r="A360">
        <v>2020</v>
      </c>
      <c r="B360" t="s">
        <v>48</v>
      </c>
      <c r="C360" t="s">
        <v>61</v>
      </c>
      <c r="D360">
        <v>57</v>
      </c>
    </row>
    <row r="361" spans="1:4" x14ac:dyDescent="0.3">
      <c r="A361">
        <v>2020</v>
      </c>
      <c r="B361" t="s">
        <v>49</v>
      </c>
      <c r="C361" t="s">
        <v>61</v>
      </c>
      <c r="D361">
        <v>5</v>
      </c>
    </row>
    <row r="362" spans="1:4" x14ac:dyDescent="0.3">
      <c r="A362">
        <v>2020</v>
      </c>
      <c r="B362" t="s">
        <v>50</v>
      </c>
      <c r="C362" t="s">
        <v>61</v>
      </c>
      <c r="D362">
        <v>1</v>
      </c>
    </row>
    <row r="363" spans="1:4" x14ac:dyDescent="0.3">
      <c r="A363">
        <v>2020</v>
      </c>
      <c r="B363" t="s">
        <v>51</v>
      </c>
      <c r="C363" t="s">
        <v>61</v>
      </c>
      <c r="D363">
        <v>29</v>
      </c>
    </row>
    <row r="364" spans="1:4" x14ac:dyDescent="0.3">
      <c r="A364">
        <v>2020</v>
      </c>
      <c r="B364" t="s">
        <v>52</v>
      </c>
      <c r="C364" t="s">
        <v>61</v>
      </c>
      <c r="D364">
        <v>5</v>
      </c>
    </row>
    <row r="365" spans="1:4" x14ac:dyDescent="0.3">
      <c r="A365">
        <v>2020</v>
      </c>
      <c r="B365" t="s">
        <v>53</v>
      </c>
      <c r="C365" t="s">
        <v>61</v>
      </c>
      <c r="D365">
        <v>50</v>
      </c>
    </row>
    <row r="366" spans="1:4" x14ac:dyDescent="0.3">
      <c r="A366">
        <v>2020</v>
      </c>
      <c r="B366" t="s">
        <v>54</v>
      </c>
      <c r="C366" t="s">
        <v>61</v>
      </c>
      <c r="D366">
        <v>14</v>
      </c>
    </row>
    <row r="367" spans="1:4" x14ac:dyDescent="0.3">
      <c r="A367">
        <v>2020</v>
      </c>
      <c r="B367" t="s">
        <v>55</v>
      </c>
      <c r="C367" t="s">
        <v>61</v>
      </c>
      <c r="D367">
        <v>22</v>
      </c>
    </row>
    <row r="368" spans="1:4" x14ac:dyDescent="0.3">
      <c r="A368">
        <v>2020</v>
      </c>
      <c r="B368" t="s">
        <v>105</v>
      </c>
      <c r="C368" t="s">
        <v>61</v>
      </c>
      <c r="D368">
        <v>35</v>
      </c>
    </row>
    <row r="369" spans="1:4" x14ac:dyDescent="0.3">
      <c r="A369">
        <v>2020</v>
      </c>
      <c r="B369" t="s">
        <v>40</v>
      </c>
      <c r="C369" t="s">
        <v>61</v>
      </c>
      <c r="D369">
        <v>1</v>
      </c>
    </row>
    <row r="370" spans="1:4" x14ac:dyDescent="0.3">
      <c r="A370">
        <v>2021</v>
      </c>
      <c r="B370" t="s">
        <v>10</v>
      </c>
      <c r="C370" t="s">
        <v>60</v>
      </c>
      <c r="D370">
        <v>3</v>
      </c>
    </row>
    <row r="371" spans="1:4" x14ac:dyDescent="0.3">
      <c r="A371">
        <v>2021</v>
      </c>
      <c r="B371" t="s">
        <v>10</v>
      </c>
      <c r="C371" t="s">
        <v>59</v>
      </c>
      <c r="D371">
        <v>8</v>
      </c>
    </row>
    <row r="372" spans="1:4" x14ac:dyDescent="0.3">
      <c r="A372">
        <v>2021</v>
      </c>
      <c r="B372" t="s">
        <v>10</v>
      </c>
      <c r="C372" t="s">
        <v>61</v>
      </c>
      <c r="D372">
        <v>12</v>
      </c>
    </row>
    <row r="373" spans="1:4" x14ac:dyDescent="0.3">
      <c r="A373">
        <v>2021</v>
      </c>
      <c r="B373" t="s">
        <v>10</v>
      </c>
      <c r="C373" t="s">
        <v>1</v>
      </c>
      <c r="D373">
        <v>24</v>
      </c>
    </row>
    <row r="374" spans="1:4" x14ac:dyDescent="0.3">
      <c r="A374">
        <v>2021</v>
      </c>
      <c r="B374" t="s">
        <v>11</v>
      </c>
      <c r="C374" t="s">
        <v>60</v>
      </c>
      <c r="D374">
        <v>2</v>
      </c>
    </row>
    <row r="375" spans="1:4" x14ac:dyDescent="0.3">
      <c r="A375">
        <v>2021</v>
      </c>
      <c r="B375" t="s">
        <v>11</v>
      </c>
      <c r="C375" t="s">
        <v>59</v>
      </c>
      <c r="D375">
        <v>16</v>
      </c>
    </row>
    <row r="376" spans="1:4" x14ac:dyDescent="0.3">
      <c r="A376">
        <v>2021</v>
      </c>
      <c r="B376" t="s">
        <v>11</v>
      </c>
      <c r="C376" t="s">
        <v>61</v>
      </c>
      <c r="D376">
        <v>12</v>
      </c>
    </row>
    <row r="377" spans="1:4" x14ac:dyDescent="0.3">
      <c r="A377">
        <v>2021</v>
      </c>
      <c r="B377" t="s">
        <v>11</v>
      </c>
      <c r="C377" t="s">
        <v>1</v>
      </c>
      <c r="D377">
        <v>20</v>
      </c>
    </row>
    <row r="378" spans="1:4" x14ac:dyDescent="0.3">
      <c r="A378">
        <v>2021</v>
      </c>
      <c r="B378" t="s">
        <v>12</v>
      </c>
      <c r="C378" t="s">
        <v>60</v>
      </c>
      <c r="D378">
        <v>3</v>
      </c>
    </row>
    <row r="379" spans="1:4" x14ac:dyDescent="0.3">
      <c r="A379">
        <v>2021</v>
      </c>
      <c r="B379" t="s">
        <v>12</v>
      </c>
      <c r="C379" t="s">
        <v>59</v>
      </c>
      <c r="D379">
        <v>20</v>
      </c>
    </row>
    <row r="380" spans="1:4" x14ac:dyDescent="0.3">
      <c r="A380">
        <v>2021</v>
      </c>
      <c r="B380" t="s">
        <v>12</v>
      </c>
      <c r="C380" t="s">
        <v>61</v>
      </c>
      <c r="D380">
        <v>18</v>
      </c>
    </row>
    <row r="381" spans="1:4" x14ac:dyDescent="0.3">
      <c r="A381">
        <v>2021</v>
      </c>
      <c r="B381" t="s">
        <v>12</v>
      </c>
      <c r="C381" t="s">
        <v>1</v>
      </c>
      <c r="D381">
        <v>24</v>
      </c>
    </row>
    <row r="382" spans="1:4" x14ac:dyDescent="0.3">
      <c r="A382">
        <v>2021</v>
      </c>
      <c r="B382" t="s">
        <v>13</v>
      </c>
      <c r="C382" t="s">
        <v>60</v>
      </c>
      <c r="D382">
        <v>0</v>
      </c>
    </row>
    <row r="383" spans="1:4" x14ac:dyDescent="0.3">
      <c r="A383">
        <v>2021</v>
      </c>
      <c r="B383" t="s">
        <v>13</v>
      </c>
      <c r="C383" t="s">
        <v>59</v>
      </c>
      <c r="D383">
        <v>12</v>
      </c>
    </row>
    <row r="384" spans="1:4" x14ac:dyDescent="0.3">
      <c r="A384">
        <v>2021</v>
      </c>
      <c r="B384" t="s">
        <v>13</v>
      </c>
      <c r="C384" t="s">
        <v>61</v>
      </c>
      <c r="D384">
        <v>9</v>
      </c>
    </row>
    <row r="385" spans="1:4" x14ac:dyDescent="0.3">
      <c r="A385">
        <v>2021</v>
      </c>
      <c r="B385" t="s">
        <v>13</v>
      </c>
      <c r="C385" t="s">
        <v>1</v>
      </c>
      <c r="D385">
        <v>22</v>
      </c>
    </row>
    <row r="386" spans="1:4" x14ac:dyDescent="0.3">
      <c r="A386">
        <v>2021</v>
      </c>
      <c r="B386" t="s">
        <v>14</v>
      </c>
      <c r="C386" t="s">
        <v>60</v>
      </c>
      <c r="D386">
        <v>3</v>
      </c>
    </row>
    <row r="387" spans="1:4" x14ac:dyDescent="0.3">
      <c r="A387">
        <v>2021</v>
      </c>
      <c r="B387" t="s">
        <v>14</v>
      </c>
      <c r="C387" t="s">
        <v>59</v>
      </c>
      <c r="D387">
        <v>31</v>
      </c>
    </row>
    <row r="388" spans="1:4" x14ac:dyDescent="0.3">
      <c r="A388">
        <v>2021</v>
      </c>
      <c r="B388" t="s">
        <v>14</v>
      </c>
      <c r="C388" t="s">
        <v>61</v>
      </c>
      <c r="D388">
        <v>10</v>
      </c>
    </row>
    <row r="389" spans="1:4" x14ac:dyDescent="0.3">
      <c r="A389">
        <v>2021</v>
      </c>
      <c r="B389" t="s">
        <v>14</v>
      </c>
      <c r="C389" t="s">
        <v>1</v>
      </c>
      <c r="D389">
        <v>18</v>
      </c>
    </row>
    <row r="390" spans="1:4" x14ac:dyDescent="0.3">
      <c r="A390">
        <v>2021</v>
      </c>
      <c r="B390" t="s">
        <v>15</v>
      </c>
      <c r="C390" t="s">
        <v>60</v>
      </c>
      <c r="D390">
        <v>0</v>
      </c>
    </row>
    <row r="391" spans="1:4" x14ac:dyDescent="0.3">
      <c r="A391">
        <v>2021</v>
      </c>
      <c r="B391" t="s">
        <v>15</v>
      </c>
      <c r="C391" t="s">
        <v>59</v>
      </c>
      <c r="D391">
        <v>31</v>
      </c>
    </row>
    <row r="392" spans="1:4" x14ac:dyDescent="0.3">
      <c r="A392">
        <v>2021</v>
      </c>
      <c r="B392" t="s">
        <v>15</v>
      </c>
      <c r="C392" t="s">
        <v>61</v>
      </c>
      <c r="D392">
        <v>23</v>
      </c>
    </row>
    <row r="393" spans="1:4" x14ac:dyDescent="0.3">
      <c r="A393">
        <v>2021</v>
      </c>
      <c r="B393" t="s">
        <v>15</v>
      </c>
      <c r="C393" t="s">
        <v>1</v>
      </c>
      <c r="D393">
        <v>19</v>
      </c>
    </row>
    <row r="394" spans="1:4" x14ac:dyDescent="0.3">
      <c r="A394">
        <v>2021</v>
      </c>
      <c r="B394" t="s">
        <v>16</v>
      </c>
      <c r="C394" t="s">
        <v>60</v>
      </c>
      <c r="D394">
        <v>2</v>
      </c>
    </row>
    <row r="395" spans="1:4" x14ac:dyDescent="0.3">
      <c r="A395">
        <v>2021</v>
      </c>
      <c r="B395" t="s">
        <v>16</v>
      </c>
      <c r="C395" t="s">
        <v>59</v>
      </c>
      <c r="D395">
        <v>12</v>
      </c>
    </row>
    <row r="396" spans="1:4" x14ac:dyDescent="0.3">
      <c r="A396">
        <v>2021</v>
      </c>
      <c r="B396" t="s">
        <v>16</v>
      </c>
      <c r="C396" t="s">
        <v>61</v>
      </c>
      <c r="D396">
        <v>9</v>
      </c>
    </row>
    <row r="397" spans="1:4" x14ac:dyDescent="0.3">
      <c r="A397">
        <v>2021</v>
      </c>
      <c r="B397" t="s">
        <v>16</v>
      </c>
      <c r="C397" t="s">
        <v>1</v>
      </c>
      <c r="D397">
        <v>19</v>
      </c>
    </row>
    <row r="398" spans="1:4" x14ac:dyDescent="0.3">
      <c r="A398">
        <v>2021</v>
      </c>
      <c r="B398" t="s">
        <v>17</v>
      </c>
      <c r="C398" t="s">
        <v>60</v>
      </c>
      <c r="D398">
        <v>3</v>
      </c>
    </row>
    <row r="399" spans="1:4" x14ac:dyDescent="0.3">
      <c r="A399">
        <v>2021</v>
      </c>
      <c r="B399" t="s">
        <v>17</v>
      </c>
      <c r="C399" t="s">
        <v>59</v>
      </c>
      <c r="D399">
        <v>23</v>
      </c>
    </row>
    <row r="400" spans="1:4" x14ac:dyDescent="0.3">
      <c r="A400">
        <v>2021</v>
      </c>
      <c r="B400" t="s">
        <v>17</v>
      </c>
      <c r="C400" t="s">
        <v>61</v>
      </c>
      <c r="D400">
        <v>19</v>
      </c>
    </row>
    <row r="401" spans="1:4" x14ac:dyDescent="0.3">
      <c r="A401">
        <v>2021</v>
      </c>
      <c r="B401" t="s">
        <v>17</v>
      </c>
      <c r="C401" t="s">
        <v>1</v>
      </c>
      <c r="D401">
        <v>14</v>
      </c>
    </row>
    <row r="402" spans="1:4" x14ac:dyDescent="0.3">
      <c r="A402">
        <v>2021</v>
      </c>
      <c r="B402" t="s">
        <v>18</v>
      </c>
      <c r="C402" t="s">
        <v>60</v>
      </c>
      <c r="D402">
        <v>0</v>
      </c>
    </row>
    <row r="403" spans="1:4" x14ac:dyDescent="0.3">
      <c r="A403">
        <v>2021</v>
      </c>
      <c r="B403" t="s">
        <v>18</v>
      </c>
      <c r="C403" t="s">
        <v>59</v>
      </c>
      <c r="D403">
        <v>20</v>
      </c>
    </row>
    <row r="404" spans="1:4" x14ac:dyDescent="0.3">
      <c r="A404">
        <v>2021</v>
      </c>
      <c r="B404" t="s">
        <v>18</v>
      </c>
      <c r="C404" t="s">
        <v>61</v>
      </c>
      <c r="D404">
        <v>2</v>
      </c>
    </row>
    <row r="405" spans="1:4" x14ac:dyDescent="0.3">
      <c r="A405">
        <v>2021</v>
      </c>
      <c r="B405" t="s">
        <v>18</v>
      </c>
      <c r="C405" t="s">
        <v>1</v>
      </c>
      <c r="D405">
        <v>18</v>
      </c>
    </row>
    <row r="406" spans="1:4" x14ac:dyDescent="0.3">
      <c r="A406">
        <v>2021</v>
      </c>
      <c r="B406" t="s">
        <v>19</v>
      </c>
      <c r="C406" t="s">
        <v>60</v>
      </c>
      <c r="D406">
        <v>3</v>
      </c>
    </row>
    <row r="407" spans="1:4" x14ac:dyDescent="0.3">
      <c r="A407">
        <v>2021</v>
      </c>
      <c r="B407" t="s">
        <v>19</v>
      </c>
      <c r="C407" t="s">
        <v>59</v>
      </c>
      <c r="D407">
        <v>29</v>
      </c>
    </row>
    <row r="408" spans="1:4" x14ac:dyDescent="0.3">
      <c r="A408">
        <v>2021</v>
      </c>
      <c r="B408" t="s">
        <v>19</v>
      </c>
      <c r="C408" t="s">
        <v>61</v>
      </c>
      <c r="D408">
        <v>15</v>
      </c>
    </row>
    <row r="409" spans="1:4" x14ac:dyDescent="0.3">
      <c r="A409">
        <v>2021</v>
      </c>
      <c r="B409" t="s">
        <v>19</v>
      </c>
      <c r="C409" t="s">
        <v>1</v>
      </c>
      <c r="D409">
        <v>17</v>
      </c>
    </row>
    <row r="410" spans="1:4" x14ac:dyDescent="0.3">
      <c r="A410">
        <v>2021</v>
      </c>
      <c r="B410" t="s">
        <v>20</v>
      </c>
      <c r="C410" t="s">
        <v>60</v>
      </c>
      <c r="D410">
        <v>0</v>
      </c>
    </row>
    <row r="411" spans="1:4" x14ac:dyDescent="0.3">
      <c r="A411">
        <v>2021</v>
      </c>
      <c r="B411" t="s">
        <v>20</v>
      </c>
      <c r="C411" t="s">
        <v>59</v>
      </c>
      <c r="D411">
        <v>126</v>
      </c>
    </row>
    <row r="412" spans="1:4" x14ac:dyDescent="0.3">
      <c r="A412">
        <v>2021</v>
      </c>
      <c r="B412" t="s">
        <v>20</v>
      </c>
      <c r="C412" t="s">
        <v>61</v>
      </c>
      <c r="D412">
        <v>32</v>
      </c>
    </row>
    <row r="413" spans="1:4" x14ac:dyDescent="0.3">
      <c r="A413">
        <v>2021</v>
      </c>
      <c r="B413" t="s">
        <v>20</v>
      </c>
      <c r="C413" t="s">
        <v>1</v>
      </c>
      <c r="D413">
        <v>62</v>
      </c>
    </row>
    <row r="414" spans="1:4" x14ac:dyDescent="0.3">
      <c r="A414">
        <v>2021</v>
      </c>
      <c r="B414" t="s">
        <v>105</v>
      </c>
      <c r="C414" t="s">
        <v>60</v>
      </c>
      <c r="D414">
        <v>5</v>
      </c>
    </row>
    <row r="415" spans="1:4" x14ac:dyDescent="0.3">
      <c r="A415">
        <v>2021</v>
      </c>
      <c r="B415" t="s">
        <v>105</v>
      </c>
      <c r="C415" t="s">
        <v>59</v>
      </c>
      <c r="D415">
        <v>63</v>
      </c>
    </row>
    <row r="416" spans="1:4" x14ac:dyDescent="0.3">
      <c r="A416">
        <v>2021</v>
      </c>
      <c r="B416" t="s">
        <v>105</v>
      </c>
      <c r="C416" t="s">
        <v>61</v>
      </c>
      <c r="D416">
        <v>30</v>
      </c>
    </row>
    <row r="417" spans="1:4" x14ac:dyDescent="0.3">
      <c r="A417">
        <v>2021</v>
      </c>
      <c r="B417" t="s">
        <v>105</v>
      </c>
      <c r="C417" t="s">
        <v>1</v>
      </c>
      <c r="D417">
        <v>37</v>
      </c>
    </row>
    <row r="418" spans="1:4" x14ac:dyDescent="0.3">
      <c r="A418">
        <v>2021</v>
      </c>
      <c r="B418" t="s">
        <v>22</v>
      </c>
      <c r="C418" t="s">
        <v>60</v>
      </c>
      <c r="D418">
        <v>0</v>
      </c>
    </row>
    <row r="419" spans="1:4" x14ac:dyDescent="0.3">
      <c r="A419">
        <v>2021</v>
      </c>
      <c r="B419" t="s">
        <v>22</v>
      </c>
      <c r="C419" t="s">
        <v>59</v>
      </c>
      <c r="D419">
        <v>18</v>
      </c>
    </row>
    <row r="420" spans="1:4" x14ac:dyDescent="0.3">
      <c r="A420">
        <v>2021</v>
      </c>
      <c r="B420" t="s">
        <v>22</v>
      </c>
      <c r="C420" t="s">
        <v>61</v>
      </c>
      <c r="D420">
        <v>7</v>
      </c>
    </row>
    <row r="421" spans="1:4" x14ac:dyDescent="0.3">
      <c r="A421">
        <v>2021</v>
      </c>
      <c r="B421" t="s">
        <v>22</v>
      </c>
      <c r="C421" t="s">
        <v>1</v>
      </c>
      <c r="D421">
        <v>17</v>
      </c>
    </row>
    <row r="422" spans="1:4" x14ac:dyDescent="0.3">
      <c r="A422">
        <v>2021</v>
      </c>
      <c r="B422" t="s">
        <v>23</v>
      </c>
      <c r="C422" t="s">
        <v>60</v>
      </c>
      <c r="D422">
        <v>4</v>
      </c>
    </row>
    <row r="423" spans="1:4" x14ac:dyDescent="0.3">
      <c r="A423">
        <v>2021</v>
      </c>
      <c r="B423" t="s">
        <v>23</v>
      </c>
      <c r="C423" t="s">
        <v>59</v>
      </c>
      <c r="D423">
        <v>26</v>
      </c>
    </row>
    <row r="424" spans="1:4" x14ac:dyDescent="0.3">
      <c r="A424">
        <v>2021</v>
      </c>
      <c r="B424" t="s">
        <v>23</v>
      </c>
      <c r="C424" t="s">
        <v>61</v>
      </c>
      <c r="D424">
        <v>23</v>
      </c>
    </row>
    <row r="425" spans="1:4" x14ac:dyDescent="0.3">
      <c r="A425">
        <v>2021</v>
      </c>
      <c r="B425" t="s">
        <v>23</v>
      </c>
      <c r="C425" t="s">
        <v>1</v>
      </c>
      <c r="D425">
        <v>25</v>
      </c>
    </row>
    <row r="426" spans="1:4" x14ac:dyDescent="0.3">
      <c r="A426">
        <v>2021</v>
      </c>
      <c r="B426" t="s">
        <v>24</v>
      </c>
      <c r="C426" t="s">
        <v>60</v>
      </c>
      <c r="D426">
        <v>0</v>
      </c>
    </row>
    <row r="427" spans="1:4" x14ac:dyDescent="0.3">
      <c r="A427">
        <v>2021</v>
      </c>
      <c r="B427" t="s">
        <v>24</v>
      </c>
      <c r="C427" t="s">
        <v>59</v>
      </c>
      <c r="D427">
        <v>54</v>
      </c>
    </row>
    <row r="428" spans="1:4" x14ac:dyDescent="0.3">
      <c r="A428">
        <v>2021</v>
      </c>
      <c r="B428" t="s">
        <v>24</v>
      </c>
      <c r="C428" t="s">
        <v>61</v>
      </c>
      <c r="D428">
        <v>33</v>
      </c>
    </row>
    <row r="429" spans="1:4" x14ac:dyDescent="0.3">
      <c r="A429">
        <v>2021</v>
      </c>
      <c r="B429" t="s">
        <v>24</v>
      </c>
      <c r="C429" t="s">
        <v>1</v>
      </c>
      <c r="D429">
        <v>34</v>
      </c>
    </row>
    <row r="430" spans="1:4" x14ac:dyDescent="0.3">
      <c r="A430">
        <v>2021</v>
      </c>
      <c r="B430" t="s">
        <v>25</v>
      </c>
      <c r="C430" t="s">
        <v>60</v>
      </c>
      <c r="D430">
        <v>0</v>
      </c>
    </row>
    <row r="431" spans="1:4" x14ac:dyDescent="0.3">
      <c r="A431">
        <v>2021</v>
      </c>
      <c r="B431" t="s">
        <v>25</v>
      </c>
      <c r="C431" t="s">
        <v>59</v>
      </c>
      <c r="D431">
        <v>22</v>
      </c>
    </row>
    <row r="432" spans="1:4" x14ac:dyDescent="0.3">
      <c r="A432">
        <v>2021</v>
      </c>
      <c r="B432" t="s">
        <v>25</v>
      </c>
      <c r="C432" t="s">
        <v>61</v>
      </c>
      <c r="D432">
        <v>4</v>
      </c>
    </row>
    <row r="433" spans="1:4" x14ac:dyDescent="0.3">
      <c r="A433">
        <v>2021</v>
      </c>
      <c r="B433" t="s">
        <v>25</v>
      </c>
      <c r="C433" t="s">
        <v>1</v>
      </c>
      <c r="D433">
        <v>16</v>
      </c>
    </row>
    <row r="434" spans="1:4" x14ac:dyDescent="0.3">
      <c r="A434">
        <v>2021</v>
      </c>
      <c r="B434" t="s">
        <v>26</v>
      </c>
      <c r="C434" t="s">
        <v>60</v>
      </c>
      <c r="D434">
        <v>8</v>
      </c>
    </row>
    <row r="435" spans="1:4" x14ac:dyDescent="0.3">
      <c r="A435">
        <v>2021</v>
      </c>
      <c r="B435" t="s">
        <v>26</v>
      </c>
      <c r="C435" t="s">
        <v>59</v>
      </c>
      <c r="D435">
        <v>0</v>
      </c>
    </row>
    <row r="436" spans="1:4" x14ac:dyDescent="0.3">
      <c r="A436">
        <v>2021</v>
      </c>
      <c r="B436" t="s">
        <v>26</v>
      </c>
      <c r="C436" t="s">
        <v>61</v>
      </c>
      <c r="D436">
        <v>73</v>
      </c>
    </row>
    <row r="437" spans="1:4" x14ac:dyDescent="0.3">
      <c r="A437">
        <v>2021</v>
      </c>
      <c r="B437" t="s">
        <v>26</v>
      </c>
      <c r="C437" t="s">
        <v>1</v>
      </c>
      <c r="D437">
        <v>232</v>
      </c>
    </row>
    <row r="438" spans="1:4" x14ac:dyDescent="0.3">
      <c r="A438">
        <v>2021</v>
      </c>
      <c r="B438" t="s">
        <v>27</v>
      </c>
      <c r="C438" t="s">
        <v>60</v>
      </c>
      <c r="D438">
        <v>0</v>
      </c>
    </row>
    <row r="439" spans="1:4" x14ac:dyDescent="0.3">
      <c r="A439">
        <v>2021</v>
      </c>
      <c r="B439" t="s">
        <v>27</v>
      </c>
      <c r="C439" t="s">
        <v>59</v>
      </c>
      <c r="D439">
        <v>0</v>
      </c>
    </row>
    <row r="440" spans="1:4" x14ac:dyDescent="0.3">
      <c r="A440">
        <v>2021</v>
      </c>
      <c r="B440" t="s">
        <v>27</v>
      </c>
      <c r="C440" t="s">
        <v>61</v>
      </c>
      <c r="D440">
        <v>43</v>
      </c>
    </row>
    <row r="441" spans="1:4" x14ac:dyDescent="0.3">
      <c r="A441">
        <v>2021</v>
      </c>
      <c r="B441" t="s">
        <v>27</v>
      </c>
      <c r="C441" t="s">
        <v>1</v>
      </c>
      <c r="D441">
        <v>71</v>
      </c>
    </row>
    <row r="442" spans="1:4" x14ac:dyDescent="0.3">
      <c r="A442">
        <v>2021</v>
      </c>
      <c r="B442" t="s">
        <v>28</v>
      </c>
      <c r="C442" t="s">
        <v>60</v>
      </c>
      <c r="D442">
        <v>1</v>
      </c>
    </row>
    <row r="443" spans="1:4" x14ac:dyDescent="0.3">
      <c r="A443">
        <v>2021</v>
      </c>
      <c r="B443" t="s">
        <v>28</v>
      </c>
      <c r="C443" t="s">
        <v>59</v>
      </c>
      <c r="D443">
        <v>64</v>
      </c>
    </row>
    <row r="444" spans="1:4" x14ac:dyDescent="0.3">
      <c r="A444">
        <v>2021</v>
      </c>
      <c r="B444" t="s">
        <v>28</v>
      </c>
      <c r="C444" t="s">
        <v>61</v>
      </c>
      <c r="D444">
        <v>37</v>
      </c>
    </row>
    <row r="445" spans="1:4" x14ac:dyDescent="0.3">
      <c r="A445">
        <v>2021</v>
      </c>
      <c r="B445" t="s">
        <v>28</v>
      </c>
      <c r="C445" t="s">
        <v>1</v>
      </c>
      <c r="D445">
        <v>93</v>
      </c>
    </row>
    <row r="446" spans="1:4" x14ac:dyDescent="0.3">
      <c r="A446">
        <v>2021</v>
      </c>
      <c r="B446" t="s">
        <v>29</v>
      </c>
      <c r="C446" t="s">
        <v>60</v>
      </c>
      <c r="D446">
        <v>0</v>
      </c>
    </row>
    <row r="447" spans="1:4" x14ac:dyDescent="0.3">
      <c r="A447">
        <v>2021</v>
      </c>
      <c r="B447" t="s">
        <v>29</v>
      </c>
      <c r="C447" t="s">
        <v>59</v>
      </c>
      <c r="D447">
        <v>37</v>
      </c>
    </row>
    <row r="448" spans="1:4" x14ac:dyDescent="0.3">
      <c r="A448">
        <v>2021</v>
      </c>
      <c r="B448" t="s">
        <v>29</v>
      </c>
      <c r="C448" t="s">
        <v>61</v>
      </c>
      <c r="D448">
        <v>8</v>
      </c>
    </row>
    <row r="449" spans="1:4" x14ac:dyDescent="0.3">
      <c r="A449">
        <v>2021</v>
      </c>
      <c r="B449" t="s">
        <v>29</v>
      </c>
      <c r="C449" t="s">
        <v>1</v>
      </c>
      <c r="D449">
        <v>23</v>
      </c>
    </row>
    <row r="450" spans="1:4" x14ac:dyDescent="0.3">
      <c r="A450">
        <v>2021</v>
      </c>
      <c r="B450" t="s">
        <v>30</v>
      </c>
      <c r="C450" t="s">
        <v>60</v>
      </c>
      <c r="D450">
        <v>4</v>
      </c>
    </row>
    <row r="451" spans="1:4" x14ac:dyDescent="0.3">
      <c r="A451">
        <v>2021</v>
      </c>
      <c r="B451" t="s">
        <v>30</v>
      </c>
      <c r="C451" t="s">
        <v>59</v>
      </c>
      <c r="D451">
        <v>26</v>
      </c>
    </row>
    <row r="452" spans="1:4" x14ac:dyDescent="0.3">
      <c r="A452">
        <v>2021</v>
      </c>
      <c r="B452" t="s">
        <v>30</v>
      </c>
      <c r="C452" t="s">
        <v>61</v>
      </c>
      <c r="D452">
        <v>17</v>
      </c>
    </row>
    <row r="453" spans="1:4" x14ac:dyDescent="0.3">
      <c r="A453">
        <v>2021</v>
      </c>
      <c r="B453" t="s">
        <v>30</v>
      </c>
      <c r="C453" t="s">
        <v>1</v>
      </c>
      <c r="D453">
        <v>41</v>
      </c>
    </row>
    <row r="454" spans="1:4" x14ac:dyDescent="0.3">
      <c r="A454">
        <v>2021</v>
      </c>
      <c r="B454" t="s">
        <v>31</v>
      </c>
      <c r="C454" t="s">
        <v>60</v>
      </c>
      <c r="D454">
        <v>2</v>
      </c>
    </row>
    <row r="455" spans="1:4" x14ac:dyDescent="0.3">
      <c r="A455">
        <v>2021</v>
      </c>
      <c r="B455" t="s">
        <v>31</v>
      </c>
      <c r="C455" t="s">
        <v>59</v>
      </c>
      <c r="D455">
        <v>17</v>
      </c>
    </row>
    <row r="456" spans="1:4" x14ac:dyDescent="0.3">
      <c r="A456">
        <v>2021</v>
      </c>
      <c r="B456" t="s">
        <v>31</v>
      </c>
      <c r="C456" t="s">
        <v>61</v>
      </c>
      <c r="D456">
        <v>17</v>
      </c>
    </row>
    <row r="457" spans="1:4" x14ac:dyDescent="0.3">
      <c r="A457">
        <v>2021</v>
      </c>
      <c r="B457" t="s">
        <v>31</v>
      </c>
      <c r="C457" t="s">
        <v>1</v>
      </c>
      <c r="D457">
        <v>23</v>
      </c>
    </row>
    <row r="458" spans="1:4" x14ac:dyDescent="0.3">
      <c r="A458">
        <v>2021</v>
      </c>
      <c r="B458" t="s">
        <v>32</v>
      </c>
      <c r="C458" t="s">
        <v>60</v>
      </c>
      <c r="D458">
        <v>0</v>
      </c>
    </row>
    <row r="459" spans="1:4" x14ac:dyDescent="0.3">
      <c r="A459">
        <v>2021</v>
      </c>
      <c r="B459" t="s">
        <v>32</v>
      </c>
      <c r="C459" t="s">
        <v>59</v>
      </c>
      <c r="D459">
        <v>9</v>
      </c>
    </row>
    <row r="460" spans="1:4" x14ac:dyDescent="0.3">
      <c r="A460">
        <v>2021</v>
      </c>
      <c r="B460" t="s">
        <v>32</v>
      </c>
      <c r="C460" t="s">
        <v>61</v>
      </c>
      <c r="D460">
        <v>2</v>
      </c>
    </row>
    <row r="461" spans="1:4" x14ac:dyDescent="0.3">
      <c r="A461">
        <v>2021</v>
      </c>
      <c r="B461" t="s">
        <v>32</v>
      </c>
      <c r="C461" t="s">
        <v>1</v>
      </c>
      <c r="D461">
        <v>7</v>
      </c>
    </row>
    <row r="462" spans="1:4" x14ac:dyDescent="0.3">
      <c r="A462">
        <v>2021</v>
      </c>
      <c r="B462" t="s">
        <v>173</v>
      </c>
      <c r="C462" t="s">
        <v>60</v>
      </c>
      <c r="D462">
        <v>0</v>
      </c>
    </row>
    <row r="463" spans="1:4" x14ac:dyDescent="0.3">
      <c r="A463">
        <v>2021</v>
      </c>
      <c r="B463" t="s">
        <v>173</v>
      </c>
      <c r="C463" t="s">
        <v>59</v>
      </c>
      <c r="D463">
        <v>1</v>
      </c>
    </row>
    <row r="464" spans="1:4" x14ac:dyDescent="0.3">
      <c r="A464">
        <v>2021</v>
      </c>
      <c r="B464" t="s">
        <v>173</v>
      </c>
      <c r="C464" t="s">
        <v>61</v>
      </c>
      <c r="D464">
        <v>0</v>
      </c>
    </row>
    <row r="465" spans="1:4" x14ac:dyDescent="0.3">
      <c r="A465">
        <v>2021</v>
      </c>
      <c r="B465" t="s">
        <v>173</v>
      </c>
      <c r="C465" t="s">
        <v>1</v>
      </c>
      <c r="D465">
        <v>0</v>
      </c>
    </row>
    <row r="466" spans="1:4" x14ac:dyDescent="0.3">
      <c r="A466">
        <v>2021</v>
      </c>
      <c r="B466" t="s">
        <v>34</v>
      </c>
      <c r="C466" t="s">
        <v>60</v>
      </c>
      <c r="D466">
        <v>1</v>
      </c>
    </row>
    <row r="467" spans="1:4" x14ac:dyDescent="0.3">
      <c r="A467">
        <v>2021</v>
      </c>
      <c r="B467" t="s">
        <v>34</v>
      </c>
      <c r="C467" t="s">
        <v>59</v>
      </c>
      <c r="D467">
        <v>32</v>
      </c>
    </row>
    <row r="468" spans="1:4" x14ac:dyDescent="0.3">
      <c r="A468">
        <v>2021</v>
      </c>
      <c r="B468" t="s">
        <v>34</v>
      </c>
      <c r="C468" t="s">
        <v>61</v>
      </c>
      <c r="D468">
        <v>30</v>
      </c>
    </row>
    <row r="469" spans="1:4" x14ac:dyDescent="0.3">
      <c r="A469">
        <v>2021</v>
      </c>
      <c r="B469" t="s">
        <v>34</v>
      </c>
      <c r="C469" t="s">
        <v>1</v>
      </c>
      <c r="D469">
        <v>45</v>
      </c>
    </row>
    <row r="470" spans="1:4" x14ac:dyDescent="0.3">
      <c r="A470">
        <v>2021</v>
      </c>
      <c r="B470" t="s">
        <v>35</v>
      </c>
      <c r="C470" t="s">
        <v>60</v>
      </c>
      <c r="D470">
        <v>0</v>
      </c>
    </row>
    <row r="471" spans="1:4" x14ac:dyDescent="0.3">
      <c r="A471">
        <v>2021</v>
      </c>
      <c r="B471" t="s">
        <v>35</v>
      </c>
      <c r="C471" t="s">
        <v>59</v>
      </c>
      <c r="D471">
        <v>37</v>
      </c>
    </row>
    <row r="472" spans="1:4" x14ac:dyDescent="0.3">
      <c r="A472">
        <v>2021</v>
      </c>
      <c r="B472" t="s">
        <v>35</v>
      </c>
      <c r="C472" t="s">
        <v>61</v>
      </c>
      <c r="D472">
        <v>19</v>
      </c>
    </row>
    <row r="473" spans="1:4" x14ac:dyDescent="0.3">
      <c r="A473">
        <v>2021</v>
      </c>
      <c r="B473" t="s">
        <v>35</v>
      </c>
      <c r="C473" t="s">
        <v>1</v>
      </c>
      <c r="D473">
        <v>37</v>
      </c>
    </row>
    <row r="474" spans="1:4" x14ac:dyDescent="0.3">
      <c r="A474">
        <v>2021</v>
      </c>
      <c r="B474" t="s">
        <v>36</v>
      </c>
      <c r="C474" t="s">
        <v>60</v>
      </c>
      <c r="D474">
        <v>1</v>
      </c>
    </row>
    <row r="475" spans="1:4" x14ac:dyDescent="0.3">
      <c r="A475">
        <v>2021</v>
      </c>
      <c r="B475" t="s">
        <v>36</v>
      </c>
      <c r="C475" t="s">
        <v>59</v>
      </c>
      <c r="D475">
        <v>18</v>
      </c>
    </row>
    <row r="476" spans="1:4" x14ac:dyDescent="0.3">
      <c r="A476">
        <v>2021</v>
      </c>
      <c r="B476" t="s">
        <v>36</v>
      </c>
      <c r="C476" t="s">
        <v>61</v>
      </c>
      <c r="D476">
        <v>16</v>
      </c>
    </row>
    <row r="477" spans="1:4" x14ac:dyDescent="0.3">
      <c r="A477">
        <v>2021</v>
      </c>
      <c r="B477" t="s">
        <v>36</v>
      </c>
      <c r="C477" t="s">
        <v>1</v>
      </c>
      <c r="D477">
        <v>21</v>
      </c>
    </row>
    <row r="478" spans="1:4" x14ac:dyDescent="0.3">
      <c r="A478">
        <v>2021</v>
      </c>
      <c r="B478" t="s">
        <v>37</v>
      </c>
      <c r="C478" t="s">
        <v>60</v>
      </c>
      <c r="D478">
        <v>1</v>
      </c>
    </row>
    <row r="479" spans="1:4" x14ac:dyDescent="0.3">
      <c r="A479">
        <v>2021</v>
      </c>
      <c r="B479" t="s">
        <v>37</v>
      </c>
      <c r="C479" t="s">
        <v>59</v>
      </c>
      <c r="D479">
        <v>24</v>
      </c>
    </row>
    <row r="480" spans="1:4" x14ac:dyDescent="0.3">
      <c r="A480">
        <v>2021</v>
      </c>
      <c r="B480" t="s">
        <v>37</v>
      </c>
      <c r="C480" t="s">
        <v>61</v>
      </c>
      <c r="D480">
        <v>4</v>
      </c>
    </row>
    <row r="481" spans="1:4" x14ac:dyDescent="0.3">
      <c r="A481">
        <v>2021</v>
      </c>
      <c r="B481" t="s">
        <v>37</v>
      </c>
      <c r="C481" t="s">
        <v>1</v>
      </c>
      <c r="D481">
        <v>13</v>
      </c>
    </row>
    <row r="482" spans="1:4" x14ac:dyDescent="0.3">
      <c r="A482">
        <v>2021</v>
      </c>
      <c r="B482" t="s">
        <v>38</v>
      </c>
      <c r="C482" t="s">
        <v>60</v>
      </c>
      <c r="D482">
        <v>2</v>
      </c>
    </row>
    <row r="483" spans="1:4" x14ac:dyDescent="0.3">
      <c r="A483">
        <v>2021</v>
      </c>
      <c r="B483" t="s">
        <v>38</v>
      </c>
      <c r="C483" t="s">
        <v>59</v>
      </c>
      <c r="D483">
        <v>11</v>
      </c>
    </row>
    <row r="484" spans="1:4" x14ac:dyDescent="0.3">
      <c r="A484">
        <v>2021</v>
      </c>
      <c r="B484" t="s">
        <v>38</v>
      </c>
      <c r="C484" t="s">
        <v>61</v>
      </c>
      <c r="D484">
        <v>48</v>
      </c>
    </row>
    <row r="485" spans="1:4" x14ac:dyDescent="0.3">
      <c r="A485">
        <v>2021</v>
      </c>
      <c r="B485" t="s">
        <v>38</v>
      </c>
      <c r="C485" t="s">
        <v>1</v>
      </c>
      <c r="D485">
        <v>49</v>
      </c>
    </row>
    <row r="486" spans="1:4" x14ac:dyDescent="0.3">
      <c r="A486">
        <v>2021</v>
      </c>
      <c r="B486" t="s">
        <v>39</v>
      </c>
      <c r="C486" t="s">
        <v>60</v>
      </c>
      <c r="D486">
        <v>1</v>
      </c>
    </row>
    <row r="487" spans="1:4" x14ac:dyDescent="0.3">
      <c r="A487">
        <v>2021</v>
      </c>
      <c r="B487" t="s">
        <v>39</v>
      </c>
      <c r="C487" t="s">
        <v>59</v>
      </c>
      <c r="D487">
        <v>18</v>
      </c>
    </row>
    <row r="488" spans="1:4" x14ac:dyDescent="0.3">
      <c r="A488">
        <v>2021</v>
      </c>
      <c r="B488" t="s">
        <v>39</v>
      </c>
      <c r="C488" t="s">
        <v>61</v>
      </c>
      <c r="D488">
        <v>24</v>
      </c>
    </row>
    <row r="489" spans="1:4" x14ac:dyDescent="0.3">
      <c r="A489">
        <v>2021</v>
      </c>
      <c r="B489" t="s">
        <v>39</v>
      </c>
      <c r="C489" t="s">
        <v>1</v>
      </c>
      <c r="D489">
        <v>18</v>
      </c>
    </row>
    <row r="490" spans="1:4" x14ac:dyDescent="0.3">
      <c r="A490">
        <v>2021</v>
      </c>
      <c r="B490" t="s">
        <v>40</v>
      </c>
      <c r="C490" t="s">
        <v>60</v>
      </c>
      <c r="D490">
        <v>8</v>
      </c>
    </row>
    <row r="491" spans="1:4" x14ac:dyDescent="0.3">
      <c r="A491">
        <v>2021</v>
      </c>
      <c r="B491" t="s">
        <v>40</v>
      </c>
      <c r="C491" t="s">
        <v>59</v>
      </c>
      <c r="D491">
        <v>0</v>
      </c>
    </row>
    <row r="492" spans="1:4" x14ac:dyDescent="0.3">
      <c r="A492">
        <v>2021</v>
      </c>
      <c r="B492" t="s">
        <v>40</v>
      </c>
      <c r="C492" t="s">
        <v>61</v>
      </c>
      <c r="D492">
        <v>0</v>
      </c>
    </row>
    <row r="493" spans="1:4" x14ac:dyDescent="0.3">
      <c r="A493">
        <v>2021</v>
      </c>
      <c r="B493" t="s">
        <v>40</v>
      </c>
      <c r="C493" t="s">
        <v>1</v>
      </c>
      <c r="D493">
        <v>0</v>
      </c>
    </row>
    <row r="494" spans="1:4" x14ac:dyDescent="0.3">
      <c r="A494">
        <v>2021</v>
      </c>
      <c r="B494" t="s">
        <v>41</v>
      </c>
      <c r="C494" t="s">
        <v>60</v>
      </c>
      <c r="D494">
        <v>0</v>
      </c>
    </row>
    <row r="495" spans="1:4" x14ac:dyDescent="0.3">
      <c r="A495">
        <v>2021</v>
      </c>
      <c r="B495" t="s">
        <v>41</v>
      </c>
      <c r="C495" t="s">
        <v>59</v>
      </c>
      <c r="D495">
        <v>38</v>
      </c>
    </row>
    <row r="496" spans="1:4" x14ac:dyDescent="0.3">
      <c r="A496">
        <v>2021</v>
      </c>
      <c r="B496" t="s">
        <v>41</v>
      </c>
      <c r="C496" t="s">
        <v>61</v>
      </c>
      <c r="D496">
        <v>2</v>
      </c>
    </row>
    <row r="497" spans="1:4" x14ac:dyDescent="0.3">
      <c r="A497">
        <v>2021</v>
      </c>
      <c r="B497" t="s">
        <v>41</v>
      </c>
      <c r="C497" t="s">
        <v>1</v>
      </c>
      <c r="D497">
        <v>24</v>
      </c>
    </row>
    <row r="498" spans="1:4" x14ac:dyDescent="0.3">
      <c r="A498">
        <v>2021</v>
      </c>
      <c r="B498" t="s">
        <v>42</v>
      </c>
      <c r="C498" t="s">
        <v>60</v>
      </c>
      <c r="D498">
        <v>2</v>
      </c>
    </row>
    <row r="499" spans="1:4" x14ac:dyDescent="0.3">
      <c r="A499">
        <v>2021</v>
      </c>
      <c r="B499" t="s">
        <v>42</v>
      </c>
      <c r="C499" t="s">
        <v>59</v>
      </c>
      <c r="D499">
        <v>32</v>
      </c>
    </row>
    <row r="500" spans="1:4" x14ac:dyDescent="0.3">
      <c r="A500">
        <v>2021</v>
      </c>
      <c r="B500" t="s">
        <v>42</v>
      </c>
      <c r="C500" t="s">
        <v>61</v>
      </c>
      <c r="D500">
        <v>10</v>
      </c>
    </row>
    <row r="501" spans="1:4" x14ac:dyDescent="0.3">
      <c r="A501">
        <v>2021</v>
      </c>
      <c r="B501" t="s">
        <v>42</v>
      </c>
      <c r="C501" t="s">
        <v>1</v>
      </c>
      <c r="D501">
        <v>16</v>
      </c>
    </row>
    <row r="502" spans="1:4" x14ac:dyDescent="0.3">
      <c r="A502">
        <v>2021</v>
      </c>
      <c r="B502" t="s">
        <v>43</v>
      </c>
      <c r="C502" t="s">
        <v>60</v>
      </c>
      <c r="D502">
        <v>1</v>
      </c>
    </row>
    <row r="503" spans="1:4" x14ac:dyDescent="0.3">
      <c r="A503">
        <v>2021</v>
      </c>
      <c r="B503" t="s">
        <v>43</v>
      </c>
      <c r="C503" t="s">
        <v>59</v>
      </c>
      <c r="D503">
        <v>28</v>
      </c>
    </row>
    <row r="504" spans="1:4" x14ac:dyDescent="0.3">
      <c r="A504">
        <v>2021</v>
      </c>
      <c r="B504" t="s">
        <v>43</v>
      </c>
      <c r="C504" t="s">
        <v>61</v>
      </c>
      <c r="D504">
        <v>8</v>
      </c>
    </row>
    <row r="505" spans="1:4" x14ac:dyDescent="0.3">
      <c r="A505">
        <v>2021</v>
      </c>
      <c r="B505" t="s">
        <v>43</v>
      </c>
      <c r="C505" t="s">
        <v>1</v>
      </c>
      <c r="D505">
        <v>9</v>
      </c>
    </row>
    <row r="506" spans="1:4" x14ac:dyDescent="0.3">
      <c r="A506">
        <v>2021</v>
      </c>
      <c r="B506" t="s">
        <v>44</v>
      </c>
      <c r="C506" t="s">
        <v>60</v>
      </c>
      <c r="D506">
        <v>0</v>
      </c>
    </row>
    <row r="507" spans="1:4" x14ac:dyDescent="0.3">
      <c r="A507">
        <v>2021</v>
      </c>
      <c r="B507" t="s">
        <v>44</v>
      </c>
      <c r="C507" t="s">
        <v>59</v>
      </c>
      <c r="D507">
        <v>17</v>
      </c>
    </row>
    <row r="508" spans="1:4" x14ac:dyDescent="0.3">
      <c r="A508">
        <v>2021</v>
      </c>
      <c r="B508" t="s">
        <v>44</v>
      </c>
      <c r="C508" t="s">
        <v>61</v>
      </c>
      <c r="D508">
        <v>14</v>
      </c>
    </row>
    <row r="509" spans="1:4" x14ac:dyDescent="0.3">
      <c r="A509">
        <v>2021</v>
      </c>
      <c r="B509" t="s">
        <v>44</v>
      </c>
      <c r="C509" t="s">
        <v>1</v>
      </c>
      <c r="D509">
        <v>22</v>
      </c>
    </row>
    <row r="510" spans="1:4" x14ac:dyDescent="0.3">
      <c r="A510">
        <v>2021</v>
      </c>
      <c r="B510" t="s">
        <v>45</v>
      </c>
      <c r="C510" t="s">
        <v>60</v>
      </c>
      <c r="D510">
        <v>0</v>
      </c>
    </row>
    <row r="511" spans="1:4" x14ac:dyDescent="0.3">
      <c r="A511">
        <v>2021</v>
      </c>
      <c r="B511" t="s">
        <v>45</v>
      </c>
      <c r="C511" t="s">
        <v>59</v>
      </c>
      <c r="D511">
        <v>58</v>
      </c>
    </row>
    <row r="512" spans="1:4" x14ac:dyDescent="0.3">
      <c r="A512">
        <v>2021</v>
      </c>
      <c r="B512" t="s">
        <v>45</v>
      </c>
      <c r="C512" t="s">
        <v>61</v>
      </c>
      <c r="D512">
        <v>5</v>
      </c>
    </row>
    <row r="513" spans="1:4" x14ac:dyDescent="0.3">
      <c r="A513">
        <v>2021</v>
      </c>
      <c r="B513" t="s">
        <v>45</v>
      </c>
      <c r="C513" t="s">
        <v>1</v>
      </c>
      <c r="D513">
        <v>12</v>
      </c>
    </row>
    <row r="514" spans="1:4" x14ac:dyDescent="0.3">
      <c r="A514">
        <v>2021</v>
      </c>
      <c r="B514" t="s">
        <v>46</v>
      </c>
      <c r="C514" t="s">
        <v>60</v>
      </c>
      <c r="D514">
        <v>0</v>
      </c>
    </row>
    <row r="515" spans="1:4" x14ac:dyDescent="0.3">
      <c r="A515">
        <v>2021</v>
      </c>
      <c r="B515" t="s">
        <v>46</v>
      </c>
      <c r="C515" t="s">
        <v>59</v>
      </c>
      <c r="D515">
        <v>21</v>
      </c>
    </row>
    <row r="516" spans="1:4" x14ac:dyDescent="0.3">
      <c r="A516">
        <v>2021</v>
      </c>
      <c r="B516" t="s">
        <v>46</v>
      </c>
      <c r="C516" t="s">
        <v>61</v>
      </c>
      <c r="D516">
        <v>3</v>
      </c>
    </row>
    <row r="517" spans="1:4" x14ac:dyDescent="0.3">
      <c r="A517">
        <v>2021</v>
      </c>
      <c r="B517" t="s">
        <v>46</v>
      </c>
      <c r="C517" t="s">
        <v>1</v>
      </c>
      <c r="D517">
        <v>7</v>
      </c>
    </row>
    <row r="518" spans="1:4" x14ac:dyDescent="0.3">
      <c r="A518">
        <v>2021</v>
      </c>
      <c r="B518" t="s">
        <v>47</v>
      </c>
      <c r="C518" t="s">
        <v>60</v>
      </c>
      <c r="D518">
        <v>1</v>
      </c>
    </row>
    <row r="519" spans="1:4" x14ac:dyDescent="0.3">
      <c r="A519">
        <v>2021</v>
      </c>
      <c r="B519" t="s">
        <v>47</v>
      </c>
      <c r="C519" t="s">
        <v>59</v>
      </c>
      <c r="D519">
        <v>18</v>
      </c>
    </row>
    <row r="520" spans="1:4" x14ac:dyDescent="0.3">
      <c r="A520">
        <v>2021</v>
      </c>
      <c r="B520" t="s">
        <v>47</v>
      </c>
      <c r="C520" t="s">
        <v>61</v>
      </c>
      <c r="D520">
        <v>38</v>
      </c>
    </row>
    <row r="521" spans="1:4" x14ac:dyDescent="0.3">
      <c r="A521">
        <v>2021</v>
      </c>
      <c r="B521" t="s">
        <v>47</v>
      </c>
      <c r="C521" t="s">
        <v>1</v>
      </c>
      <c r="D521">
        <v>30</v>
      </c>
    </row>
    <row r="522" spans="1:4" x14ac:dyDescent="0.3">
      <c r="A522">
        <v>2021</v>
      </c>
      <c r="B522" t="s">
        <v>48</v>
      </c>
      <c r="C522" t="s">
        <v>60</v>
      </c>
      <c r="D522">
        <v>0</v>
      </c>
    </row>
    <row r="523" spans="1:4" x14ac:dyDescent="0.3">
      <c r="A523">
        <v>2021</v>
      </c>
      <c r="B523" t="s">
        <v>48</v>
      </c>
      <c r="C523" t="s">
        <v>59</v>
      </c>
      <c r="D523">
        <v>39</v>
      </c>
    </row>
    <row r="524" spans="1:4" x14ac:dyDescent="0.3">
      <c r="A524">
        <v>2021</v>
      </c>
      <c r="B524" t="s">
        <v>48</v>
      </c>
      <c r="C524" t="s">
        <v>61</v>
      </c>
      <c r="D524">
        <v>39</v>
      </c>
    </row>
    <row r="525" spans="1:4" x14ac:dyDescent="0.3">
      <c r="A525">
        <v>2021</v>
      </c>
      <c r="B525" t="s">
        <v>48</v>
      </c>
      <c r="C525" t="s">
        <v>1</v>
      </c>
      <c r="D525">
        <v>15</v>
      </c>
    </row>
    <row r="526" spans="1:4" x14ac:dyDescent="0.3">
      <c r="A526">
        <v>2021</v>
      </c>
      <c r="B526" t="s">
        <v>49</v>
      </c>
      <c r="C526" t="s">
        <v>60</v>
      </c>
      <c r="D526">
        <v>0</v>
      </c>
    </row>
    <row r="527" spans="1:4" x14ac:dyDescent="0.3">
      <c r="A527">
        <v>2021</v>
      </c>
      <c r="B527" t="s">
        <v>49</v>
      </c>
      <c r="C527" t="s">
        <v>59</v>
      </c>
      <c r="D527">
        <v>42</v>
      </c>
    </row>
    <row r="528" spans="1:4" x14ac:dyDescent="0.3">
      <c r="A528">
        <v>2021</v>
      </c>
      <c r="B528" t="s">
        <v>49</v>
      </c>
      <c r="C528" t="s">
        <v>61</v>
      </c>
      <c r="D528">
        <v>15</v>
      </c>
    </row>
    <row r="529" spans="1:4" x14ac:dyDescent="0.3">
      <c r="A529">
        <v>2021</v>
      </c>
      <c r="B529" t="s">
        <v>49</v>
      </c>
      <c r="C529" t="s">
        <v>1</v>
      </c>
      <c r="D529">
        <v>12</v>
      </c>
    </row>
    <row r="530" spans="1:4" x14ac:dyDescent="0.3">
      <c r="A530">
        <v>2021</v>
      </c>
      <c r="B530" t="s">
        <v>50</v>
      </c>
      <c r="C530" t="s">
        <v>60</v>
      </c>
      <c r="D530">
        <v>6</v>
      </c>
    </row>
    <row r="531" spans="1:4" x14ac:dyDescent="0.3">
      <c r="A531">
        <v>2021</v>
      </c>
      <c r="B531" t="s">
        <v>50</v>
      </c>
      <c r="C531" t="s">
        <v>59</v>
      </c>
      <c r="D531">
        <v>7</v>
      </c>
    </row>
    <row r="532" spans="1:4" x14ac:dyDescent="0.3">
      <c r="A532">
        <v>2021</v>
      </c>
      <c r="B532" t="s">
        <v>50</v>
      </c>
      <c r="C532" t="s">
        <v>61</v>
      </c>
      <c r="D532">
        <v>9</v>
      </c>
    </row>
    <row r="533" spans="1:4" x14ac:dyDescent="0.3">
      <c r="A533">
        <v>2021</v>
      </c>
      <c r="B533" t="s">
        <v>50</v>
      </c>
      <c r="C533" t="s">
        <v>1</v>
      </c>
      <c r="D533">
        <v>47</v>
      </c>
    </row>
    <row r="534" spans="1:4" x14ac:dyDescent="0.3">
      <c r="A534">
        <v>2021</v>
      </c>
      <c r="B534" t="s">
        <v>51</v>
      </c>
      <c r="C534" t="s">
        <v>60</v>
      </c>
      <c r="D534">
        <v>1</v>
      </c>
    </row>
    <row r="535" spans="1:4" x14ac:dyDescent="0.3">
      <c r="A535">
        <v>2021</v>
      </c>
      <c r="B535" t="s">
        <v>51</v>
      </c>
      <c r="C535" t="s">
        <v>59</v>
      </c>
      <c r="D535">
        <v>0</v>
      </c>
    </row>
    <row r="536" spans="1:4" x14ac:dyDescent="0.3">
      <c r="A536">
        <v>2021</v>
      </c>
      <c r="B536" t="s">
        <v>51</v>
      </c>
      <c r="C536" t="s">
        <v>61</v>
      </c>
      <c r="D536">
        <v>15</v>
      </c>
    </row>
    <row r="537" spans="1:4" x14ac:dyDescent="0.3">
      <c r="A537">
        <v>2021</v>
      </c>
      <c r="B537" t="s">
        <v>51</v>
      </c>
      <c r="C537" t="s">
        <v>1</v>
      </c>
      <c r="D537">
        <v>65</v>
      </c>
    </row>
    <row r="538" spans="1:4" x14ac:dyDescent="0.3">
      <c r="A538">
        <v>2021</v>
      </c>
      <c r="B538" t="s">
        <v>52</v>
      </c>
      <c r="C538" t="s">
        <v>60</v>
      </c>
      <c r="D538">
        <v>0</v>
      </c>
    </row>
    <row r="539" spans="1:4" x14ac:dyDescent="0.3">
      <c r="A539">
        <v>2021</v>
      </c>
      <c r="B539" t="s">
        <v>52</v>
      </c>
      <c r="C539" t="s">
        <v>59</v>
      </c>
      <c r="D539">
        <v>12</v>
      </c>
    </row>
    <row r="540" spans="1:4" x14ac:dyDescent="0.3">
      <c r="A540">
        <v>2021</v>
      </c>
      <c r="B540" t="s">
        <v>52</v>
      </c>
      <c r="C540" t="s">
        <v>61</v>
      </c>
      <c r="D540">
        <v>6</v>
      </c>
    </row>
    <row r="541" spans="1:4" x14ac:dyDescent="0.3">
      <c r="A541">
        <v>2021</v>
      </c>
      <c r="B541" t="s">
        <v>52</v>
      </c>
      <c r="C541" t="s">
        <v>1</v>
      </c>
      <c r="D541">
        <v>7</v>
      </c>
    </row>
    <row r="542" spans="1:4" x14ac:dyDescent="0.3">
      <c r="A542">
        <v>2021</v>
      </c>
      <c r="B542" t="s">
        <v>53</v>
      </c>
      <c r="C542" t="s">
        <v>60</v>
      </c>
      <c r="D542">
        <v>5</v>
      </c>
    </row>
    <row r="543" spans="1:4" x14ac:dyDescent="0.3">
      <c r="A543">
        <v>2021</v>
      </c>
      <c r="B543" t="s">
        <v>53</v>
      </c>
      <c r="C543" t="s">
        <v>59</v>
      </c>
      <c r="D543">
        <v>0</v>
      </c>
    </row>
    <row r="544" spans="1:4" x14ac:dyDescent="0.3">
      <c r="A544">
        <v>2021</v>
      </c>
      <c r="B544" t="s">
        <v>53</v>
      </c>
      <c r="C544" t="s">
        <v>61</v>
      </c>
      <c r="D544">
        <v>31</v>
      </c>
    </row>
    <row r="545" spans="1:4" x14ac:dyDescent="0.3">
      <c r="A545">
        <v>2021</v>
      </c>
      <c r="B545" t="s">
        <v>53</v>
      </c>
      <c r="C545" t="s">
        <v>1</v>
      </c>
      <c r="D545">
        <v>88</v>
      </c>
    </row>
    <row r="546" spans="1:4" x14ac:dyDescent="0.3">
      <c r="A546">
        <v>2021</v>
      </c>
      <c r="B546" t="s">
        <v>54</v>
      </c>
      <c r="C546" t="s">
        <v>60</v>
      </c>
      <c r="D546">
        <v>0</v>
      </c>
    </row>
    <row r="547" spans="1:4" x14ac:dyDescent="0.3">
      <c r="A547">
        <v>2021</v>
      </c>
      <c r="B547" t="s">
        <v>54</v>
      </c>
      <c r="C547" t="s">
        <v>59</v>
      </c>
      <c r="D547">
        <v>20</v>
      </c>
    </row>
    <row r="548" spans="1:4" x14ac:dyDescent="0.3">
      <c r="A548">
        <v>2021</v>
      </c>
      <c r="B548" t="s">
        <v>54</v>
      </c>
      <c r="C548" t="s">
        <v>61</v>
      </c>
      <c r="D548">
        <v>12</v>
      </c>
    </row>
    <row r="549" spans="1:4" x14ac:dyDescent="0.3">
      <c r="A549">
        <v>2021</v>
      </c>
      <c r="B549" t="s">
        <v>54</v>
      </c>
      <c r="C549" t="s">
        <v>1</v>
      </c>
      <c r="D549">
        <v>15</v>
      </c>
    </row>
    <row r="550" spans="1:4" x14ac:dyDescent="0.3">
      <c r="A550">
        <v>2021</v>
      </c>
      <c r="B550" t="s">
        <v>55</v>
      </c>
      <c r="C550" t="s">
        <v>60</v>
      </c>
      <c r="D550">
        <v>1</v>
      </c>
    </row>
    <row r="551" spans="1:4" x14ac:dyDescent="0.3">
      <c r="A551">
        <v>2021</v>
      </c>
      <c r="B551" t="s">
        <v>55</v>
      </c>
      <c r="C551" t="s">
        <v>59</v>
      </c>
      <c r="D551">
        <v>14</v>
      </c>
    </row>
    <row r="552" spans="1:4" x14ac:dyDescent="0.3">
      <c r="A552">
        <v>2021</v>
      </c>
      <c r="B552" t="s">
        <v>55</v>
      </c>
      <c r="C552" t="s">
        <v>61</v>
      </c>
      <c r="D552">
        <v>17</v>
      </c>
    </row>
    <row r="553" spans="1:4" x14ac:dyDescent="0.3">
      <c r="A553">
        <v>2021</v>
      </c>
      <c r="B553" t="s">
        <v>55</v>
      </c>
      <c r="C553" t="s">
        <v>1</v>
      </c>
      <c r="D553">
        <v>49</v>
      </c>
    </row>
  </sheetData>
  <autoFilter ref="A1:D553" xr:uid="{C3444AF0-1D78-45D1-8579-61B22D1CFB08}">
    <sortState xmlns:xlrd2="http://schemas.microsoft.com/office/spreadsheetml/2017/richdata2" ref="A370:D553">
      <sortCondition ref="B2:B553"/>
      <sortCondition ref="C2:C553"/>
    </sortState>
  </autoFilter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1CED-0EE1-4E3A-9F83-AFCE2F7A7078}">
  <sheetPr codeName="Sheet18"/>
  <dimension ref="A1:I51"/>
  <sheetViews>
    <sheetView workbookViewId="0">
      <selection activeCell="G10" sqref="G10"/>
    </sheetView>
  </sheetViews>
  <sheetFormatPr defaultRowHeight="14.4" x14ac:dyDescent="0.3"/>
  <cols>
    <col min="2" max="2" width="20.77734375" bestFit="1" customWidth="1"/>
    <col min="3" max="7" width="18.77734375" customWidth="1"/>
    <col min="8" max="9" width="11.21875" customWidth="1"/>
  </cols>
  <sheetData>
    <row r="1" spans="1:9" x14ac:dyDescent="0.3">
      <c r="B1" s="184" t="s">
        <v>144</v>
      </c>
      <c r="C1" s="184"/>
      <c r="D1" s="184"/>
      <c r="E1" s="184"/>
      <c r="F1" s="184"/>
      <c r="G1" s="184"/>
      <c r="H1" s="184"/>
      <c r="I1" s="184"/>
    </row>
    <row r="2" spans="1:9" x14ac:dyDescent="0.3">
      <c r="C2" t="s">
        <v>1</v>
      </c>
      <c r="D2" t="s">
        <v>59</v>
      </c>
      <c r="E2" t="s">
        <v>60</v>
      </c>
      <c r="F2" t="s">
        <v>61</v>
      </c>
      <c r="G2" t="s">
        <v>5</v>
      </c>
    </row>
    <row r="3" spans="1:9" x14ac:dyDescent="0.3">
      <c r="A3">
        <v>2020</v>
      </c>
      <c r="B3" t="s">
        <v>0</v>
      </c>
      <c r="C3" s="106">
        <f>SUM(C4,C44)</f>
        <v>1698</v>
      </c>
      <c r="D3" s="106">
        <f t="shared" ref="D3:F3" si="0">SUM(D4,D44)</f>
        <v>1343</v>
      </c>
      <c r="E3" s="106">
        <f t="shared" si="0"/>
        <v>114</v>
      </c>
      <c r="F3" s="106">
        <f t="shared" si="0"/>
        <v>1039</v>
      </c>
      <c r="G3" s="106">
        <f>SUM(C3:F3)</f>
        <v>4194</v>
      </c>
    </row>
    <row r="4" spans="1:9" x14ac:dyDescent="0.3">
      <c r="A4">
        <v>2020</v>
      </c>
      <c r="B4" t="s">
        <v>62</v>
      </c>
      <c r="C4" s="106">
        <f>SUM(C5:C43)</f>
        <v>948</v>
      </c>
      <c r="D4" s="106">
        <f>SUM(D5:D43)</f>
        <v>1312</v>
      </c>
      <c r="E4" s="106">
        <f>SUM(E5:E43)</f>
        <v>93</v>
      </c>
      <c r="F4" s="106">
        <f>SUM(F5:F43)</f>
        <v>658</v>
      </c>
      <c r="G4" s="106">
        <f>SUM(G5:G43)</f>
        <v>3011</v>
      </c>
    </row>
    <row r="5" spans="1:9" x14ac:dyDescent="0.3">
      <c r="A5">
        <v>2020</v>
      </c>
      <c r="B5" t="s">
        <v>10</v>
      </c>
      <c r="C5" s="106">
        <f>SUMPRODUCT((raw!$A$2:$A$369='(2019-20)'!$A5)*(raw!$B$2:$B$369='(2019-20)'!$B5)*(raw!$C$2:$C$369='(2019-20)'!C$2)*(raw!$D$2:$D$369))</f>
        <v>26</v>
      </c>
      <c r="D5" s="106">
        <f>SUMPRODUCT((raw!$A$2:$A$369='(2019-20)'!$A5)*(raw!$B$2:$B$369='(2019-20)'!$B5)*(raw!$C$2:$C$369='(2019-20)'!D$2)*(raw!$D$2:$D$369))</f>
        <v>11</v>
      </c>
      <c r="E5" s="106">
        <f>SUMPRODUCT((raw!$A$2:$A$369='(2019-20)'!$A5)*(raw!$B$2:$B$369='(2019-20)'!$B5)*(raw!$C$2:$C$369='(2019-20)'!E$2)*(raw!$D$2:$D$369))</f>
        <v>1</v>
      </c>
      <c r="F5" s="106">
        <f>SUMPRODUCT((raw!$A$2:$A$369='(2019-20)'!$A5)*(raw!$B$2:$B$369='(2019-20)'!$B5)*(raw!$C$2:$C$369='(2019-20)'!F$2)*(raw!$D$2:$D$369))</f>
        <v>19</v>
      </c>
      <c r="G5" s="106">
        <f>SUM(C5:F5)</f>
        <v>57</v>
      </c>
    </row>
    <row r="6" spans="1:9" x14ac:dyDescent="0.3">
      <c r="A6">
        <v>2020</v>
      </c>
      <c r="B6" t="s">
        <v>11</v>
      </c>
      <c r="C6" s="106">
        <f>SUMPRODUCT((raw!$A$2:$A$369='(2019-20)'!$A6)*(raw!$B$2:$B$369='(2019-20)'!$B6)*(raw!$C$2:$C$369='(2019-20)'!C$2)*(raw!$D$2:$D$369))</f>
        <v>19</v>
      </c>
      <c r="D6" s="106">
        <f>SUMPRODUCT((raw!$A$2:$A$369='(2019-20)'!$A6)*(raw!$B$2:$B$369='(2019-20)'!$B6)*(raw!$C$2:$C$369='(2019-20)'!D$2)*(raw!$D$2:$D$369))</f>
        <v>14</v>
      </c>
      <c r="E6" s="106">
        <f>SUMPRODUCT((raw!$A$2:$A$369='(2019-20)'!$A6)*(raw!$B$2:$B$369='(2019-20)'!$B6)*(raw!$C$2:$C$369='(2019-20)'!E$2)*(raw!$D$2:$D$369))</f>
        <v>3</v>
      </c>
      <c r="F6" s="106">
        <f>SUMPRODUCT((raw!$A$2:$A$369='(2019-20)'!$A6)*(raw!$B$2:$B$369='(2019-20)'!$B6)*(raw!$C$2:$C$369='(2019-20)'!F$2)*(raw!$D$2:$D$369))</f>
        <v>15</v>
      </c>
      <c r="G6" s="106">
        <f t="shared" ref="G6:G51" si="1">SUM(C6:F6)</f>
        <v>51</v>
      </c>
    </row>
    <row r="7" spans="1:9" x14ac:dyDescent="0.3">
      <c r="A7">
        <v>2020</v>
      </c>
      <c r="B7" t="s">
        <v>12</v>
      </c>
      <c r="C7" s="106">
        <f>SUMPRODUCT((raw!$A$2:$A$369='(2019-20)'!$A7)*(raw!$B$2:$B$369='(2019-20)'!$B7)*(raw!$C$2:$C$369='(2019-20)'!C$2)*(raw!$D$2:$D$369))</f>
        <v>25</v>
      </c>
      <c r="D7" s="106">
        <f>SUMPRODUCT((raw!$A$2:$A$369='(2019-20)'!$A7)*(raw!$B$2:$B$369='(2019-20)'!$B7)*(raw!$C$2:$C$369='(2019-20)'!D$2)*(raw!$D$2:$D$369))</f>
        <v>14</v>
      </c>
      <c r="E7" s="106">
        <f>SUMPRODUCT((raw!$A$2:$A$369='(2019-20)'!$A7)*(raw!$B$2:$B$369='(2019-20)'!$B7)*(raw!$C$2:$C$369='(2019-20)'!E$2)*(raw!$D$2:$D$369))</f>
        <v>3</v>
      </c>
      <c r="F7" s="106">
        <f>SUMPRODUCT((raw!$A$2:$A$369='(2019-20)'!$A7)*(raw!$B$2:$B$369='(2019-20)'!$B7)*(raw!$C$2:$C$369='(2019-20)'!F$2)*(raw!$D$2:$D$369))</f>
        <v>31</v>
      </c>
      <c r="G7" s="106">
        <f t="shared" si="1"/>
        <v>73</v>
      </c>
    </row>
    <row r="8" spans="1:9" x14ac:dyDescent="0.3">
      <c r="A8">
        <v>2020</v>
      </c>
      <c r="B8" t="s">
        <v>13</v>
      </c>
      <c r="C8" s="106">
        <f>SUMPRODUCT((raw!$A$2:$A$369='(2019-20)'!$A8)*(raw!$B$2:$B$369='(2019-20)'!$B8)*(raw!$C$2:$C$369='(2019-20)'!C$2)*(raw!$D$2:$D$369))</f>
        <v>16</v>
      </c>
      <c r="D8" s="106">
        <f>SUMPRODUCT((raw!$A$2:$A$369='(2019-20)'!$A8)*(raw!$B$2:$B$369='(2019-20)'!$B8)*(raw!$C$2:$C$369='(2019-20)'!D$2)*(raw!$D$2:$D$369))</f>
        <v>29</v>
      </c>
      <c r="E8" s="106">
        <f>SUMPRODUCT((raw!$A$2:$A$369='(2019-20)'!$A8)*(raw!$B$2:$B$369='(2019-20)'!$B8)*(raw!$C$2:$C$369='(2019-20)'!E$2)*(raw!$D$2:$D$369))</f>
        <v>0</v>
      </c>
      <c r="F8" s="106">
        <f>SUMPRODUCT((raw!$A$2:$A$369='(2019-20)'!$A8)*(raw!$B$2:$B$369='(2019-20)'!$B8)*(raw!$C$2:$C$369='(2019-20)'!F$2)*(raw!$D$2:$D$369))</f>
        <v>20</v>
      </c>
      <c r="G8" s="106">
        <f t="shared" si="1"/>
        <v>65</v>
      </c>
    </row>
    <row r="9" spans="1:9" x14ac:dyDescent="0.3">
      <c r="A9">
        <v>2020</v>
      </c>
      <c r="B9" t="s">
        <v>14</v>
      </c>
      <c r="C9" s="106">
        <f>SUMPRODUCT((raw!$A$2:$A$369='(2019-20)'!$A9)*(raw!$B$2:$B$369='(2019-20)'!$B9)*(raw!$C$2:$C$369='(2019-20)'!C$2)*(raw!$D$2:$D$369))</f>
        <v>17</v>
      </c>
      <c r="D9" s="106">
        <f>SUMPRODUCT((raw!$A$2:$A$369='(2019-20)'!$A9)*(raw!$B$2:$B$369='(2019-20)'!$B9)*(raw!$C$2:$C$369='(2019-20)'!D$2)*(raw!$D$2:$D$369))</f>
        <v>22</v>
      </c>
      <c r="E9" s="106">
        <f>SUMPRODUCT((raw!$A$2:$A$369='(2019-20)'!$A9)*(raw!$B$2:$B$369='(2019-20)'!$B9)*(raw!$C$2:$C$369='(2019-20)'!E$2)*(raw!$D$2:$D$369))</f>
        <v>6</v>
      </c>
      <c r="F9" s="106">
        <f>SUMPRODUCT((raw!$A$2:$A$369='(2019-20)'!$A9)*(raw!$B$2:$B$369='(2019-20)'!$B9)*(raw!$C$2:$C$369='(2019-20)'!F$2)*(raw!$D$2:$D$369))</f>
        <v>19</v>
      </c>
      <c r="G9" s="106">
        <f t="shared" si="1"/>
        <v>64</v>
      </c>
    </row>
    <row r="10" spans="1:9" x14ac:dyDescent="0.3">
      <c r="A10">
        <v>2020</v>
      </c>
      <c r="B10" t="s">
        <v>15</v>
      </c>
      <c r="C10" s="106">
        <f>SUMPRODUCT((raw!$A$2:$A$369='(2019-20)'!$A10)*(raw!$B$2:$B$369='(2019-20)'!$B10)*(raw!$C$2:$C$369='(2019-20)'!C$2)*(raw!$D$2:$D$369))</f>
        <v>31</v>
      </c>
      <c r="D10" s="106">
        <f>SUMPRODUCT((raw!$A$2:$A$369='(2019-20)'!$A10)*(raw!$B$2:$B$369='(2019-20)'!$B10)*(raw!$C$2:$C$369='(2019-20)'!D$2)*(raw!$D$2:$D$369))</f>
        <v>36</v>
      </c>
      <c r="E10" s="106">
        <f>SUMPRODUCT((raw!$A$2:$A$369='(2019-20)'!$A10)*(raw!$B$2:$B$369='(2019-20)'!$B10)*(raw!$C$2:$C$369='(2019-20)'!E$2)*(raw!$D$2:$D$369))</f>
        <v>0</v>
      </c>
      <c r="F10" s="106">
        <f>SUMPRODUCT((raw!$A$2:$A$369='(2019-20)'!$A10)*(raw!$B$2:$B$369='(2019-20)'!$B10)*(raw!$C$2:$C$369='(2019-20)'!F$2)*(raw!$D$2:$D$369))</f>
        <v>21</v>
      </c>
      <c r="G10" s="106">
        <f t="shared" si="1"/>
        <v>88</v>
      </c>
    </row>
    <row r="11" spans="1:9" x14ac:dyDescent="0.3">
      <c r="A11">
        <v>2020</v>
      </c>
      <c r="B11" t="s">
        <v>16</v>
      </c>
      <c r="C11" s="106">
        <f>SUMPRODUCT((raw!$A$2:$A$369='(2019-20)'!$A11)*(raw!$B$2:$B$369='(2019-20)'!$B11)*(raw!$C$2:$C$369='(2019-20)'!C$2)*(raw!$D$2:$D$369))</f>
        <v>25</v>
      </c>
      <c r="D11" s="106">
        <f>SUMPRODUCT((raw!$A$2:$A$369='(2019-20)'!$A11)*(raw!$B$2:$B$369='(2019-20)'!$B11)*(raw!$C$2:$C$369='(2019-20)'!D$2)*(raw!$D$2:$D$369))</f>
        <v>15</v>
      </c>
      <c r="E11" s="106">
        <f>SUMPRODUCT((raw!$A$2:$A$369='(2019-20)'!$A11)*(raw!$B$2:$B$369='(2019-20)'!$B11)*(raw!$C$2:$C$369='(2019-20)'!E$2)*(raw!$D$2:$D$369))</f>
        <v>4</v>
      </c>
      <c r="F11" s="106">
        <f>SUMPRODUCT((raw!$A$2:$A$369='(2019-20)'!$A11)*(raw!$B$2:$B$369='(2019-20)'!$B11)*(raw!$C$2:$C$369='(2019-20)'!F$2)*(raw!$D$2:$D$369))</f>
        <v>12</v>
      </c>
      <c r="G11" s="106">
        <f t="shared" si="1"/>
        <v>56</v>
      </c>
    </row>
    <row r="12" spans="1:9" x14ac:dyDescent="0.3">
      <c r="A12">
        <v>2020</v>
      </c>
      <c r="B12" t="s">
        <v>17</v>
      </c>
      <c r="C12" s="106">
        <f>SUMPRODUCT((raw!$A$2:$A$369='(2019-20)'!$A12)*(raw!$B$2:$B$369='(2019-20)'!$B12)*(raw!$C$2:$C$369='(2019-20)'!C$2)*(raw!$D$2:$D$369))</f>
        <v>13</v>
      </c>
      <c r="D12" s="106">
        <f>SUMPRODUCT((raw!$A$2:$A$369='(2019-20)'!$A12)*(raw!$B$2:$B$369='(2019-20)'!$B12)*(raw!$C$2:$C$369='(2019-20)'!D$2)*(raw!$D$2:$D$369))</f>
        <v>24</v>
      </c>
      <c r="E12" s="106">
        <f>SUMPRODUCT((raw!$A$2:$A$369='(2019-20)'!$A12)*(raw!$B$2:$B$369='(2019-20)'!$B12)*(raw!$C$2:$C$369='(2019-20)'!E$2)*(raw!$D$2:$D$369))</f>
        <v>2</v>
      </c>
      <c r="F12" s="106">
        <f>SUMPRODUCT((raw!$A$2:$A$369='(2019-20)'!$A12)*(raw!$B$2:$B$369='(2019-20)'!$B12)*(raw!$C$2:$C$369='(2019-20)'!F$2)*(raw!$D$2:$D$369))</f>
        <v>4</v>
      </c>
      <c r="G12" s="106">
        <f t="shared" si="1"/>
        <v>43</v>
      </c>
    </row>
    <row r="13" spans="1:9" x14ac:dyDescent="0.3">
      <c r="A13">
        <v>2020</v>
      </c>
      <c r="B13" t="s">
        <v>18</v>
      </c>
      <c r="C13" s="106">
        <f>SUMPRODUCT((raw!$A$2:$A$369='(2019-20)'!$A13)*(raw!$B$2:$B$369='(2019-20)'!$B13)*(raw!$C$2:$C$369='(2019-20)'!C$2)*(raw!$D$2:$D$369))</f>
        <v>19</v>
      </c>
      <c r="D13" s="106">
        <f>SUMPRODUCT((raw!$A$2:$A$369='(2019-20)'!$A13)*(raw!$B$2:$B$369='(2019-20)'!$B13)*(raw!$C$2:$C$369='(2019-20)'!D$2)*(raw!$D$2:$D$369))</f>
        <v>35</v>
      </c>
      <c r="E13" s="106">
        <f>SUMPRODUCT((raw!$A$2:$A$369='(2019-20)'!$A13)*(raw!$B$2:$B$369='(2019-20)'!$B13)*(raw!$C$2:$C$369='(2019-20)'!E$2)*(raw!$D$2:$D$369))</f>
        <v>0</v>
      </c>
      <c r="F13" s="106">
        <f>SUMPRODUCT((raw!$A$2:$A$369='(2019-20)'!$A13)*(raw!$B$2:$B$369='(2019-20)'!$B13)*(raw!$C$2:$C$369='(2019-20)'!F$2)*(raw!$D$2:$D$369))</f>
        <v>2</v>
      </c>
      <c r="G13" s="106">
        <f t="shared" si="1"/>
        <v>56</v>
      </c>
    </row>
    <row r="14" spans="1:9" x14ac:dyDescent="0.3">
      <c r="A14">
        <v>2020</v>
      </c>
      <c r="B14" t="s">
        <v>19</v>
      </c>
      <c r="C14" s="106">
        <f>SUMPRODUCT((raw!$A$2:$A$369='(2019-20)'!$A14)*(raw!$B$2:$B$369='(2019-20)'!$B14)*(raw!$C$2:$C$369='(2019-20)'!C$2)*(raw!$D$2:$D$369))</f>
        <v>25</v>
      </c>
      <c r="D14" s="106">
        <f>SUMPRODUCT((raw!$A$2:$A$369='(2019-20)'!$A14)*(raw!$B$2:$B$369='(2019-20)'!$B14)*(raw!$C$2:$C$369='(2019-20)'!D$2)*(raw!$D$2:$D$369))</f>
        <v>47</v>
      </c>
      <c r="E14" s="106">
        <f>SUMPRODUCT((raw!$A$2:$A$369='(2019-20)'!$A14)*(raw!$B$2:$B$369='(2019-20)'!$B14)*(raw!$C$2:$C$369='(2019-20)'!E$2)*(raw!$D$2:$D$369))</f>
        <v>17</v>
      </c>
      <c r="F14" s="106">
        <f>SUMPRODUCT((raw!$A$2:$A$369='(2019-20)'!$A14)*(raw!$B$2:$B$369='(2019-20)'!$B14)*(raw!$C$2:$C$369='(2019-20)'!F$2)*(raw!$D$2:$D$369))</f>
        <v>31</v>
      </c>
      <c r="G14" s="106">
        <f t="shared" si="1"/>
        <v>120</v>
      </c>
    </row>
    <row r="15" spans="1:9" x14ac:dyDescent="0.3">
      <c r="A15">
        <v>2020</v>
      </c>
      <c r="B15" t="s">
        <v>20</v>
      </c>
      <c r="C15" s="106">
        <f>SUMPRODUCT((raw!$A$2:$A$369='(2019-20)'!$A15)*(raw!$B$2:$B$369='(2019-20)'!$B15)*(raw!$C$2:$C$369='(2019-20)'!C$2)*(raw!$D$2:$D$369))</f>
        <v>38</v>
      </c>
      <c r="D15" s="106">
        <f>SUMPRODUCT((raw!$A$2:$A$369='(2019-20)'!$A15)*(raw!$B$2:$B$369='(2019-20)'!$B15)*(raw!$C$2:$C$369='(2019-20)'!D$2)*(raw!$D$2:$D$369))</f>
        <v>110</v>
      </c>
      <c r="E15" s="106">
        <f>SUMPRODUCT((raw!$A$2:$A$369='(2019-20)'!$A15)*(raw!$B$2:$B$369='(2019-20)'!$B15)*(raw!$C$2:$C$369='(2019-20)'!E$2)*(raw!$D$2:$D$369))</f>
        <v>2</v>
      </c>
      <c r="F15" s="106">
        <f>SUMPRODUCT((raw!$A$2:$A$369='(2019-20)'!$A15)*(raw!$B$2:$B$369='(2019-20)'!$B15)*(raw!$C$2:$C$369='(2019-20)'!F$2)*(raw!$D$2:$D$369))</f>
        <v>34</v>
      </c>
      <c r="G15" s="106">
        <f t="shared" si="1"/>
        <v>184</v>
      </c>
    </row>
    <row r="16" spans="1:9" x14ac:dyDescent="0.3">
      <c r="A16">
        <v>2020</v>
      </c>
      <c r="B16" t="s">
        <v>105</v>
      </c>
      <c r="C16" s="106">
        <f>SUMPRODUCT((raw!$A$2:$A$369='(2019-20)'!$A16)*(raw!$B$2:$B$369='(2019-20)'!$B16)*(raw!$C$2:$C$369='(2019-20)'!C$2)*(raw!$D$2:$D$369))</f>
        <v>40</v>
      </c>
      <c r="D16" s="106">
        <f>SUMPRODUCT((raw!$A$2:$A$369='(2019-20)'!$A16)*(raw!$B$2:$B$369='(2019-20)'!$B16)*(raw!$C$2:$C$369='(2019-20)'!D$2)*(raw!$D$2:$D$369))</f>
        <v>83</v>
      </c>
      <c r="E16" s="106">
        <f>SUMPRODUCT((raw!$A$2:$A$369='(2019-20)'!$A16)*(raw!$B$2:$B$369='(2019-20)'!$B16)*(raw!$C$2:$C$369='(2019-20)'!E$2)*(raw!$D$2:$D$369))</f>
        <v>4</v>
      </c>
      <c r="F16" s="106">
        <f>SUMPRODUCT((raw!$A$2:$A$369='(2019-20)'!$A16)*(raw!$B$2:$B$369='(2019-20)'!$B16)*(raw!$C$2:$C$369='(2019-20)'!F$2)*(raw!$D$2:$D$369))</f>
        <v>35</v>
      </c>
      <c r="G16" s="106">
        <f t="shared" si="1"/>
        <v>162</v>
      </c>
    </row>
    <row r="17" spans="1:7" x14ac:dyDescent="0.3">
      <c r="A17">
        <v>2020</v>
      </c>
      <c r="B17" t="s">
        <v>22</v>
      </c>
      <c r="C17" s="106">
        <f>SUMPRODUCT((raw!$A$2:$A$369='(2019-20)'!$A17)*(raw!$B$2:$B$369='(2019-20)'!$B17)*(raw!$C$2:$C$369='(2019-20)'!C$2)*(raw!$D$2:$D$369))</f>
        <v>22</v>
      </c>
      <c r="D17" s="106">
        <f>SUMPRODUCT((raw!$A$2:$A$369='(2019-20)'!$A17)*(raw!$B$2:$B$369='(2019-20)'!$B17)*(raw!$C$2:$C$369='(2019-20)'!D$2)*(raw!$D$2:$D$369))</f>
        <v>17</v>
      </c>
      <c r="E17" s="106">
        <f>SUMPRODUCT((raw!$A$2:$A$369='(2019-20)'!$A17)*(raw!$B$2:$B$369='(2019-20)'!$B17)*(raw!$C$2:$C$369='(2019-20)'!E$2)*(raw!$D$2:$D$369))</f>
        <v>0</v>
      </c>
      <c r="F17" s="106">
        <f>SUMPRODUCT((raw!$A$2:$A$369='(2019-20)'!$A17)*(raw!$B$2:$B$369='(2019-20)'!$B17)*(raw!$C$2:$C$369='(2019-20)'!F$2)*(raw!$D$2:$D$369))</f>
        <v>9</v>
      </c>
      <c r="G17" s="106">
        <f t="shared" si="1"/>
        <v>48</v>
      </c>
    </row>
    <row r="18" spans="1:7" x14ac:dyDescent="0.3">
      <c r="A18">
        <v>2020</v>
      </c>
      <c r="B18" t="s">
        <v>23</v>
      </c>
      <c r="C18" s="106">
        <f>SUMPRODUCT((raw!$A$2:$A$369='(2019-20)'!$A18)*(raw!$B$2:$B$369='(2019-20)'!$B18)*(raw!$C$2:$C$369='(2019-20)'!C$2)*(raw!$D$2:$D$369))</f>
        <v>19</v>
      </c>
      <c r="D18" s="106">
        <f>SUMPRODUCT((raw!$A$2:$A$369='(2019-20)'!$A18)*(raw!$B$2:$B$369='(2019-20)'!$B18)*(raw!$C$2:$C$369='(2019-20)'!D$2)*(raw!$D$2:$D$369))</f>
        <v>18</v>
      </c>
      <c r="E18" s="106">
        <f>SUMPRODUCT((raw!$A$2:$A$369='(2019-20)'!$A18)*(raw!$B$2:$B$369='(2019-20)'!$B18)*(raw!$C$2:$C$369='(2019-20)'!E$2)*(raw!$D$2:$D$369))</f>
        <v>18</v>
      </c>
      <c r="F18" s="106">
        <f>SUMPRODUCT((raw!$A$2:$A$369='(2019-20)'!$A18)*(raw!$B$2:$B$369='(2019-20)'!$B18)*(raw!$C$2:$C$369='(2019-20)'!F$2)*(raw!$D$2:$D$369))</f>
        <v>17</v>
      </c>
      <c r="G18" s="106">
        <f t="shared" si="1"/>
        <v>72</v>
      </c>
    </row>
    <row r="19" spans="1:7" x14ac:dyDescent="0.3">
      <c r="A19">
        <v>2020</v>
      </c>
      <c r="B19" t="s">
        <v>24</v>
      </c>
      <c r="C19" s="106">
        <f>SUMPRODUCT((raw!$A$2:$A$369='(2019-20)'!$A19)*(raw!$B$2:$B$369='(2019-20)'!$B19)*(raw!$C$2:$C$369='(2019-20)'!C$2)*(raw!$D$2:$D$369))</f>
        <v>46</v>
      </c>
      <c r="D19" s="106">
        <f>SUMPRODUCT((raw!$A$2:$A$369='(2019-20)'!$A19)*(raw!$B$2:$B$369='(2019-20)'!$B19)*(raw!$C$2:$C$369='(2019-20)'!D$2)*(raw!$D$2:$D$369))</f>
        <v>78</v>
      </c>
      <c r="E19" s="106">
        <f>SUMPRODUCT((raw!$A$2:$A$369='(2019-20)'!$A19)*(raw!$B$2:$B$369='(2019-20)'!$B19)*(raw!$C$2:$C$369='(2019-20)'!E$2)*(raw!$D$2:$D$369))</f>
        <v>0</v>
      </c>
      <c r="F19" s="106">
        <f>SUMPRODUCT((raw!$A$2:$A$369='(2019-20)'!$A19)*(raw!$B$2:$B$369='(2019-20)'!$B19)*(raw!$C$2:$C$369='(2019-20)'!F$2)*(raw!$D$2:$D$369))</f>
        <v>33</v>
      </c>
      <c r="G19" s="106">
        <f t="shared" si="1"/>
        <v>157</v>
      </c>
    </row>
    <row r="20" spans="1:7" x14ac:dyDescent="0.3">
      <c r="A20">
        <v>2020</v>
      </c>
      <c r="B20" t="s">
        <v>25</v>
      </c>
      <c r="C20" s="106">
        <f>SUMPRODUCT((raw!$A$2:$A$369='(2019-20)'!$A20)*(raw!$B$2:$B$369='(2019-20)'!$B20)*(raw!$C$2:$C$369='(2019-20)'!C$2)*(raw!$D$2:$D$369))</f>
        <v>15</v>
      </c>
      <c r="D20" s="106">
        <f>SUMPRODUCT((raw!$A$2:$A$369='(2019-20)'!$A20)*(raw!$B$2:$B$369='(2019-20)'!$B20)*(raw!$C$2:$C$369='(2019-20)'!D$2)*(raw!$D$2:$D$369))</f>
        <v>49</v>
      </c>
      <c r="E20" s="106">
        <f>SUMPRODUCT((raw!$A$2:$A$369='(2019-20)'!$A20)*(raw!$B$2:$B$369='(2019-20)'!$B20)*(raw!$C$2:$C$369='(2019-20)'!E$2)*(raw!$D$2:$D$369))</f>
        <v>1</v>
      </c>
      <c r="F20" s="106">
        <f>SUMPRODUCT((raw!$A$2:$A$369='(2019-20)'!$A20)*(raw!$B$2:$B$369='(2019-20)'!$B20)*(raw!$C$2:$C$369='(2019-20)'!F$2)*(raw!$D$2:$D$369))</f>
        <v>2</v>
      </c>
      <c r="G20" s="106">
        <f t="shared" si="1"/>
        <v>67</v>
      </c>
    </row>
    <row r="21" spans="1:7" x14ac:dyDescent="0.3">
      <c r="A21">
        <v>2020</v>
      </c>
      <c r="B21" t="s">
        <v>28</v>
      </c>
      <c r="C21" s="106">
        <f>SUMPRODUCT((raw!$A$2:$A$369='(2019-20)'!$A21)*(raw!$B$2:$B$369='(2019-20)'!$B21)*(raw!$C$2:$C$369='(2019-20)'!C$2)*(raw!$D$2:$D$369))</f>
        <v>58</v>
      </c>
      <c r="D21" s="106">
        <f>SUMPRODUCT((raw!$A$2:$A$369='(2019-20)'!$A21)*(raw!$B$2:$B$369='(2019-20)'!$B21)*(raw!$C$2:$C$369='(2019-20)'!D$2)*(raw!$D$2:$D$369))</f>
        <v>78</v>
      </c>
      <c r="E21" s="106">
        <f>SUMPRODUCT((raw!$A$2:$A$369='(2019-20)'!$A21)*(raw!$B$2:$B$369='(2019-20)'!$B21)*(raw!$C$2:$C$369='(2019-20)'!E$2)*(raw!$D$2:$D$369))</f>
        <v>2</v>
      </c>
      <c r="F21" s="106">
        <f>SUMPRODUCT((raw!$A$2:$A$369='(2019-20)'!$A21)*(raw!$B$2:$B$369='(2019-20)'!$B21)*(raw!$C$2:$C$369='(2019-20)'!F$2)*(raw!$D$2:$D$369))</f>
        <v>43</v>
      </c>
      <c r="G21" s="106">
        <f t="shared" si="1"/>
        <v>181</v>
      </c>
    </row>
    <row r="22" spans="1:7" x14ac:dyDescent="0.3">
      <c r="A22">
        <v>2020</v>
      </c>
      <c r="B22" t="s">
        <v>29</v>
      </c>
      <c r="C22" s="106">
        <f>SUMPRODUCT((raw!$A$2:$A$369='(2019-20)'!$A22)*(raw!$B$2:$B$369='(2019-20)'!$B22)*(raw!$C$2:$C$369='(2019-20)'!C$2)*(raw!$D$2:$D$369))</f>
        <v>28</v>
      </c>
      <c r="D22" s="106">
        <f>SUMPRODUCT((raw!$A$2:$A$369='(2019-20)'!$A22)*(raw!$B$2:$B$369='(2019-20)'!$B22)*(raw!$C$2:$C$369='(2019-20)'!D$2)*(raw!$D$2:$D$369))</f>
        <v>40</v>
      </c>
      <c r="E22" s="106">
        <f>SUMPRODUCT((raw!$A$2:$A$369='(2019-20)'!$A22)*(raw!$B$2:$B$369='(2019-20)'!$B22)*(raw!$C$2:$C$369='(2019-20)'!E$2)*(raw!$D$2:$D$369))</f>
        <v>0</v>
      </c>
      <c r="F22" s="106">
        <f>SUMPRODUCT((raw!$A$2:$A$369='(2019-20)'!$A22)*(raw!$B$2:$B$369='(2019-20)'!$B22)*(raw!$C$2:$C$369='(2019-20)'!F$2)*(raw!$D$2:$D$369))</f>
        <v>25</v>
      </c>
      <c r="G22" s="106">
        <f t="shared" si="1"/>
        <v>93</v>
      </c>
    </row>
    <row r="23" spans="1:7" x14ac:dyDescent="0.3">
      <c r="A23">
        <v>2020</v>
      </c>
      <c r="B23" t="s">
        <v>30</v>
      </c>
      <c r="C23" s="106">
        <f>SUMPRODUCT((raw!$A$2:$A$369='(2019-20)'!$A23)*(raw!$B$2:$B$369='(2019-20)'!$B23)*(raw!$C$2:$C$369='(2019-20)'!C$2)*(raw!$D$2:$D$369))</f>
        <v>37</v>
      </c>
      <c r="D23" s="106">
        <f>SUMPRODUCT((raw!$A$2:$A$369='(2019-20)'!$A23)*(raw!$B$2:$B$369='(2019-20)'!$B23)*(raw!$C$2:$C$369='(2019-20)'!D$2)*(raw!$D$2:$D$369))</f>
        <v>32</v>
      </c>
      <c r="E23" s="106">
        <f>SUMPRODUCT((raw!$A$2:$A$369='(2019-20)'!$A23)*(raw!$B$2:$B$369='(2019-20)'!$B23)*(raw!$C$2:$C$369='(2019-20)'!E$2)*(raw!$D$2:$D$369))</f>
        <v>7</v>
      </c>
      <c r="F23" s="106">
        <f>SUMPRODUCT((raw!$A$2:$A$369='(2019-20)'!$A23)*(raw!$B$2:$B$369='(2019-20)'!$B23)*(raw!$C$2:$C$369='(2019-20)'!F$2)*(raw!$D$2:$D$369))</f>
        <v>25</v>
      </c>
      <c r="G23" s="106">
        <f t="shared" si="1"/>
        <v>101</v>
      </c>
    </row>
    <row r="24" spans="1:7" x14ac:dyDescent="0.3">
      <c r="A24">
        <v>2020</v>
      </c>
      <c r="B24" t="s">
        <v>31</v>
      </c>
      <c r="C24" s="106">
        <f>SUMPRODUCT((raw!$A$2:$A$369='(2019-20)'!$A24)*(raw!$B$2:$B$369='(2019-20)'!$B24)*(raw!$C$2:$C$369='(2019-20)'!C$2)*(raw!$D$2:$D$369))</f>
        <v>48</v>
      </c>
      <c r="D24" s="106">
        <f>SUMPRODUCT((raw!$A$2:$A$369='(2019-20)'!$A24)*(raw!$B$2:$B$369='(2019-20)'!$B24)*(raw!$C$2:$C$369='(2019-20)'!D$2)*(raw!$D$2:$D$369))</f>
        <v>30</v>
      </c>
      <c r="E24" s="106">
        <f>SUMPRODUCT((raw!$A$2:$A$369='(2019-20)'!$A24)*(raw!$B$2:$B$369='(2019-20)'!$B24)*(raw!$C$2:$C$369='(2019-20)'!E$2)*(raw!$D$2:$D$369))</f>
        <v>0</v>
      </c>
      <c r="F24" s="106">
        <f>SUMPRODUCT((raw!$A$2:$A$369='(2019-20)'!$A24)*(raw!$B$2:$B$369='(2019-20)'!$B24)*(raw!$C$2:$C$369='(2019-20)'!F$2)*(raw!$D$2:$D$369))</f>
        <v>16</v>
      </c>
      <c r="G24" s="106">
        <f t="shared" si="1"/>
        <v>94</v>
      </c>
    </row>
    <row r="25" spans="1:7" x14ac:dyDescent="0.3">
      <c r="A25">
        <v>2020</v>
      </c>
      <c r="B25" t="s">
        <v>65</v>
      </c>
      <c r="C25" s="106">
        <f>SUMPRODUCT((raw!$A$2:$A$369='(2019-20)'!$A25)*(raw!$B$2:$B$369='(2019-20)'!$B25)*(raw!$C$2:$C$369='(2019-20)'!C$2)*(raw!$D$2:$D$369))</f>
        <v>2</v>
      </c>
      <c r="D25" s="106">
        <f>SUMPRODUCT((raw!$A$2:$A$369='(2019-20)'!$A25)*(raw!$B$2:$B$369='(2019-20)'!$B25)*(raw!$C$2:$C$369='(2019-20)'!D$2)*(raw!$D$2:$D$369))</f>
        <v>9</v>
      </c>
      <c r="E25" s="106">
        <f>SUMPRODUCT((raw!$A$2:$A$369='(2019-20)'!$A25)*(raw!$B$2:$B$369='(2019-20)'!$B25)*(raw!$C$2:$C$369='(2019-20)'!E$2)*(raw!$D$2:$D$369))</f>
        <v>0</v>
      </c>
      <c r="F25" s="106">
        <f>SUMPRODUCT((raw!$A$2:$A$369='(2019-20)'!$A25)*(raw!$B$2:$B$369='(2019-20)'!$B25)*(raw!$C$2:$C$369='(2019-20)'!F$2)*(raw!$D$2:$D$369))</f>
        <v>0</v>
      </c>
      <c r="G25" s="106">
        <f t="shared" si="1"/>
        <v>11</v>
      </c>
    </row>
    <row r="26" spans="1:7" x14ac:dyDescent="0.3">
      <c r="A26">
        <v>2020</v>
      </c>
      <c r="B26" t="s">
        <v>34</v>
      </c>
      <c r="C26" s="106">
        <f>SUMPRODUCT((raw!$A$2:$A$369='(2019-20)'!$A26)*(raw!$B$2:$B$369='(2019-20)'!$B26)*(raw!$C$2:$C$369='(2019-20)'!C$2)*(raw!$D$2:$D$369))</f>
        <v>61</v>
      </c>
      <c r="D26" s="106">
        <f>SUMPRODUCT((raw!$A$2:$A$369='(2019-20)'!$A26)*(raw!$B$2:$B$369='(2019-20)'!$B26)*(raw!$C$2:$C$369='(2019-20)'!D$2)*(raw!$D$2:$D$369))</f>
        <v>35</v>
      </c>
      <c r="E26" s="106">
        <f>SUMPRODUCT((raw!$A$2:$A$369='(2019-20)'!$A26)*(raw!$B$2:$B$369='(2019-20)'!$B26)*(raw!$C$2:$C$369='(2019-20)'!E$2)*(raw!$D$2:$D$369))</f>
        <v>1</v>
      </c>
      <c r="F26" s="106">
        <f>SUMPRODUCT((raw!$A$2:$A$369='(2019-20)'!$A26)*(raw!$B$2:$B$369='(2019-20)'!$B26)*(raw!$C$2:$C$369='(2019-20)'!F$2)*(raw!$D$2:$D$369))</f>
        <v>38</v>
      </c>
      <c r="G26" s="106">
        <f t="shared" si="1"/>
        <v>135</v>
      </c>
    </row>
    <row r="27" spans="1:7" x14ac:dyDescent="0.3">
      <c r="A27">
        <v>2020</v>
      </c>
      <c r="B27" t="s">
        <v>35</v>
      </c>
      <c r="C27" s="106">
        <f>SUMPRODUCT((raw!$A$2:$A$369='(2019-20)'!$A27)*(raw!$B$2:$B$369='(2019-20)'!$B27)*(raw!$C$2:$C$369='(2019-20)'!C$2)*(raw!$D$2:$D$369))</f>
        <v>42</v>
      </c>
      <c r="D27" s="106">
        <f>SUMPRODUCT((raw!$A$2:$A$369='(2019-20)'!$A27)*(raw!$B$2:$B$369='(2019-20)'!$B27)*(raw!$C$2:$C$369='(2019-20)'!D$2)*(raw!$D$2:$D$369))</f>
        <v>48</v>
      </c>
      <c r="E27" s="106">
        <f>SUMPRODUCT((raw!$A$2:$A$369='(2019-20)'!$A27)*(raw!$B$2:$B$369='(2019-20)'!$B27)*(raw!$C$2:$C$369='(2019-20)'!E$2)*(raw!$D$2:$D$369))</f>
        <v>0</v>
      </c>
      <c r="F27" s="106">
        <f>SUMPRODUCT((raw!$A$2:$A$369='(2019-20)'!$A27)*(raw!$B$2:$B$369='(2019-20)'!$B27)*(raw!$C$2:$C$369='(2019-20)'!F$2)*(raw!$D$2:$D$369))</f>
        <v>29</v>
      </c>
      <c r="G27" s="106">
        <f t="shared" si="1"/>
        <v>119</v>
      </c>
    </row>
    <row r="28" spans="1:7" x14ac:dyDescent="0.3">
      <c r="A28">
        <v>2020</v>
      </c>
      <c r="B28" t="s">
        <v>36</v>
      </c>
      <c r="C28" s="106">
        <f>SUMPRODUCT((raw!$A$2:$A$369='(2019-20)'!$A28)*(raw!$B$2:$B$369='(2019-20)'!$B28)*(raw!$C$2:$C$369='(2019-20)'!C$2)*(raw!$D$2:$D$369))</f>
        <v>19</v>
      </c>
      <c r="D28" s="106">
        <f>SUMPRODUCT((raw!$A$2:$A$369='(2019-20)'!$A28)*(raw!$B$2:$B$369='(2019-20)'!$B28)*(raw!$C$2:$C$369='(2019-20)'!D$2)*(raw!$D$2:$D$369))</f>
        <v>24</v>
      </c>
      <c r="E28" s="106">
        <f>SUMPRODUCT((raw!$A$2:$A$369='(2019-20)'!$A28)*(raw!$B$2:$B$369='(2019-20)'!$B28)*(raw!$C$2:$C$369='(2019-20)'!E$2)*(raw!$D$2:$D$369))</f>
        <v>2</v>
      </c>
      <c r="F28" s="106">
        <f>SUMPRODUCT((raw!$A$2:$A$369='(2019-20)'!$A28)*(raw!$B$2:$B$369='(2019-20)'!$B28)*(raw!$C$2:$C$369='(2019-20)'!F$2)*(raw!$D$2:$D$369))</f>
        <v>21</v>
      </c>
      <c r="G28" s="106">
        <f t="shared" si="1"/>
        <v>66</v>
      </c>
    </row>
    <row r="29" spans="1:7" x14ac:dyDescent="0.3">
      <c r="A29">
        <v>2020</v>
      </c>
      <c r="B29" t="s">
        <v>37</v>
      </c>
      <c r="C29" s="106">
        <f>SUMPRODUCT((raw!$A$2:$A$369='(2019-20)'!$A29)*(raw!$B$2:$B$369='(2019-20)'!$B29)*(raw!$C$2:$C$369='(2019-20)'!C$2)*(raw!$D$2:$D$369))</f>
        <v>8</v>
      </c>
      <c r="D29" s="106">
        <f>SUMPRODUCT((raw!$A$2:$A$369='(2019-20)'!$A29)*(raw!$B$2:$B$369='(2019-20)'!$B29)*(raw!$C$2:$C$369='(2019-20)'!D$2)*(raw!$D$2:$D$369))</f>
        <v>52</v>
      </c>
      <c r="E29" s="106">
        <f>SUMPRODUCT((raw!$A$2:$A$369='(2019-20)'!$A29)*(raw!$B$2:$B$369='(2019-20)'!$B29)*(raw!$C$2:$C$369='(2019-20)'!E$2)*(raw!$D$2:$D$369))</f>
        <v>1</v>
      </c>
      <c r="F29" s="106">
        <f>SUMPRODUCT((raw!$A$2:$A$369='(2019-20)'!$A29)*(raw!$B$2:$B$369='(2019-20)'!$B29)*(raw!$C$2:$C$369='(2019-20)'!F$2)*(raw!$D$2:$D$369))</f>
        <v>5</v>
      </c>
      <c r="G29" s="106">
        <f t="shared" si="1"/>
        <v>66</v>
      </c>
    </row>
    <row r="30" spans="1:7" x14ac:dyDescent="0.3">
      <c r="A30">
        <v>2020</v>
      </c>
      <c r="B30" t="s">
        <v>39</v>
      </c>
      <c r="C30" s="106">
        <f>SUMPRODUCT((raw!$A$2:$A$369='(2019-20)'!$A30)*(raw!$B$2:$B$369='(2019-20)'!$B30)*(raw!$C$2:$C$369='(2019-20)'!C$2)*(raw!$D$2:$D$369))</f>
        <v>29</v>
      </c>
      <c r="D30" s="106">
        <f>SUMPRODUCT((raw!$A$2:$A$369='(2019-20)'!$A30)*(raw!$B$2:$B$369='(2019-20)'!$B30)*(raw!$C$2:$C$369='(2019-20)'!D$2)*(raw!$D$2:$D$369))</f>
        <v>42</v>
      </c>
      <c r="E30" s="106">
        <f>SUMPRODUCT((raw!$A$2:$A$369='(2019-20)'!$A30)*(raw!$B$2:$B$369='(2019-20)'!$B30)*(raw!$C$2:$C$369='(2019-20)'!E$2)*(raw!$D$2:$D$369))</f>
        <v>0</v>
      </c>
      <c r="F30" s="106">
        <f>SUMPRODUCT((raw!$A$2:$A$369='(2019-20)'!$A30)*(raw!$B$2:$B$369='(2019-20)'!$B30)*(raw!$C$2:$C$369='(2019-20)'!F$2)*(raw!$D$2:$D$369))</f>
        <v>16</v>
      </c>
      <c r="G30" s="106">
        <f t="shared" si="1"/>
        <v>87</v>
      </c>
    </row>
    <row r="31" spans="1:7" x14ac:dyDescent="0.3">
      <c r="A31">
        <v>2020</v>
      </c>
      <c r="B31" t="s">
        <v>40</v>
      </c>
      <c r="C31" s="106">
        <f>SUMPRODUCT((raw!$A$2:$A$369='(2019-20)'!$A31)*(raw!$B$2:$B$369='(2019-20)'!$B31)*(raw!$C$2:$C$369='(2019-20)'!C$2)*(raw!$D$2:$D$369))</f>
        <v>0</v>
      </c>
      <c r="D31" s="106">
        <f>SUMPRODUCT((raw!$A$2:$A$369='(2019-20)'!$A31)*(raw!$B$2:$B$369='(2019-20)'!$B31)*(raw!$C$2:$C$369='(2019-20)'!D$2)*(raw!$D$2:$D$369))</f>
        <v>0</v>
      </c>
      <c r="E31" s="106">
        <f>SUMPRODUCT((raw!$A$2:$A$369='(2019-20)'!$A31)*(raw!$B$2:$B$369='(2019-20)'!$B31)*(raw!$C$2:$C$369='(2019-20)'!E$2)*(raw!$D$2:$D$369))</f>
        <v>12</v>
      </c>
      <c r="F31" s="106">
        <f>SUMPRODUCT((raw!$A$2:$A$369='(2019-20)'!$A31)*(raw!$B$2:$B$369='(2019-20)'!$B31)*(raw!$C$2:$C$369='(2019-20)'!F$2)*(raw!$D$2:$D$369))</f>
        <v>1</v>
      </c>
      <c r="G31" s="106">
        <f t="shared" si="1"/>
        <v>13</v>
      </c>
    </row>
    <row r="32" spans="1:7" x14ac:dyDescent="0.3">
      <c r="A32">
        <v>2020</v>
      </c>
      <c r="B32" t="s">
        <v>41</v>
      </c>
      <c r="C32" s="106">
        <f>SUMPRODUCT((raw!$A$2:$A$369='(2019-20)'!$A32)*(raw!$B$2:$B$369='(2019-20)'!$B32)*(raw!$C$2:$C$369='(2019-20)'!C$2)*(raw!$D$2:$D$369))</f>
        <v>11</v>
      </c>
      <c r="D32" s="106">
        <f>SUMPRODUCT((raw!$A$2:$A$369='(2019-20)'!$A32)*(raw!$B$2:$B$369='(2019-20)'!$B32)*(raw!$C$2:$C$369='(2019-20)'!D$2)*(raw!$D$2:$D$369))</f>
        <v>43</v>
      </c>
      <c r="E32" s="106">
        <f>SUMPRODUCT((raw!$A$2:$A$369='(2019-20)'!$A32)*(raw!$B$2:$B$369='(2019-20)'!$B32)*(raw!$C$2:$C$369='(2019-20)'!E$2)*(raw!$D$2:$D$369))</f>
        <v>0</v>
      </c>
      <c r="F32" s="106">
        <f>SUMPRODUCT((raw!$A$2:$A$369='(2019-20)'!$A32)*(raw!$B$2:$B$369='(2019-20)'!$B32)*(raw!$C$2:$C$369='(2019-20)'!F$2)*(raw!$D$2:$D$369))</f>
        <v>16</v>
      </c>
      <c r="G32" s="106">
        <f t="shared" si="1"/>
        <v>70</v>
      </c>
    </row>
    <row r="33" spans="1:7" x14ac:dyDescent="0.3">
      <c r="A33">
        <v>2020</v>
      </c>
      <c r="B33" t="s">
        <v>42</v>
      </c>
      <c r="C33" s="106">
        <f>SUMPRODUCT((raw!$A$2:$A$369='(2019-20)'!$A33)*(raw!$B$2:$B$369='(2019-20)'!$B33)*(raw!$C$2:$C$369='(2019-20)'!C$2)*(raw!$D$2:$D$369))</f>
        <v>12</v>
      </c>
      <c r="D33" s="106">
        <f>SUMPRODUCT((raw!$A$2:$A$369='(2019-20)'!$A33)*(raw!$B$2:$B$369='(2019-20)'!$B33)*(raw!$C$2:$C$369='(2019-20)'!D$2)*(raw!$D$2:$D$369))</f>
        <v>28</v>
      </c>
      <c r="E33" s="106">
        <f>SUMPRODUCT((raw!$A$2:$A$369='(2019-20)'!$A33)*(raw!$B$2:$B$369='(2019-20)'!$B33)*(raw!$C$2:$C$369='(2019-20)'!E$2)*(raw!$D$2:$D$369))</f>
        <v>2</v>
      </c>
      <c r="F33" s="106">
        <f>SUMPRODUCT((raw!$A$2:$A$369='(2019-20)'!$A33)*(raw!$B$2:$B$369='(2019-20)'!$B33)*(raw!$C$2:$C$369='(2019-20)'!F$2)*(raw!$D$2:$D$369))</f>
        <v>7</v>
      </c>
      <c r="G33" s="106">
        <f t="shared" si="1"/>
        <v>49</v>
      </c>
    </row>
    <row r="34" spans="1:7" x14ac:dyDescent="0.3">
      <c r="A34">
        <v>2020</v>
      </c>
      <c r="B34" t="s">
        <v>43</v>
      </c>
      <c r="C34" s="106">
        <f>SUMPRODUCT((raw!$A$2:$A$369='(2019-20)'!$A34)*(raw!$B$2:$B$369='(2019-20)'!$B34)*(raw!$C$2:$C$369='(2019-20)'!C$2)*(raw!$D$2:$D$369))</f>
        <v>17</v>
      </c>
      <c r="D34" s="106">
        <f>SUMPRODUCT((raw!$A$2:$A$369='(2019-20)'!$A34)*(raw!$B$2:$B$369='(2019-20)'!$B34)*(raw!$C$2:$C$369='(2019-20)'!D$2)*(raw!$D$2:$D$369))</f>
        <v>13</v>
      </c>
      <c r="E34" s="106">
        <f>SUMPRODUCT((raw!$A$2:$A$369='(2019-20)'!$A34)*(raw!$B$2:$B$369='(2019-20)'!$B34)*(raw!$C$2:$C$369='(2019-20)'!E$2)*(raw!$D$2:$D$369))</f>
        <v>2</v>
      </c>
      <c r="F34" s="106">
        <f>SUMPRODUCT((raw!$A$2:$A$369='(2019-20)'!$A34)*(raw!$B$2:$B$369='(2019-20)'!$B34)*(raw!$C$2:$C$369='(2019-20)'!F$2)*(raw!$D$2:$D$369))</f>
        <v>1</v>
      </c>
      <c r="G34" s="106">
        <f t="shared" si="1"/>
        <v>33</v>
      </c>
    </row>
    <row r="35" spans="1:7" x14ac:dyDescent="0.3">
      <c r="A35">
        <v>2020</v>
      </c>
      <c r="B35" t="s">
        <v>44</v>
      </c>
      <c r="C35" s="106">
        <f>SUMPRODUCT((raw!$A$2:$A$369='(2019-20)'!$A35)*(raw!$B$2:$B$369='(2019-20)'!$B35)*(raw!$C$2:$C$369='(2019-20)'!C$2)*(raw!$D$2:$D$369))</f>
        <v>37</v>
      </c>
      <c r="D35" s="106">
        <f>SUMPRODUCT((raw!$A$2:$A$369='(2019-20)'!$A35)*(raw!$B$2:$B$369='(2019-20)'!$B35)*(raw!$C$2:$C$369='(2019-20)'!D$2)*(raw!$D$2:$D$369))</f>
        <v>31</v>
      </c>
      <c r="E35" s="106">
        <f>SUMPRODUCT((raw!$A$2:$A$369='(2019-20)'!$A35)*(raw!$B$2:$B$369='(2019-20)'!$B35)*(raw!$C$2:$C$369='(2019-20)'!E$2)*(raw!$D$2:$D$369))</f>
        <v>0</v>
      </c>
      <c r="F35" s="106">
        <f>SUMPRODUCT((raw!$A$2:$A$369='(2019-20)'!$A35)*(raw!$B$2:$B$369='(2019-20)'!$B35)*(raw!$C$2:$C$369='(2019-20)'!F$2)*(raw!$D$2:$D$369))</f>
        <v>19</v>
      </c>
      <c r="G35" s="106">
        <f t="shared" si="1"/>
        <v>87</v>
      </c>
    </row>
    <row r="36" spans="1:7" x14ac:dyDescent="0.3">
      <c r="A36">
        <v>2020</v>
      </c>
      <c r="B36" t="s">
        <v>45</v>
      </c>
      <c r="C36" s="106">
        <f>SUMPRODUCT((raw!$A$2:$A$369='(2019-20)'!$A36)*(raw!$B$2:$B$369='(2019-20)'!$B36)*(raw!$C$2:$C$369='(2019-20)'!C$2)*(raw!$D$2:$D$369))</f>
        <v>18</v>
      </c>
      <c r="D36" s="106">
        <f>SUMPRODUCT((raw!$A$2:$A$369='(2019-20)'!$A36)*(raw!$B$2:$B$369='(2019-20)'!$B36)*(raw!$C$2:$C$369='(2019-20)'!D$2)*(raw!$D$2:$D$369))</f>
        <v>54</v>
      </c>
      <c r="E36" s="106">
        <f>SUMPRODUCT((raw!$A$2:$A$369='(2019-20)'!$A36)*(raw!$B$2:$B$369='(2019-20)'!$B36)*(raw!$C$2:$C$369='(2019-20)'!E$2)*(raw!$D$2:$D$369))</f>
        <v>0</v>
      </c>
      <c r="F36" s="106">
        <f>SUMPRODUCT((raw!$A$2:$A$369='(2019-20)'!$A36)*(raw!$B$2:$B$369='(2019-20)'!$B36)*(raw!$C$2:$C$369='(2019-20)'!F$2)*(raw!$D$2:$D$369))</f>
        <v>8</v>
      </c>
      <c r="G36" s="106">
        <f t="shared" si="1"/>
        <v>80</v>
      </c>
    </row>
    <row r="37" spans="1:7" x14ac:dyDescent="0.3">
      <c r="A37">
        <v>2020</v>
      </c>
      <c r="B37" t="s">
        <v>46</v>
      </c>
      <c r="C37" s="106">
        <f>SUMPRODUCT((raw!$A$2:$A$369='(2019-20)'!$A37)*(raw!$B$2:$B$369='(2019-20)'!$B37)*(raw!$C$2:$C$369='(2019-20)'!C$2)*(raw!$D$2:$D$369))</f>
        <v>10</v>
      </c>
      <c r="D37" s="106">
        <f>SUMPRODUCT((raw!$A$2:$A$369='(2019-20)'!$A37)*(raw!$B$2:$B$369='(2019-20)'!$B37)*(raw!$C$2:$C$369='(2019-20)'!D$2)*(raw!$D$2:$D$369))</f>
        <v>29</v>
      </c>
      <c r="E37" s="106">
        <f>SUMPRODUCT((raw!$A$2:$A$369='(2019-20)'!$A37)*(raw!$B$2:$B$369='(2019-20)'!$B37)*(raw!$C$2:$C$369='(2019-20)'!E$2)*(raw!$D$2:$D$369))</f>
        <v>2</v>
      </c>
      <c r="F37" s="106">
        <f>SUMPRODUCT((raw!$A$2:$A$369='(2019-20)'!$A37)*(raw!$B$2:$B$369='(2019-20)'!$B37)*(raw!$C$2:$C$369='(2019-20)'!F$2)*(raw!$D$2:$D$369))</f>
        <v>2</v>
      </c>
      <c r="G37" s="106">
        <f t="shared" si="1"/>
        <v>43</v>
      </c>
    </row>
    <row r="38" spans="1:7" x14ac:dyDescent="0.3">
      <c r="A38">
        <v>2020</v>
      </c>
      <c r="B38" t="s">
        <v>48</v>
      </c>
      <c r="C38" s="106">
        <f>SUMPRODUCT((raw!$A$2:$A$369='(2019-20)'!$A38)*(raw!$B$2:$B$369='(2019-20)'!$B38)*(raw!$C$2:$C$369='(2019-20)'!C$2)*(raw!$D$2:$D$369))</f>
        <v>20</v>
      </c>
      <c r="D38" s="106">
        <f>SUMPRODUCT((raw!$A$2:$A$369='(2019-20)'!$A38)*(raw!$B$2:$B$369='(2019-20)'!$B38)*(raw!$C$2:$C$369='(2019-20)'!D$2)*(raw!$D$2:$D$369))</f>
        <v>31</v>
      </c>
      <c r="E38" s="106">
        <f>SUMPRODUCT((raw!$A$2:$A$369='(2019-20)'!$A38)*(raw!$B$2:$B$369='(2019-20)'!$B38)*(raw!$C$2:$C$369='(2019-20)'!E$2)*(raw!$D$2:$D$369))</f>
        <v>0</v>
      </c>
      <c r="F38" s="106">
        <f>SUMPRODUCT((raw!$A$2:$A$369='(2019-20)'!$A38)*(raw!$B$2:$B$369='(2019-20)'!$B38)*(raw!$C$2:$C$369='(2019-20)'!F$2)*(raw!$D$2:$D$369))</f>
        <v>57</v>
      </c>
      <c r="G38" s="106">
        <f t="shared" si="1"/>
        <v>108</v>
      </c>
    </row>
    <row r="39" spans="1:7" x14ac:dyDescent="0.3">
      <c r="A39">
        <v>2020</v>
      </c>
      <c r="B39" t="s">
        <v>49</v>
      </c>
      <c r="C39" s="106">
        <f>SUMPRODUCT((raw!$A$2:$A$369='(2019-20)'!$A39)*(raw!$B$2:$B$369='(2019-20)'!$B39)*(raw!$C$2:$C$369='(2019-20)'!C$2)*(raw!$D$2:$D$369))</f>
        <v>11</v>
      </c>
      <c r="D39" s="106">
        <f>SUMPRODUCT((raw!$A$2:$A$369='(2019-20)'!$A39)*(raw!$B$2:$B$369='(2019-20)'!$B39)*(raw!$C$2:$C$369='(2019-20)'!D$2)*(raw!$D$2:$D$369))</f>
        <v>47</v>
      </c>
      <c r="E39" s="106">
        <f>SUMPRODUCT((raw!$A$2:$A$369='(2019-20)'!$A39)*(raw!$B$2:$B$369='(2019-20)'!$B39)*(raw!$C$2:$C$369='(2019-20)'!E$2)*(raw!$D$2:$D$369))</f>
        <v>0</v>
      </c>
      <c r="F39" s="106">
        <f>SUMPRODUCT((raw!$A$2:$A$369='(2019-20)'!$A39)*(raw!$B$2:$B$369='(2019-20)'!$B39)*(raw!$C$2:$C$369='(2019-20)'!F$2)*(raw!$D$2:$D$369))</f>
        <v>5</v>
      </c>
      <c r="G39" s="106">
        <f t="shared" si="1"/>
        <v>63</v>
      </c>
    </row>
    <row r="40" spans="1:7" x14ac:dyDescent="0.3">
      <c r="A40">
        <v>2020</v>
      </c>
      <c r="B40" t="s">
        <v>50</v>
      </c>
      <c r="C40" s="106">
        <f>SUMPRODUCT((raw!$A$2:$A$369='(2019-20)'!$A40)*(raw!$B$2:$B$369='(2019-20)'!$B40)*(raw!$C$2:$C$369='(2019-20)'!C$2)*(raw!$D$2:$D$369))</f>
        <v>54</v>
      </c>
      <c r="D40" s="106">
        <f>SUMPRODUCT((raw!$A$2:$A$369='(2019-20)'!$A40)*(raw!$B$2:$B$369='(2019-20)'!$B40)*(raw!$C$2:$C$369='(2019-20)'!D$2)*(raw!$D$2:$D$369))</f>
        <v>8</v>
      </c>
      <c r="E40" s="106">
        <f>SUMPRODUCT((raw!$A$2:$A$369='(2019-20)'!$A40)*(raw!$B$2:$B$369='(2019-20)'!$B40)*(raw!$C$2:$C$369='(2019-20)'!E$2)*(raw!$D$2:$D$369))</f>
        <v>1</v>
      </c>
      <c r="F40" s="106">
        <f>SUMPRODUCT((raw!$A$2:$A$369='(2019-20)'!$A40)*(raw!$B$2:$B$369='(2019-20)'!$B40)*(raw!$C$2:$C$369='(2019-20)'!F$2)*(raw!$D$2:$D$369))</f>
        <v>1</v>
      </c>
      <c r="G40" s="106">
        <f t="shared" si="1"/>
        <v>64</v>
      </c>
    </row>
    <row r="41" spans="1:7" x14ac:dyDescent="0.3">
      <c r="A41">
        <v>2020</v>
      </c>
      <c r="B41" t="s">
        <v>52</v>
      </c>
      <c r="C41" s="106">
        <f>SUMPRODUCT((raw!$A$2:$A$369='(2019-20)'!$A41)*(raw!$B$2:$B$369='(2019-20)'!$B41)*(raw!$C$2:$C$369='(2019-20)'!C$2)*(raw!$D$2:$D$369))</f>
        <v>15</v>
      </c>
      <c r="D41" s="106">
        <f>SUMPRODUCT((raw!$A$2:$A$369='(2019-20)'!$A41)*(raw!$B$2:$B$369='(2019-20)'!$B41)*(raw!$C$2:$C$369='(2019-20)'!D$2)*(raw!$D$2:$D$369))</f>
        <v>7</v>
      </c>
      <c r="E41" s="106">
        <f>SUMPRODUCT((raw!$A$2:$A$369='(2019-20)'!$A41)*(raw!$B$2:$B$369='(2019-20)'!$B41)*(raw!$C$2:$C$369='(2019-20)'!E$2)*(raw!$D$2:$D$369))</f>
        <v>0</v>
      </c>
      <c r="F41" s="106">
        <f>SUMPRODUCT((raw!$A$2:$A$369='(2019-20)'!$A41)*(raw!$B$2:$B$369='(2019-20)'!$B41)*(raw!$C$2:$C$369='(2019-20)'!F$2)*(raw!$D$2:$D$369))</f>
        <v>5</v>
      </c>
      <c r="G41" s="106">
        <f t="shared" si="1"/>
        <v>27</v>
      </c>
    </row>
    <row r="42" spans="1:7" x14ac:dyDescent="0.3">
      <c r="A42">
        <v>2020</v>
      </c>
      <c r="B42" t="s">
        <v>54</v>
      </c>
      <c r="C42" s="106">
        <f>SUMPRODUCT((raw!$A$2:$A$369='(2019-20)'!$A42)*(raw!$B$2:$B$369='(2019-20)'!$B42)*(raw!$C$2:$C$369='(2019-20)'!C$2)*(raw!$D$2:$D$369))</f>
        <v>15</v>
      </c>
      <c r="D42" s="106">
        <f>SUMPRODUCT((raw!$A$2:$A$369='(2019-20)'!$A42)*(raw!$B$2:$B$369='(2019-20)'!$B42)*(raw!$C$2:$C$369='(2019-20)'!D$2)*(raw!$D$2:$D$369))</f>
        <v>24</v>
      </c>
      <c r="E42" s="106">
        <f>SUMPRODUCT((raw!$A$2:$A$369='(2019-20)'!$A42)*(raw!$B$2:$B$369='(2019-20)'!$B42)*(raw!$C$2:$C$369='(2019-20)'!E$2)*(raw!$D$2:$D$369))</f>
        <v>0</v>
      </c>
      <c r="F42" s="106">
        <f>SUMPRODUCT((raw!$A$2:$A$369='(2019-20)'!$A42)*(raw!$B$2:$B$369='(2019-20)'!$B42)*(raw!$C$2:$C$369='(2019-20)'!F$2)*(raw!$D$2:$D$369))</f>
        <v>14</v>
      </c>
      <c r="G42" s="106">
        <f t="shared" si="1"/>
        <v>53</v>
      </c>
    </row>
    <row r="43" spans="1:7" x14ac:dyDescent="0.3">
      <c r="A43">
        <v>2020</v>
      </c>
      <c r="B43" t="s">
        <v>33</v>
      </c>
      <c r="C43" s="106">
        <f>SUMPRODUCT((raw!$A$2:$A$369='(2019-20)'!$A43)*(raw!$B$2:$B$369='(2019-20)'!$B43)*(raw!$C$2:$C$369='(2019-20)'!C$2)*(raw!$D$2:$D$369))</f>
        <v>0</v>
      </c>
      <c r="D43" s="106">
        <f>SUMPRODUCT((raw!$A$2:$A$369='(2019-20)'!$A43)*(raw!$B$2:$B$369='(2019-20)'!$B43)*(raw!$C$2:$C$369='(2019-20)'!D$2)*(raw!$D$2:$D$369))</f>
        <v>5</v>
      </c>
      <c r="E43" s="106">
        <f>SUMPRODUCT((raw!$A$2:$A$369='(2019-20)'!$A43)*(raw!$B$2:$B$369='(2019-20)'!$B43)*(raw!$C$2:$C$369='(2019-20)'!E$2)*(raw!$D$2:$D$369))</f>
        <v>0</v>
      </c>
      <c r="F43" s="106">
        <f>SUMPRODUCT((raw!$A$2:$A$369='(2019-20)'!$A43)*(raw!$B$2:$B$369='(2019-20)'!$B43)*(raw!$C$2:$C$369='(2019-20)'!F$2)*(raw!$D$2:$D$369))</f>
        <v>0</v>
      </c>
      <c r="G43" s="106">
        <f t="shared" si="1"/>
        <v>5</v>
      </c>
    </row>
    <row r="44" spans="1:7" x14ac:dyDescent="0.3">
      <c r="A44">
        <v>2020</v>
      </c>
      <c r="B44" t="s">
        <v>66</v>
      </c>
      <c r="C44" s="106">
        <f>SUM(C45:C51)</f>
        <v>750</v>
      </c>
      <c r="D44" s="106">
        <f t="shared" ref="D44:G44" si="2">SUM(D45:D51)</f>
        <v>31</v>
      </c>
      <c r="E44" s="106">
        <f t="shared" si="2"/>
        <v>21</v>
      </c>
      <c r="F44" s="106">
        <f t="shared" si="2"/>
        <v>381</v>
      </c>
      <c r="G44" s="106">
        <f t="shared" si="2"/>
        <v>1183</v>
      </c>
    </row>
    <row r="45" spans="1:7" x14ac:dyDescent="0.3">
      <c r="A45">
        <v>2020</v>
      </c>
      <c r="B45" t="s">
        <v>27</v>
      </c>
      <c r="C45" s="106">
        <f>SUMPRODUCT((raw!$A$2:$A$369='(2019-20)'!$A45)*(raw!$B$2:$B$369='(2019-20)'!$B45)*(raw!$C$2:$C$369='(2019-20)'!C$2)*(raw!$D$2:$D$369))</f>
        <v>92</v>
      </c>
      <c r="D45" s="106">
        <f>SUMPRODUCT((raw!$A$2:$A$369='(2019-20)'!$A45)*(raw!$B$2:$B$369='(2019-20)'!$B45)*(raw!$C$2:$C$369='(2019-20)'!D$2)*(raw!$D$2:$D$369))</f>
        <v>0</v>
      </c>
      <c r="E45" s="106">
        <f>SUMPRODUCT((raw!$A$2:$A$369='(2019-20)'!$A45)*(raw!$B$2:$B$369='(2019-20)'!$B45)*(raw!$C$2:$C$369='(2019-20)'!E$2)*(raw!$D$2:$D$369))</f>
        <v>0</v>
      </c>
      <c r="F45" s="106">
        <f>SUMPRODUCT((raw!$A$2:$A$369='(2019-20)'!$A45)*(raw!$B$2:$B$369='(2019-20)'!$B45)*(raw!$C$2:$C$369='(2019-20)'!F$2)*(raw!$D$2:$D$369))</f>
        <v>124</v>
      </c>
      <c r="G45" s="106">
        <f t="shared" si="1"/>
        <v>216</v>
      </c>
    </row>
    <row r="46" spans="1:7" x14ac:dyDescent="0.3">
      <c r="A46">
        <v>2020</v>
      </c>
      <c r="B46" t="s">
        <v>38</v>
      </c>
      <c r="C46" s="106">
        <f>SUMPRODUCT((raw!$A$2:$A$369='(2019-20)'!$A46)*(raw!$B$2:$B$369='(2019-20)'!$B46)*(raw!$C$2:$C$369='(2019-20)'!C$2)*(raw!$D$2:$D$369))</f>
        <v>66</v>
      </c>
      <c r="D46" s="106">
        <f>SUMPRODUCT((raw!$A$2:$A$369='(2019-20)'!$A46)*(raw!$B$2:$B$369='(2019-20)'!$B46)*(raw!$C$2:$C$369='(2019-20)'!D$2)*(raw!$D$2:$D$369))</f>
        <v>14</v>
      </c>
      <c r="E46" s="106">
        <f>SUMPRODUCT((raw!$A$2:$A$369='(2019-20)'!$A46)*(raw!$B$2:$B$369='(2019-20)'!$B46)*(raw!$C$2:$C$369='(2019-20)'!E$2)*(raw!$D$2:$D$369))</f>
        <v>4</v>
      </c>
      <c r="F46" s="106">
        <f>SUMPRODUCT((raw!$A$2:$A$369='(2019-20)'!$A46)*(raw!$B$2:$B$369='(2019-20)'!$B46)*(raw!$C$2:$C$369='(2019-20)'!F$2)*(raw!$D$2:$D$369))</f>
        <v>52</v>
      </c>
      <c r="G46" s="106">
        <f t="shared" si="1"/>
        <v>136</v>
      </c>
    </row>
    <row r="47" spans="1:7" x14ac:dyDescent="0.3">
      <c r="A47">
        <v>2020</v>
      </c>
      <c r="B47" t="s">
        <v>47</v>
      </c>
      <c r="C47" s="106">
        <f>SUMPRODUCT((raw!$A$2:$A$369='(2019-20)'!$A47)*(raw!$B$2:$B$369='(2019-20)'!$B47)*(raw!$C$2:$C$369='(2019-20)'!C$2)*(raw!$D$2:$D$369))</f>
        <v>54</v>
      </c>
      <c r="D47" s="106">
        <f>SUMPRODUCT((raw!$A$2:$A$369='(2019-20)'!$A47)*(raw!$B$2:$B$369='(2019-20)'!$B47)*(raw!$C$2:$C$369='(2019-20)'!D$2)*(raw!$D$2:$D$369))</f>
        <v>9</v>
      </c>
      <c r="E47" s="106">
        <f>SUMPRODUCT((raw!$A$2:$A$369='(2019-20)'!$A47)*(raw!$B$2:$B$369='(2019-20)'!$B47)*(raw!$C$2:$C$369='(2019-20)'!E$2)*(raw!$D$2:$D$369))</f>
        <v>1</v>
      </c>
      <c r="F47" s="106">
        <f>SUMPRODUCT((raw!$A$2:$A$369='(2019-20)'!$A47)*(raw!$B$2:$B$369='(2019-20)'!$B47)*(raw!$C$2:$C$369='(2019-20)'!F$2)*(raw!$D$2:$D$369))</f>
        <v>21</v>
      </c>
      <c r="G47" s="106">
        <f t="shared" si="1"/>
        <v>85</v>
      </c>
    </row>
    <row r="48" spans="1:7" x14ac:dyDescent="0.3">
      <c r="A48">
        <v>2020</v>
      </c>
      <c r="B48" t="s">
        <v>51</v>
      </c>
      <c r="C48" s="106">
        <f>SUMPRODUCT((raw!$A$2:$A$369='(2019-20)'!$A48)*(raw!$B$2:$B$369='(2019-20)'!$B48)*(raw!$C$2:$C$369='(2019-20)'!C$2)*(raw!$D$2:$D$369))</f>
        <v>53</v>
      </c>
      <c r="D48" s="106">
        <f>SUMPRODUCT((raw!$A$2:$A$369='(2019-20)'!$A48)*(raw!$B$2:$B$369='(2019-20)'!$B48)*(raw!$C$2:$C$369='(2019-20)'!D$2)*(raw!$D$2:$D$369))</f>
        <v>1</v>
      </c>
      <c r="E48" s="106">
        <f>SUMPRODUCT((raw!$A$2:$A$369='(2019-20)'!$A48)*(raw!$B$2:$B$369='(2019-20)'!$B48)*(raw!$C$2:$C$369='(2019-20)'!E$2)*(raw!$D$2:$D$369))</f>
        <v>0</v>
      </c>
      <c r="F48" s="106">
        <f>SUMPRODUCT((raw!$A$2:$A$369='(2019-20)'!$A48)*(raw!$B$2:$B$369='(2019-20)'!$B48)*(raw!$C$2:$C$369='(2019-20)'!F$2)*(raw!$D$2:$D$369))</f>
        <v>29</v>
      </c>
      <c r="G48" s="106">
        <f t="shared" si="1"/>
        <v>83</v>
      </c>
    </row>
    <row r="49" spans="1:7" x14ac:dyDescent="0.3">
      <c r="A49">
        <v>2020</v>
      </c>
      <c r="B49" t="s">
        <v>53</v>
      </c>
      <c r="C49" s="106">
        <f>SUMPRODUCT((raw!$A$2:$A$369='(2019-20)'!$A49)*(raw!$B$2:$B$369='(2019-20)'!$B49)*(raw!$C$2:$C$369='(2019-20)'!C$2)*(raw!$D$2:$D$369))</f>
        <v>88</v>
      </c>
      <c r="D49" s="106">
        <f>SUMPRODUCT((raw!$A$2:$A$369='(2019-20)'!$A49)*(raw!$B$2:$B$369='(2019-20)'!$B49)*(raw!$C$2:$C$369='(2019-20)'!D$2)*(raw!$D$2:$D$369))</f>
        <v>0</v>
      </c>
      <c r="E49" s="106">
        <f>SUMPRODUCT((raw!$A$2:$A$369='(2019-20)'!$A49)*(raw!$B$2:$B$369='(2019-20)'!$B49)*(raw!$C$2:$C$369='(2019-20)'!E$2)*(raw!$D$2:$D$369))</f>
        <v>7</v>
      </c>
      <c r="F49" s="106">
        <f>SUMPRODUCT((raw!$A$2:$A$369='(2019-20)'!$A49)*(raw!$B$2:$B$369='(2019-20)'!$B49)*(raw!$C$2:$C$369='(2019-20)'!F$2)*(raw!$D$2:$D$369))</f>
        <v>50</v>
      </c>
      <c r="G49" s="106">
        <f t="shared" si="1"/>
        <v>145</v>
      </c>
    </row>
    <row r="50" spans="1:7" x14ac:dyDescent="0.3">
      <c r="A50">
        <v>2020</v>
      </c>
      <c r="B50" t="s">
        <v>55</v>
      </c>
      <c r="C50" s="106">
        <f>SUMPRODUCT((raw!$A$2:$A$369='(2019-20)'!$A50)*(raw!$B$2:$B$369='(2019-20)'!$B50)*(raw!$C$2:$C$369='(2019-20)'!C$2)*(raw!$D$2:$D$369))</f>
        <v>86</v>
      </c>
      <c r="D50" s="106">
        <f>SUMPRODUCT((raw!$A$2:$A$369='(2019-20)'!$A50)*(raw!$B$2:$B$369='(2019-20)'!$B50)*(raw!$C$2:$C$369='(2019-20)'!D$2)*(raw!$D$2:$D$369))</f>
        <v>7</v>
      </c>
      <c r="E50" s="106">
        <f>SUMPRODUCT((raw!$A$2:$A$369='(2019-20)'!$A50)*(raw!$B$2:$B$369='(2019-20)'!$B50)*(raw!$C$2:$C$369='(2019-20)'!E$2)*(raw!$D$2:$D$369))</f>
        <v>0</v>
      </c>
      <c r="F50" s="106">
        <f>SUMPRODUCT((raw!$A$2:$A$369='(2019-20)'!$A50)*(raw!$B$2:$B$369='(2019-20)'!$B50)*(raw!$C$2:$C$369='(2019-20)'!F$2)*(raw!$D$2:$D$369))</f>
        <v>22</v>
      </c>
      <c r="G50" s="106">
        <f t="shared" si="1"/>
        <v>115</v>
      </c>
    </row>
    <row r="51" spans="1:7" x14ac:dyDescent="0.3">
      <c r="A51">
        <v>2020</v>
      </c>
      <c r="B51" t="s">
        <v>26</v>
      </c>
      <c r="C51" s="106">
        <f>SUMPRODUCT((raw!$A$2:$A$369='(2019-20)'!$A51)*(raw!$B$2:$B$369='(2019-20)'!$B51)*(raw!$C$2:$C$369='(2019-20)'!C$2)*(raw!$D$2:$D$369))</f>
        <v>311</v>
      </c>
      <c r="D51" s="106">
        <f>SUMPRODUCT((raw!$A$2:$A$369='(2019-20)'!$A51)*(raw!$B$2:$B$369='(2019-20)'!$B51)*(raw!$C$2:$C$369='(2019-20)'!D$2)*(raw!$D$2:$D$369))</f>
        <v>0</v>
      </c>
      <c r="E51" s="106">
        <f>SUMPRODUCT((raw!$A$2:$A$369='(2019-20)'!$A51)*(raw!$B$2:$B$369='(2019-20)'!$B51)*(raw!$C$2:$C$369='(2019-20)'!E$2)*(raw!$D$2:$D$369))</f>
        <v>9</v>
      </c>
      <c r="F51" s="106">
        <f>SUMPRODUCT((raw!$A$2:$A$369='(2019-20)'!$A51)*(raw!$B$2:$B$369='(2019-20)'!$B51)*(raw!$C$2:$C$369='(2019-20)'!F$2)*(raw!$D$2:$D$369))</f>
        <v>83</v>
      </c>
      <c r="G51" s="106">
        <f t="shared" si="1"/>
        <v>403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F1E6-EB49-45E5-8F40-B9C484FBE982}">
  <dimension ref="A1:I51"/>
  <sheetViews>
    <sheetView topLeftCell="A29" workbookViewId="0">
      <selection activeCell="D5" sqref="B5:D51"/>
    </sheetView>
  </sheetViews>
  <sheetFormatPr defaultRowHeight="14.4" x14ac:dyDescent="0.3"/>
  <cols>
    <col min="2" max="2" width="20.77734375" bestFit="1" customWidth="1"/>
    <col min="3" max="7" width="18.77734375" customWidth="1"/>
    <col min="8" max="9" width="11.21875" customWidth="1"/>
  </cols>
  <sheetData>
    <row r="1" spans="1:9" x14ac:dyDescent="0.3">
      <c r="B1" s="184" t="s">
        <v>174</v>
      </c>
      <c r="C1" s="184"/>
      <c r="D1" s="184"/>
      <c r="E1" s="184"/>
      <c r="F1" s="184"/>
      <c r="G1" s="184"/>
      <c r="H1" s="184"/>
      <c r="I1" s="184"/>
    </row>
    <row r="2" spans="1:9" x14ac:dyDescent="0.3">
      <c r="C2" t="s">
        <v>1</v>
      </c>
      <c r="D2" t="s">
        <v>59</v>
      </c>
      <c r="E2" t="s">
        <v>60</v>
      </c>
      <c r="F2" t="s">
        <v>61</v>
      </c>
      <c r="G2" t="s">
        <v>5</v>
      </c>
    </row>
    <row r="3" spans="1:9" x14ac:dyDescent="0.3">
      <c r="A3">
        <v>2021</v>
      </c>
      <c r="B3" t="s">
        <v>0</v>
      </c>
      <c r="C3" s="106">
        <f>SUM(C4,C44)</f>
        <v>1477</v>
      </c>
      <c r="D3" s="106">
        <f>SUM(D4,D44)</f>
        <v>1151</v>
      </c>
      <c r="E3" s="106">
        <f>SUM(E4,E44)</f>
        <v>74</v>
      </c>
      <c r="F3" s="106">
        <f t="shared" ref="F3" si="0">SUM(F4,F44)</f>
        <v>820</v>
      </c>
      <c r="G3" s="106">
        <f>SUM(C3:F3)</f>
        <v>3522</v>
      </c>
    </row>
    <row r="4" spans="1:9" x14ac:dyDescent="0.3">
      <c r="A4">
        <v>2021</v>
      </c>
      <c r="B4" t="s">
        <v>62</v>
      </c>
      <c r="C4" s="106">
        <f>SUM(C5:C43)</f>
        <v>893</v>
      </c>
      <c r="D4" s="106">
        <f>SUM(D5:D43)</f>
        <v>1108</v>
      </c>
      <c r="E4" s="106">
        <f>SUM(E5:E43)</f>
        <v>56</v>
      </c>
      <c r="F4" s="106">
        <f>SUM(F5:F43)</f>
        <v>555</v>
      </c>
      <c r="G4" s="106">
        <f>SUM(G5:G43)</f>
        <v>2612</v>
      </c>
    </row>
    <row r="5" spans="1:9" x14ac:dyDescent="0.3">
      <c r="A5">
        <v>2021</v>
      </c>
      <c r="B5" t="s">
        <v>10</v>
      </c>
      <c r="C5" s="106" cm="1">
        <f t="array" ref="C5">SUMPRODUCT((raw!$A$2:$A$750='(2020-21)'!$A5)*(raw!$B$2:$B$750='(2020-21)'!$B5)*(raw!$C$2:$C$750='(2020-21)'!C$2)*(raw!$D$2:$D$750))</f>
        <v>24</v>
      </c>
      <c r="D5" s="106" cm="1">
        <f t="array" ref="D5">SUMPRODUCT((raw!$A$2:$A$750='(2020-21)'!$A5)*(raw!$B$2:$B$750='(2020-21)'!$B5)*(raw!$C$2:$C$750='(2020-21)'!D$2)*(raw!$D$2:$D$750))</f>
        <v>8</v>
      </c>
      <c r="E5" s="106" cm="1">
        <f t="array" ref="E5">SUMPRODUCT((raw!$A$2:$A$750='(2020-21)'!$A5)*(raw!$B$2:$B$750='(2020-21)'!$B5)*(raw!$C$2:$C$750='(2020-21)'!E$2)*(raw!$D$2:$D$750))</f>
        <v>3</v>
      </c>
      <c r="F5" s="106" cm="1">
        <f t="array" ref="F5">SUMPRODUCT((raw!$A$2:$A$750='(2020-21)'!$A5)*(raw!$B$2:$B$750='(2020-21)'!$B5)*(raw!$C$2:$C$750='(2020-21)'!F$2)*(raw!$D$2:$D$750))</f>
        <v>12</v>
      </c>
      <c r="G5" s="106">
        <f>SUM(C5:F5)</f>
        <v>47</v>
      </c>
    </row>
    <row r="6" spans="1:9" x14ac:dyDescent="0.3">
      <c r="A6">
        <v>2021</v>
      </c>
      <c r="B6" t="s">
        <v>11</v>
      </c>
      <c r="C6" s="106" cm="1">
        <f t="array" ref="C6">SUMPRODUCT((raw!$A$2:$A$750='(2020-21)'!$A6)*(raw!$B$2:$B$750='(2020-21)'!$B6)*(raw!$C$2:$C$750='(2020-21)'!C$2)*(raw!$D$2:$D$750))</f>
        <v>20</v>
      </c>
      <c r="D6" s="106" cm="1">
        <f t="array" ref="D6">SUMPRODUCT((raw!$A$2:$A$750='(2020-21)'!$A6)*(raw!$B$2:$B$750='(2020-21)'!$B6)*(raw!$C$2:$C$750='(2020-21)'!D$2)*(raw!$D$2:$D$750))</f>
        <v>16</v>
      </c>
      <c r="E6" s="106" cm="1">
        <f t="array" ref="E6">SUMPRODUCT((raw!$A$2:$A$750='(2020-21)'!$A6)*(raw!$B$2:$B$750='(2020-21)'!$B6)*(raw!$C$2:$C$750='(2020-21)'!E$2)*(raw!$D$2:$D$750))</f>
        <v>2</v>
      </c>
      <c r="F6" s="106" cm="1">
        <f t="array" ref="F6">SUMPRODUCT((raw!$A$2:$A$750='(2020-21)'!$A6)*(raw!$B$2:$B$750='(2020-21)'!$B6)*(raw!$C$2:$C$750='(2020-21)'!F$2)*(raw!$D$2:$D$750))</f>
        <v>12</v>
      </c>
      <c r="G6" s="106">
        <f t="shared" ref="G6:G51" si="1">SUM(C6:F6)</f>
        <v>50</v>
      </c>
    </row>
    <row r="7" spans="1:9" x14ac:dyDescent="0.3">
      <c r="A7">
        <v>2021</v>
      </c>
      <c r="B7" t="s">
        <v>12</v>
      </c>
      <c r="C7" s="106" cm="1">
        <f t="array" ref="C7">SUMPRODUCT((raw!$A$2:$A$750='(2020-21)'!$A7)*(raw!$B$2:$B$750='(2020-21)'!$B7)*(raw!$C$2:$C$750='(2020-21)'!C$2)*(raw!$D$2:$D$750))</f>
        <v>24</v>
      </c>
      <c r="D7" s="106" cm="1">
        <f t="array" ref="D7">SUMPRODUCT((raw!$A$2:$A$750='(2020-21)'!$A7)*(raw!$B$2:$B$750='(2020-21)'!$B7)*(raw!$C$2:$C$750='(2020-21)'!D$2)*(raw!$D$2:$D$750))</f>
        <v>20</v>
      </c>
      <c r="E7" s="106" cm="1">
        <f t="array" ref="E7">SUMPRODUCT((raw!$A$2:$A$750='(2020-21)'!$A7)*(raw!$B$2:$B$750='(2020-21)'!$B7)*(raw!$C$2:$C$750='(2020-21)'!E$2)*(raw!$D$2:$D$750))</f>
        <v>3</v>
      </c>
      <c r="F7" s="106" cm="1">
        <f t="array" ref="F7">SUMPRODUCT((raw!$A$2:$A$750='(2020-21)'!$A7)*(raw!$B$2:$B$750='(2020-21)'!$B7)*(raw!$C$2:$C$750='(2020-21)'!F$2)*(raw!$D$2:$D$750))</f>
        <v>18</v>
      </c>
      <c r="G7" s="106">
        <f t="shared" si="1"/>
        <v>65</v>
      </c>
    </row>
    <row r="8" spans="1:9" x14ac:dyDescent="0.3">
      <c r="A8">
        <v>2021</v>
      </c>
      <c r="B8" t="s">
        <v>13</v>
      </c>
      <c r="C8" s="106" cm="1">
        <f t="array" ref="C8">SUMPRODUCT((raw!$A$2:$A$750='(2020-21)'!$A8)*(raw!$B$2:$B$750='(2020-21)'!$B8)*(raw!$C$2:$C$750='(2020-21)'!C$2)*(raw!$D$2:$D$750))</f>
        <v>22</v>
      </c>
      <c r="D8" s="106" cm="1">
        <f t="array" ref="D8">SUMPRODUCT((raw!$A$2:$A$750='(2020-21)'!$A8)*(raw!$B$2:$B$750='(2020-21)'!$B8)*(raw!$C$2:$C$750='(2020-21)'!D$2)*(raw!$D$2:$D$750))</f>
        <v>12</v>
      </c>
      <c r="E8" s="106" cm="1">
        <f t="array" ref="E8">SUMPRODUCT((raw!$A$2:$A$750='(2020-21)'!$A8)*(raw!$B$2:$B$750='(2020-21)'!$B8)*(raw!$C$2:$C$750='(2020-21)'!E$2)*(raw!$D$2:$D$750))</f>
        <v>0</v>
      </c>
      <c r="F8" s="106" cm="1">
        <f t="array" ref="F8">SUMPRODUCT((raw!$A$2:$A$750='(2020-21)'!$A8)*(raw!$B$2:$B$750='(2020-21)'!$B8)*(raw!$C$2:$C$750='(2020-21)'!F$2)*(raw!$D$2:$D$750))</f>
        <v>9</v>
      </c>
      <c r="G8" s="106">
        <f t="shared" si="1"/>
        <v>43</v>
      </c>
    </row>
    <row r="9" spans="1:9" x14ac:dyDescent="0.3">
      <c r="A9">
        <v>2021</v>
      </c>
      <c r="B9" t="s">
        <v>14</v>
      </c>
      <c r="C9" s="106" cm="1">
        <f t="array" ref="C9">SUMPRODUCT((raw!$A$2:$A$750='(2020-21)'!$A9)*(raw!$B$2:$B$750='(2020-21)'!$B9)*(raw!$C$2:$C$750='(2020-21)'!C$2)*(raw!$D$2:$D$750))</f>
        <v>18</v>
      </c>
      <c r="D9" s="106" cm="1">
        <f t="array" ref="D9">SUMPRODUCT((raw!$A$2:$A$750='(2020-21)'!$A9)*(raw!$B$2:$B$750='(2020-21)'!$B9)*(raw!$C$2:$C$750='(2020-21)'!D$2)*(raw!$D$2:$D$750))</f>
        <v>31</v>
      </c>
      <c r="E9" s="106" cm="1">
        <f t="array" ref="E9">SUMPRODUCT((raw!$A$2:$A$750='(2020-21)'!$A9)*(raw!$B$2:$B$750='(2020-21)'!$B9)*(raw!$C$2:$C$750='(2020-21)'!E$2)*(raw!$D$2:$D$750))</f>
        <v>3</v>
      </c>
      <c r="F9" s="106" cm="1">
        <f t="array" ref="F9">SUMPRODUCT((raw!$A$2:$A$750='(2020-21)'!$A9)*(raw!$B$2:$B$750='(2020-21)'!$B9)*(raw!$C$2:$C$750='(2020-21)'!F$2)*(raw!$D$2:$D$750))</f>
        <v>10</v>
      </c>
      <c r="G9" s="106">
        <f t="shared" si="1"/>
        <v>62</v>
      </c>
    </row>
    <row r="10" spans="1:9" x14ac:dyDescent="0.3">
      <c r="A10">
        <v>2021</v>
      </c>
      <c r="B10" t="s">
        <v>15</v>
      </c>
      <c r="C10" s="106" cm="1">
        <f t="array" ref="C10">SUMPRODUCT((raw!$A$2:$A$750='(2020-21)'!$A10)*(raw!$B$2:$B$750='(2020-21)'!$B10)*(raw!$C$2:$C$750='(2020-21)'!C$2)*(raw!$D$2:$D$750))</f>
        <v>19</v>
      </c>
      <c r="D10" s="106" cm="1">
        <f t="array" ref="D10">SUMPRODUCT((raw!$A$2:$A$750='(2020-21)'!$A10)*(raw!$B$2:$B$750='(2020-21)'!$B10)*(raw!$C$2:$C$750='(2020-21)'!D$2)*(raw!$D$2:$D$750))</f>
        <v>31</v>
      </c>
      <c r="E10" s="106" cm="1">
        <f t="array" ref="E10">SUMPRODUCT((raw!$A$2:$A$750='(2020-21)'!$A10)*(raw!$B$2:$B$750='(2020-21)'!$B10)*(raw!$C$2:$C$750='(2020-21)'!E$2)*(raw!$D$2:$D$750))</f>
        <v>0</v>
      </c>
      <c r="F10" s="106" cm="1">
        <f t="array" ref="F10">SUMPRODUCT((raw!$A$2:$A$750='(2020-21)'!$A10)*(raw!$B$2:$B$750='(2020-21)'!$B10)*(raw!$C$2:$C$750='(2020-21)'!F$2)*(raw!$D$2:$D$750))</f>
        <v>23</v>
      </c>
      <c r="G10" s="106">
        <f t="shared" si="1"/>
        <v>73</v>
      </c>
    </row>
    <row r="11" spans="1:9" x14ac:dyDescent="0.3">
      <c r="A11">
        <v>2021</v>
      </c>
      <c r="B11" t="s">
        <v>16</v>
      </c>
      <c r="C11" s="106" cm="1">
        <f t="array" ref="C11">SUMPRODUCT((raw!$A$2:$A$750='(2020-21)'!$A11)*(raw!$B$2:$B$750='(2020-21)'!$B11)*(raw!$C$2:$C$750='(2020-21)'!C$2)*(raw!$D$2:$D$750))</f>
        <v>19</v>
      </c>
      <c r="D11" s="106" cm="1">
        <f t="array" ref="D11">SUMPRODUCT((raw!$A$2:$A$750='(2020-21)'!$A11)*(raw!$B$2:$B$750='(2020-21)'!$B11)*(raw!$C$2:$C$750='(2020-21)'!D$2)*(raw!$D$2:$D$750))</f>
        <v>12</v>
      </c>
      <c r="E11" s="106" cm="1">
        <f t="array" ref="E11">SUMPRODUCT((raw!$A$2:$A$750='(2020-21)'!$A11)*(raw!$B$2:$B$750='(2020-21)'!$B11)*(raw!$C$2:$C$750='(2020-21)'!E$2)*(raw!$D$2:$D$750))</f>
        <v>2</v>
      </c>
      <c r="F11" s="106" cm="1">
        <f t="array" ref="F11">SUMPRODUCT((raw!$A$2:$A$750='(2020-21)'!$A11)*(raw!$B$2:$B$750='(2020-21)'!$B11)*(raw!$C$2:$C$750='(2020-21)'!F$2)*(raw!$D$2:$D$750))</f>
        <v>9</v>
      </c>
      <c r="G11" s="106">
        <f t="shared" si="1"/>
        <v>42</v>
      </c>
    </row>
    <row r="12" spans="1:9" x14ac:dyDescent="0.3">
      <c r="A12">
        <v>2021</v>
      </c>
      <c r="B12" t="s">
        <v>17</v>
      </c>
      <c r="C12" s="106" cm="1">
        <f t="array" ref="C12">SUMPRODUCT((raw!$A$2:$A$750='(2020-21)'!$A12)*(raw!$B$2:$B$750='(2020-21)'!$B12)*(raw!$C$2:$C$750='(2020-21)'!C$2)*(raw!$D$2:$D$750))</f>
        <v>14</v>
      </c>
      <c r="D12" s="106" cm="1">
        <f t="array" ref="D12">SUMPRODUCT((raw!$A$2:$A$750='(2020-21)'!$A12)*(raw!$B$2:$B$750='(2020-21)'!$B12)*(raw!$C$2:$C$750='(2020-21)'!D$2)*(raw!$D$2:$D$750))</f>
        <v>23</v>
      </c>
      <c r="E12" s="106" cm="1">
        <f t="array" ref="E12">SUMPRODUCT((raw!$A$2:$A$750='(2020-21)'!$A12)*(raw!$B$2:$B$750='(2020-21)'!$B12)*(raw!$C$2:$C$750='(2020-21)'!E$2)*(raw!$D$2:$D$750))</f>
        <v>3</v>
      </c>
      <c r="F12" s="106" cm="1">
        <f t="array" ref="F12">SUMPRODUCT((raw!$A$2:$A$750='(2020-21)'!$A12)*(raw!$B$2:$B$750='(2020-21)'!$B12)*(raw!$C$2:$C$750='(2020-21)'!F$2)*(raw!$D$2:$D$750))</f>
        <v>19</v>
      </c>
      <c r="G12" s="106">
        <f t="shared" si="1"/>
        <v>59</v>
      </c>
    </row>
    <row r="13" spans="1:9" x14ac:dyDescent="0.3">
      <c r="A13">
        <v>2021</v>
      </c>
      <c r="B13" t="s">
        <v>18</v>
      </c>
      <c r="C13" s="106" cm="1">
        <f t="array" ref="C13">SUMPRODUCT((raw!$A$2:$A$750='(2020-21)'!$A13)*(raw!$B$2:$B$750='(2020-21)'!$B13)*(raw!$C$2:$C$750='(2020-21)'!C$2)*(raw!$D$2:$D$750))</f>
        <v>18</v>
      </c>
      <c r="D13" s="106" cm="1">
        <f t="array" ref="D13">SUMPRODUCT((raw!$A$2:$A$750='(2020-21)'!$A13)*(raw!$B$2:$B$750='(2020-21)'!$B13)*(raw!$C$2:$C$750='(2020-21)'!D$2)*(raw!$D$2:$D$750))</f>
        <v>20</v>
      </c>
      <c r="E13" s="106" cm="1">
        <f t="array" ref="E13">SUMPRODUCT((raw!$A$2:$A$750='(2020-21)'!$A13)*(raw!$B$2:$B$750='(2020-21)'!$B13)*(raw!$C$2:$C$750='(2020-21)'!E$2)*(raw!$D$2:$D$750))</f>
        <v>0</v>
      </c>
      <c r="F13" s="106" cm="1">
        <f t="array" ref="F13">SUMPRODUCT((raw!$A$2:$A$750='(2020-21)'!$A13)*(raw!$B$2:$B$750='(2020-21)'!$B13)*(raw!$C$2:$C$750='(2020-21)'!F$2)*(raw!$D$2:$D$750))</f>
        <v>2</v>
      </c>
      <c r="G13" s="106">
        <f t="shared" si="1"/>
        <v>40</v>
      </c>
    </row>
    <row r="14" spans="1:9" x14ac:dyDescent="0.3">
      <c r="A14">
        <v>2021</v>
      </c>
      <c r="B14" t="s">
        <v>19</v>
      </c>
      <c r="C14" s="106" cm="1">
        <f t="array" ref="C14">SUMPRODUCT((raw!$A$2:$A$750='(2020-21)'!$A14)*(raw!$B$2:$B$750='(2020-21)'!$B14)*(raw!$C$2:$C$750='(2020-21)'!C$2)*(raw!$D$2:$D$750))</f>
        <v>17</v>
      </c>
      <c r="D14" s="106" cm="1">
        <f t="array" ref="D14">SUMPRODUCT((raw!$A$2:$A$750='(2020-21)'!$A14)*(raw!$B$2:$B$750='(2020-21)'!$B14)*(raw!$C$2:$C$750='(2020-21)'!D$2)*(raw!$D$2:$D$750))</f>
        <v>29</v>
      </c>
      <c r="E14" s="106" cm="1">
        <f t="array" ref="E14">SUMPRODUCT((raw!$A$2:$A$750='(2020-21)'!$A14)*(raw!$B$2:$B$750='(2020-21)'!$B14)*(raw!$C$2:$C$750='(2020-21)'!E$2)*(raw!$D$2:$D$750))</f>
        <v>3</v>
      </c>
      <c r="F14" s="106" cm="1">
        <f t="array" ref="F14">SUMPRODUCT((raw!$A$2:$A$750='(2020-21)'!$A14)*(raw!$B$2:$B$750='(2020-21)'!$B14)*(raw!$C$2:$C$750='(2020-21)'!F$2)*(raw!$D$2:$D$750))</f>
        <v>15</v>
      </c>
      <c r="G14" s="106">
        <f t="shared" si="1"/>
        <v>64</v>
      </c>
    </row>
    <row r="15" spans="1:9" x14ac:dyDescent="0.3">
      <c r="A15">
        <v>2021</v>
      </c>
      <c r="B15" t="s">
        <v>20</v>
      </c>
      <c r="C15" s="106" cm="1">
        <f t="array" ref="C15">SUMPRODUCT((raw!$A$2:$A$750='(2020-21)'!$A15)*(raw!$B$2:$B$750='(2020-21)'!$B15)*(raw!$C$2:$C$750='(2020-21)'!C$2)*(raw!$D$2:$D$750))</f>
        <v>62</v>
      </c>
      <c r="D15" s="106" cm="1">
        <f t="array" ref="D15">SUMPRODUCT((raw!$A$2:$A$750='(2020-21)'!$A15)*(raw!$B$2:$B$750='(2020-21)'!$B15)*(raw!$C$2:$C$750='(2020-21)'!D$2)*(raw!$D$2:$D$750))</f>
        <v>126</v>
      </c>
      <c r="E15" s="106" cm="1">
        <f t="array" ref="E15">SUMPRODUCT((raw!$A$2:$A$750='(2020-21)'!$A15)*(raw!$B$2:$B$750='(2020-21)'!$B15)*(raw!$C$2:$C$750='(2020-21)'!E$2)*(raw!$D$2:$D$750))</f>
        <v>0</v>
      </c>
      <c r="F15" s="106" cm="1">
        <f t="array" ref="F15">SUMPRODUCT((raw!$A$2:$A$750='(2020-21)'!$A15)*(raw!$B$2:$B$750='(2020-21)'!$B15)*(raw!$C$2:$C$750='(2020-21)'!F$2)*(raw!$D$2:$D$750))</f>
        <v>32</v>
      </c>
      <c r="G15" s="106">
        <f t="shared" si="1"/>
        <v>220</v>
      </c>
    </row>
    <row r="16" spans="1:9" x14ac:dyDescent="0.3">
      <c r="A16">
        <v>2021</v>
      </c>
      <c r="B16" t="s">
        <v>105</v>
      </c>
      <c r="C16" s="106" cm="1">
        <f t="array" ref="C16">SUMPRODUCT((raw!$A$2:$A$750='(2020-21)'!$A16)*(raw!$B$2:$B$750='(2020-21)'!$B16)*(raw!$C$2:$C$750='(2020-21)'!C$2)*(raw!$D$2:$D$750))</f>
        <v>37</v>
      </c>
      <c r="D16" s="106" cm="1">
        <f t="array" ref="D16">SUMPRODUCT((raw!$A$2:$A$750='(2020-21)'!$A16)*(raw!$B$2:$B$750='(2020-21)'!$B16)*(raw!$C$2:$C$750='(2020-21)'!D$2)*(raw!$D$2:$D$750))</f>
        <v>63</v>
      </c>
      <c r="E16" s="106" cm="1">
        <f t="array" ref="E16">SUMPRODUCT((raw!$A$2:$A$750='(2020-21)'!$A16)*(raw!$B$2:$B$750='(2020-21)'!$B16)*(raw!$C$2:$C$750='(2020-21)'!E$2)*(raw!$D$2:$D$750))</f>
        <v>5</v>
      </c>
      <c r="F16" s="106" cm="1">
        <f t="array" ref="F16">SUMPRODUCT((raw!$A$2:$A$750='(2020-21)'!$A16)*(raw!$B$2:$B$750='(2020-21)'!$B16)*(raw!$C$2:$C$750='(2020-21)'!F$2)*(raw!$D$2:$D$750))</f>
        <v>30</v>
      </c>
      <c r="G16" s="106">
        <f t="shared" si="1"/>
        <v>135</v>
      </c>
    </row>
    <row r="17" spans="1:7" x14ac:dyDescent="0.3">
      <c r="A17">
        <v>2021</v>
      </c>
      <c r="B17" t="s">
        <v>22</v>
      </c>
      <c r="C17" s="106" cm="1">
        <f t="array" ref="C17">SUMPRODUCT((raw!$A$2:$A$750='(2020-21)'!$A17)*(raw!$B$2:$B$750='(2020-21)'!$B17)*(raw!$C$2:$C$750='(2020-21)'!C$2)*(raw!$D$2:$D$750))</f>
        <v>17</v>
      </c>
      <c r="D17" s="106" cm="1">
        <f t="array" ref="D17">SUMPRODUCT((raw!$A$2:$A$750='(2020-21)'!$A17)*(raw!$B$2:$B$750='(2020-21)'!$B17)*(raw!$C$2:$C$750='(2020-21)'!D$2)*(raw!$D$2:$D$750))</f>
        <v>18</v>
      </c>
      <c r="E17" s="106" cm="1">
        <f t="array" ref="E17">SUMPRODUCT((raw!$A$2:$A$750='(2020-21)'!$A17)*(raw!$B$2:$B$750='(2020-21)'!$B17)*(raw!$C$2:$C$750='(2020-21)'!E$2)*(raw!$D$2:$D$750))</f>
        <v>0</v>
      </c>
      <c r="F17" s="106" cm="1">
        <f t="array" ref="F17">SUMPRODUCT((raw!$A$2:$A$750='(2020-21)'!$A17)*(raw!$B$2:$B$750='(2020-21)'!$B17)*(raw!$C$2:$C$750='(2020-21)'!F$2)*(raw!$D$2:$D$750))</f>
        <v>7</v>
      </c>
      <c r="G17" s="106">
        <f t="shared" si="1"/>
        <v>42</v>
      </c>
    </row>
    <row r="18" spans="1:7" x14ac:dyDescent="0.3">
      <c r="A18">
        <v>2021</v>
      </c>
      <c r="B18" t="s">
        <v>23</v>
      </c>
      <c r="C18" s="106" cm="1">
        <f t="array" ref="C18">SUMPRODUCT((raw!$A$2:$A$750='(2020-21)'!$A18)*(raw!$B$2:$B$750='(2020-21)'!$B18)*(raw!$C$2:$C$750='(2020-21)'!C$2)*(raw!$D$2:$D$750))</f>
        <v>25</v>
      </c>
      <c r="D18" s="106" cm="1">
        <f t="array" ref="D18">SUMPRODUCT((raw!$A$2:$A$750='(2020-21)'!$A18)*(raw!$B$2:$B$750='(2020-21)'!$B18)*(raw!$C$2:$C$750='(2020-21)'!D$2)*(raw!$D$2:$D$750))</f>
        <v>26</v>
      </c>
      <c r="E18" s="106" cm="1">
        <f t="array" ref="E18">SUMPRODUCT((raw!$A$2:$A$750='(2020-21)'!$A18)*(raw!$B$2:$B$750='(2020-21)'!$B18)*(raw!$C$2:$C$750='(2020-21)'!E$2)*(raw!$D$2:$D$750))</f>
        <v>4</v>
      </c>
      <c r="F18" s="106" cm="1">
        <f t="array" ref="F18">SUMPRODUCT((raw!$A$2:$A$750='(2020-21)'!$A18)*(raw!$B$2:$B$750='(2020-21)'!$B18)*(raw!$C$2:$C$750='(2020-21)'!F$2)*(raw!$D$2:$D$750))</f>
        <v>23</v>
      </c>
      <c r="G18" s="106">
        <f t="shared" si="1"/>
        <v>78</v>
      </c>
    </row>
    <row r="19" spans="1:7" x14ac:dyDescent="0.3">
      <c r="A19">
        <v>2021</v>
      </c>
      <c r="B19" t="s">
        <v>24</v>
      </c>
      <c r="C19" s="106" cm="1">
        <f t="array" ref="C19">SUMPRODUCT((raw!$A$2:$A$750='(2020-21)'!$A19)*(raw!$B$2:$B$750='(2020-21)'!$B19)*(raw!$C$2:$C$750='(2020-21)'!C$2)*(raw!$D$2:$D$750))</f>
        <v>34</v>
      </c>
      <c r="D19" s="106" cm="1">
        <f t="array" ref="D19">SUMPRODUCT((raw!$A$2:$A$750='(2020-21)'!$A19)*(raw!$B$2:$B$750='(2020-21)'!$B19)*(raw!$C$2:$C$750='(2020-21)'!D$2)*(raw!$D$2:$D$750))</f>
        <v>54</v>
      </c>
      <c r="E19" s="106" cm="1">
        <f t="array" ref="E19">SUMPRODUCT((raw!$A$2:$A$750='(2020-21)'!$A19)*(raw!$B$2:$B$750='(2020-21)'!$B19)*(raw!$C$2:$C$750='(2020-21)'!E$2)*(raw!$D$2:$D$750))</f>
        <v>0</v>
      </c>
      <c r="F19" s="106" cm="1">
        <f t="array" ref="F19">SUMPRODUCT((raw!$A$2:$A$750='(2020-21)'!$A19)*(raw!$B$2:$B$750='(2020-21)'!$B19)*(raw!$C$2:$C$750='(2020-21)'!F$2)*(raw!$D$2:$D$750))</f>
        <v>33</v>
      </c>
      <c r="G19" s="106">
        <f t="shared" si="1"/>
        <v>121</v>
      </c>
    </row>
    <row r="20" spans="1:7" x14ac:dyDescent="0.3">
      <c r="A20">
        <v>2021</v>
      </c>
      <c r="B20" t="s">
        <v>25</v>
      </c>
      <c r="C20" s="106" cm="1">
        <f t="array" ref="C20">SUMPRODUCT((raw!$A$2:$A$750='(2020-21)'!$A20)*(raw!$B$2:$B$750='(2020-21)'!$B20)*(raw!$C$2:$C$750='(2020-21)'!C$2)*(raw!$D$2:$D$750))</f>
        <v>16</v>
      </c>
      <c r="D20" s="106" cm="1">
        <f t="array" ref="D20">SUMPRODUCT((raw!$A$2:$A$750='(2020-21)'!$A20)*(raw!$B$2:$B$750='(2020-21)'!$B20)*(raw!$C$2:$C$750='(2020-21)'!D$2)*(raw!$D$2:$D$750))</f>
        <v>22</v>
      </c>
      <c r="E20" s="106" cm="1">
        <f t="array" ref="E20">SUMPRODUCT((raw!$A$2:$A$750='(2020-21)'!$A20)*(raw!$B$2:$B$750='(2020-21)'!$B20)*(raw!$C$2:$C$750='(2020-21)'!E$2)*(raw!$D$2:$D$750))</f>
        <v>0</v>
      </c>
      <c r="F20" s="106" cm="1">
        <f t="array" ref="F20">SUMPRODUCT((raw!$A$2:$A$750='(2020-21)'!$A20)*(raw!$B$2:$B$750='(2020-21)'!$B20)*(raw!$C$2:$C$750='(2020-21)'!F$2)*(raw!$D$2:$D$750))</f>
        <v>4</v>
      </c>
      <c r="G20" s="106">
        <f t="shared" si="1"/>
        <v>42</v>
      </c>
    </row>
    <row r="21" spans="1:7" x14ac:dyDescent="0.3">
      <c r="A21">
        <v>2021</v>
      </c>
      <c r="B21" t="s">
        <v>28</v>
      </c>
      <c r="C21" s="106" cm="1">
        <f t="array" ref="C21">SUMPRODUCT((raw!$A$2:$A$750='(2020-21)'!$A21)*(raw!$B$2:$B$750='(2020-21)'!$B21)*(raw!$C$2:$C$750='(2020-21)'!C$2)*(raw!$D$2:$D$750))</f>
        <v>93</v>
      </c>
      <c r="D21" s="106" cm="1">
        <f t="array" ref="D21">SUMPRODUCT((raw!$A$2:$A$750='(2020-21)'!$A21)*(raw!$B$2:$B$750='(2020-21)'!$B21)*(raw!$C$2:$C$750='(2020-21)'!D$2)*(raw!$D$2:$D$750))</f>
        <v>64</v>
      </c>
      <c r="E21" s="106" cm="1">
        <f t="array" ref="E21">SUMPRODUCT((raw!$A$2:$A$750='(2020-21)'!$A21)*(raw!$B$2:$B$750='(2020-21)'!$B21)*(raw!$C$2:$C$750='(2020-21)'!E$2)*(raw!$D$2:$D$750))</f>
        <v>1</v>
      </c>
      <c r="F21" s="106" cm="1">
        <f t="array" ref="F21">SUMPRODUCT((raw!$A$2:$A$750='(2020-21)'!$A21)*(raw!$B$2:$B$750='(2020-21)'!$B21)*(raw!$C$2:$C$750='(2020-21)'!F$2)*(raw!$D$2:$D$750))</f>
        <v>37</v>
      </c>
      <c r="G21" s="106">
        <f t="shared" si="1"/>
        <v>195</v>
      </c>
    </row>
    <row r="22" spans="1:7" x14ac:dyDescent="0.3">
      <c r="A22">
        <v>2021</v>
      </c>
      <c r="B22" t="s">
        <v>29</v>
      </c>
      <c r="C22" s="106" cm="1">
        <f t="array" ref="C22">SUMPRODUCT((raw!$A$2:$A$750='(2020-21)'!$A22)*(raw!$B$2:$B$750='(2020-21)'!$B22)*(raw!$C$2:$C$750='(2020-21)'!C$2)*(raw!$D$2:$D$750))</f>
        <v>23</v>
      </c>
      <c r="D22" s="106" cm="1">
        <f t="array" ref="D22">SUMPRODUCT((raw!$A$2:$A$750='(2020-21)'!$A22)*(raw!$B$2:$B$750='(2020-21)'!$B22)*(raw!$C$2:$C$750='(2020-21)'!D$2)*(raw!$D$2:$D$750))</f>
        <v>37</v>
      </c>
      <c r="E22" s="106" cm="1">
        <f t="array" ref="E22">SUMPRODUCT((raw!$A$2:$A$750='(2020-21)'!$A22)*(raw!$B$2:$B$750='(2020-21)'!$B22)*(raw!$C$2:$C$750='(2020-21)'!E$2)*(raw!$D$2:$D$750))</f>
        <v>0</v>
      </c>
      <c r="F22" s="106" cm="1">
        <f t="array" ref="F22">SUMPRODUCT((raw!$A$2:$A$750='(2020-21)'!$A22)*(raw!$B$2:$B$750='(2020-21)'!$B22)*(raw!$C$2:$C$750='(2020-21)'!F$2)*(raw!$D$2:$D$750))</f>
        <v>8</v>
      </c>
      <c r="G22" s="106">
        <f t="shared" si="1"/>
        <v>68</v>
      </c>
    </row>
    <row r="23" spans="1:7" x14ac:dyDescent="0.3">
      <c r="A23">
        <v>2021</v>
      </c>
      <c r="B23" t="s">
        <v>30</v>
      </c>
      <c r="C23" s="106" cm="1">
        <f t="array" ref="C23">SUMPRODUCT((raw!$A$2:$A$750='(2020-21)'!$A23)*(raw!$B$2:$B$750='(2020-21)'!$B23)*(raw!$C$2:$C$750='(2020-21)'!C$2)*(raw!$D$2:$D$750))</f>
        <v>41</v>
      </c>
      <c r="D23" s="106" cm="1">
        <f t="array" ref="D23">SUMPRODUCT((raw!$A$2:$A$750='(2020-21)'!$A23)*(raw!$B$2:$B$750='(2020-21)'!$B23)*(raw!$C$2:$C$750='(2020-21)'!D$2)*(raw!$D$2:$D$750))</f>
        <v>26</v>
      </c>
      <c r="E23" s="106" cm="1">
        <f t="array" ref="E23">SUMPRODUCT((raw!$A$2:$A$750='(2020-21)'!$A23)*(raw!$B$2:$B$750='(2020-21)'!$B23)*(raw!$C$2:$C$750='(2020-21)'!E$2)*(raw!$D$2:$D$750))</f>
        <v>4</v>
      </c>
      <c r="F23" s="106" cm="1">
        <f t="array" ref="F23">SUMPRODUCT((raw!$A$2:$A$750='(2020-21)'!$A23)*(raw!$B$2:$B$750='(2020-21)'!$B23)*(raw!$C$2:$C$750='(2020-21)'!F$2)*(raw!$D$2:$D$750))</f>
        <v>17</v>
      </c>
      <c r="G23" s="106">
        <f t="shared" si="1"/>
        <v>88</v>
      </c>
    </row>
    <row r="24" spans="1:7" x14ac:dyDescent="0.3">
      <c r="A24">
        <v>2021</v>
      </c>
      <c r="B24" t="s">
        <v>31</v>
      </c>
      <c r="C24" s="106" cm="1">
        <f t="array" ref="C24">SUMPRODUCT((raw!$A$2:$A$750='(2020-21)'!$A24)*(raw!$B$2:$B$750='(2020-21)'!$B24)*(raw!$C$2:$C$750='(2020-21)'!C$2)*(raw!$D$2:$D$750))</f>
        <v>23</v>
      </c>
      <c r="D24" s="106" cm="1">
        <f t="array" ref="D24">SUMPRODUCT((raw!$A$2:$A$750='(2020-21)'!$A24)*(raw!$B$2:$B$750='(2020-21)'!$B24)*(raw!$C$2:$C$750='(2020-21)'!D$2)*(raw!$D$2:$D$750))</f>
        <v>17</v>
      </c>
      <c r="E24" s="106" cm="1">
        <f t="array" ref="E24">SUMPRODUCT((raw!$A$2:$A$750='(2020-21)'!$A24)*(raw!$B$2:$B$750='(2020-21)'!$B24)*(raw!$C$2:$C$750='(2020-21)'!E$2)*(raw!$D$2:$D$750))</f>
        <v>2</v>
      </c>
      <c r="F24" s="106" cm="1">
        <f t="array" ref="F24">SUMPRODUCT((raw!$A$2:$A$750='(2020-21)'!$A24)*(raw!$B$2:$B$750='(2020-21)'!$B24)*(raw!$C$2:$C$750='(2020-21)'!F$2)*(raw!$D$2:$D$750))</f>
        <v>17</v>
      </c>
      <c r="G24" s="106">
        <f t="shared" si="1"/>
        <v>59</v>
      </c>
    </row>
    <row r="25" spans="1:7" x14ac:dyDescent="0.3">
      <c r="A25">
        <v>2021</v>
      </c>
      <c r="B25" t="s">
        <v>65</v>
      </c>
      <c r="C25" s="106" cm="1">
        <f t="array" ref="C25">SUMPRODUCT((raw!$A$2:$A$750='(2020-21)'!$A25)*(raw!$B$2:$B$750='(2020-21)'!$B25)*(raw!$C$2:$C$750='(2020-21)'!C$2)*(raw!$D$2:$D$750))</f>
        <v>7</v>
      </c>
      <c r="D25" s="106" cm="1">
        <f t="array" ref="D25">SUMPRODUCT((raw!$A$2:$A$750='(2020-21)'!$A25)*(raw!$B$2:$B$750='(2020-21)'!$B25)*(raw!$C$2:$C$750='(2020-21)'!D$2)*(raw!$D$2:$D$750))</f>
        <v>9</v>
      </c>
      <c r="E25" s="106" cm="1">
        <f t="array" ref="E25">SUMPRODUCT((raw!$A$2:$A$750='(2020-21)'!$A25)*(raw!$B$2:$B$750='(2020-21)'!$B25)*(raw!$C$2:$C$750='(2020-21)'!E$2)*(raw!$D$2:$D$750))</f>
        <v>0</v>
      </c>
      <c r="F25" s="106" cm="1">
        <f t="array" ref="F25">SUMPRODUCT((raw!$A$2:$A$750='(2020-21)'!$A25)*(raw!$B$2:$B$750='(2020-21)'!$B25)*(raw!$C$2:$C$750='(2020-21)'!F$2)*(raw!$D$2:$D$750))</f>
        <v>2</v>
      </c>
      <c r="G25" s="106">
        <f t="shared" si="1"/>
        <v>18</v>
      </c>
    </row>
    <row r="26" spans="1:7" x14ac:dyDescent="0.3">
      <c r="A26">
        <v>2021</v>
      </c>
      <c r="B26" t="s">
        <v>34</v>
      </c>
      <c r="C26" s="106" cm="1">
        <f t="array" ref="C26">SUMPRODUCT((raw!$A$2:$A$750='(2020-21)'!$A26)*(raw!$B$2:$B$750='(2020-21)'!$B26)*(raw!$C$2:$C$750='(2020-21)'!C$2)*(raw!$D$2:$D$750))</f>
        <v>45</v>
      </c>
      <c r="D26" s="106" cm="1">
        <f t="array" ref="D26">SUMPRODUCT((raw!$A$2:$A$750='(2020-21)'!$A26)*(raw!$B$2:$B$750='(2020-21)'!$B26)*(raw!$C$2:$C$750='(2020-21)'!D$2)*(raw!$D$2:$D$750))</f>
        <v>32</v>
      </c>
      <c r="E26" s="106" cm="1">
        <f t="array" ref="E26">SUMPRODUCT((raw!$A$2:$A$750='(2020-21)'!$A26)*(raw!$B$2:$B$750='(2020-21)'!$B26)*(raw!$C$2:$C$750='(2020-21)'!E$2)*(raw!$D$2:$D$750))</f>
        <v>1</v>
      </c>
      <c r="F26" s="106" cm="1">
        <f t="array" ref="F26">SUMPRODUCT((raw!$A$2:$A$750='(2020-21)'!$A26)*(raw!$B$2:$B$750='(2020-21)'!$B26)*(raw!$C$2:$C$750='(2020-21)'!F$2)*(raw!$D$2:$D$750))</f>
        <v>30</v>
      </c>
      <c r="G26" s="106">
        <f t="shared" si="1"/>
        <v>108</v>
      </c>
    </row>
    <row r="27" spans="1:7" x14ac:dyDescent="0.3">
      <c r="A27">
        <v>2021</v>
      </c>
      <c r="B27" t="s">
        <v>35</v>
      </c>
      <c r="C27" s="106" cm="1">
        <f t="array" ref="C27">SUMPRODUCT((raw!$A$2:$A$750='(2020-21)'!$A27)*(raw!$B$2:$B$750='(2020-21)'!$B27)*(raw!$C$2:$C$750='(2020-21)'!C$2)*(raw!$D$2:$D$750))</f>
        <v>37</v>
      </c>
      <c r="D27" s="106" cm="1">
        <f t="array" ref="D27">SUMPRODUCT((raw!$A$2:$A$750='(2020-21)'!$A27)*(raw!$B$2:$B$750='(2020-21)'!$B27)*(raw!$C$2:$C$750='(2020-21)'!D$2)*(raw!$D$2:$D$750))</f>
        <v>37</v>
      </c>
      <c r="E27" s="106" cm="1">
        <f t="array" ref="E27">SUMPRODUCT((raw!$A$2:$A$750='(2020-21)'!$A27)*(raw!$B$2:$B$750='(2020-21)'!$B27)*(raw!$C$2:$C$750='(2020-21)'!E$2)*(raw!$D$2:$D$750))</f>
        <v>0</v>
      </c>
      <c r="F27" s="106" cm="1">
        <f t="array" ref="F27">SUMPRODUCT((raw!$A$2:$A$750='(2020-21)'!$A27)*(raw!$B$2:$B$750='(2020-21)'!$B27)*(raw!$C$2:$C$750='(2020-21)'!F$2)*(raw!$D$2:$D$750))</f>
        <v>19</v>
      </c>
      <c r="G27" s="106">
        <f t="shared" si="1"/>
        <v>93</v>
      </c>
    </row>
    <row r="28" spans="1:7" x14ac:dyDescent="0.3">
      <c r="A28">
        <v>2021</v>
      </c>
      <c r="B28" t="s">
        <v>36</v>
      </c>
      <c r="C28" s="106" cm="1">
        <f t="array" ref="C28">SUMPRODUCT((raw!$A$2:$A$750='(2020-21)'!$A28)*(raw!$B$2:$B$750='(2020-21)'!$B28)*(raw!$C$2:$C$750='(2020-21)'!C$2)*(raw!$D$2:$D$750))</f>
        <v>21</v>
      </c>
      <c r="D28" s="106" cm="1">
        <f t="array" ref="D28">SUMPRODUCT((raw!$A$2:$A$750='(2020-21)'!$A28)*(raw!$B$2:$B$750='(2020-21)'!$B28)*(raw!$C$2:$C$750='(2020-21)'!D$2)*(raw!$D$2:$D$750))</f>
        <v>18</v>
      </c>
      <c r="E28" s="106" cm="1">
        <f t="array" ref="E28">SUMPRODUCT((raw!$A$2:$A$750='(2020-21)'!$A28)*(raw!$B$2:$B$750='(2020-21)'!$B28)*(raw!$C$2:$C$750='(2020-21)'!E$2)*(raw!$D$2:$D$750))</f>
        <v>1</v>
      </c>
      <c r="F28" s="106" cm="1">
        <f t="array" ref="F28">SUMPRODUCT((raw!$A$2:$A$750='(2020-21)'!$A28)*(raw!$B$2:$B$750='(2020-21)'!$B28)*(raw!$C$2:$C$750='(2020-21)'!F$2)*(raw!$D$2:$D$750))</f>
        <v>16</v>
      </c>
      <c r="G28" s="106">
        <f t="shared" si="1"/>
        <v>56</v>
      </c>
    </row>
    <row r="29" spans="1:7" x14ac:dyDescent="0.3">
      <c r="A29">
        <v>2021</v>
      </c>
      <c r="B29" t="s">
        <v>37</v>
      </c>
      <c r="C29" s="106" cm="1">
        <f t="array" ref="C29">SUMPRODUCT((raw!$A$2:$A$750='(2020-21)'!$A29)*(raw!$B$2:$B$750='(2020-21)'!$B29)*(raw!$C$2:$C$750='(2020-21)'!C$2)*(raw!$D$2:$D$750))</f>
        <v>13</v>
      </c>
      <c r="D29" s="106" cm="1">
        <f t="array" ref="D29">SUMPRODUCT((raw!$A$2:$A$750='(2020-21)'!$A29)*(raw!$B$2:$B$750='(2020-21)'!$B29)*(raw!$C$2:$C$750='(2020-21)'!D$2)*(raw!$D$2:$D$750))</f>
        <v>24</v>
      </c>
      <c r="E29" s="106" cm="1">
        <f t="array" ref="E29">SUMPRODUCT((raw!$A$2:$A$750='(2020-21)'!$A29)*(raw!$B$2:$B$750='(2020-21)'!$B29)*(raw!$C$2:$C$750='(2020-21)'!E$2)*(raw!$D$2:$D$750))</f>
        <v>1</v>
      </c>
      <c r="F29" s="106" cm="1">
        <f t="array" ref="F29">SUMPRODUCT((raw!$A$2:$A$750='(2020-21)'!$A29)*(raw!$B$2:$B$750='(2020-21)'!$B29)*(raw!$C$2:$C$750='(2020-21)'!F$2)*(raw!$D$2:$D$750))</f>
        <v>4</v>
      </c>
      <c r="G29" s="106">
        <f t="shared" si="1"/>
        <v>42</v>
      </c>
    </row>
    <row r="30" spans="1:7" x14ac:dyDescent="0.3">
      <c r="A30">
        <v>2021</v>
      </c>
      <c r="B30" t="s">
        <v>39</v>
      </c>
      <c r="C30" s="106" cm="1">
        <f t="array" ref="C30">SUMPRODUCT((raw!$A$2:$A$750='(2020-21)'!$A30)*(raw!$B$2:$B$750='(2020-21)'!$B30)*(raw!$C$2:$C$750='(2020-21)'!C$2)*(raw!$D$2:$D$750))</f>
        <v>18</v>
      </c>
      <c r="D30" s="106" cm="1">
        <f t="array" ref="D30">SUMPRODUCT((raw!$A$2:$A$750='(2020-21)'!$A30)*(raw!$B$2:$B$750='(2020-21)'!$B30)*(raw!$C$2:$C$750='(2020-21)'!D$2)*(raw!$D$2:$D$750))</f>
        <v>18</v>
      </c>
      <c r="E30" s="106" cm="1">
        <f t="array" ref="E30">SUMPRODUCT((raw!$A$2:$A$750='(2020-21)'!$A30)*(raw!$B$2:$B$750='(2020-21)'!$B30)*(raw!$C$2:$C$750='(2020-21)'!E$2)*(raw!$D$2:$D$750))</f>
        <v>1</v>
      </c>
      <c r="F30" s="106" cm="1">
        <f t="array" ref="F30">SUMPRODUCT((raw!$A$2:$A$750='(2020-21)'!$A30)*(raw!$B$2:$B$750='(2020-21)'!$B30)*(raw!$C$2:$C$750='(2020-21)'!F$2)*(raw!$D$2:$D$750))</f>
        <v>24</v>
      </c>
      <c r="G30" s="106">
        <f t="shared" si="1"/>
        <v>61</v>
      </c>
    </row>
    <row r="31" spans="1:7" x14ac:dyDescent="0.3">
      <c r="A31">
        <v>2021</v>
      </c>
      <c r="B31" t="s">
        <v>40</v>
      </c>
      <c r="C31" s="106" cm="1">
        <f t="array" ref="C31">SUMPRODUCT((raw!$A$2:$A$750='(2020-21)'!$A31)*(raw!$B$2:$B$750='(2020-21)'!$B31)*(raw!$C$2:$C$750='(2020-21)'!C$2)*(raw!$D$2:$D$750))</f>
        <v>0</v>
      </c>
      <c r="D31" s="106" cm="1">
        <f t="array" ref="D31">SUMPRODUCT((raw!$A$2:$A$750='(2020-21)'!$A31)*(raw!$B$2:$B$750='(2020-21)'!$B31)*(raw!$C$2:$C$750='(2020-21)'!D$2)*(raw!$D$2:$D$750))</f>
        <v>0</v>
      </c>
      <c r="E31" s="106" cm="1">
        <f t="array" ref="E31">SUMPRODUCT((raw!$A$2:$A$750='(2020-21)'!$A31)*(raw!$B$2:$B$750='(2020-21)'!$B31)*(raw!$C$2:$C$750='(2020-21)'!E$2)*(raw!$D$2:$D$750))</f>
        <v>8</v>
      </c>
      <c r="F31" s="106" cm="1">
        <f t="array" ref="F31">SUMPRODUCT((raw!$A$2:$A$750='(2020-21)'!$A31)*(raw!$B$2:$B$750='(2020-21)'!$B31)*(raw!$C$2:$C$750='(2020-21)'!F$2)*(raw!$D$2:$D$750))</f>
        <v>0</v>
      </c>
      <c r="G31" s="106">
        <f t="shared" si="1"/>
        <v>8</v>
      </c>
    </row>
    <row r="32" spans="1:7" x14ac:dyDescent="0.3">
      <c r="A32">
        <v>2021</v>
      </c>
      <c r="B32" t="s">
        <v>41</v>
      </c>
      <c r="C32" s="106" cm="1">
        <f t="array" ref="C32">SUMPRODUCT((raw!$A$2:$A$750='(2020-21)'!$A32)*(raw!$B$2:$B$750='(2020-21)'!$B32)*(raw!$C$2:$C$750='(2020-21)'!C$2)*(raw!$D$2:$D$750))</f>
        <v>24</v>
      </c>
      <c r="D32" s="106" cm="1">
        <f t="array" ref="D32">SUMPRODUCT((raw!$A$2:$A$750='(2020-21)'!$A32)*(raw!$B$2:$B$750='(2020-21)'!$B32)*(raw!$C$2:$C$750='(2020-21)'!D$2)*(raw!$D$2:$D$750))</f>
        <v>38</v>
      </c>
      <c r="E32" s="106" cm="1">
        <f t="array" ref="E32">SUMPRODUCT((raw!$A$2:$A$750='(2020-21)'!$A32)*(raw!$B$2:$B$750='(2020-21)'!$B32)*(raw!$C$2:$C$750='(2020-21)'!E$2)*(raw!$D$2:$D$750))</f>
        <v>0</v>
      </c>
      <c r="F32" s="106" cm="1">
        <f t="array" ref="F32">SUMPRODUCT((raw!$A$2:$A$750='(2020-21)'!$A32)*(raw!$B$2:$B$750='(2020-21)'!$B32)*(raw!$C$2:$C$750='(2020-21)'!F$2)*(raw!$D$2:$D$750))</f>
        <v>2</v>
      </c>
      <c r="G32" s="106">
        <f t="shared" si="1"/>
        <v>64</v>
      </c>
    </row>
    <row r="33" spans="1:7" x14ac:dyDescent="0.3">
      <c r="A33">
        <v>2021</v>
      </c>
      <c r="B33" t="s">
        <v>42</v>
      </c>
      <c r="C33" s="106" cm="1">
        <f t="array" ref="C33">SUMPRODUCT((raw!$A$2:$A$750='(2020-21)'!$A33)*(raw!$B$2:$B$750='(2020-21)'!$B33)*(raw!$C$2:$C$750='(2020-21)'!C$2)*(raw!$D$2:$D$750))</f>
        <v>16</v>
      </c>
      <c r="D33" s="106" cm="1">
        <f t="array" ref="D33">SUMPRODUCT((raw!$A$2:$A$750='(2020-21)'!$A33)*(raw!$B$2:$B$750='(2020-21)'!$B33)*(raw!$C$2:$C$750='(2020-21)'!D$2)*(raw!$D$2:$D$750))</f>
        <v>32</v>
      </c>
      <c r="E33" s="106" cm="1">
        <f t="array" ref="E33">SUMPRODUCT((raw!$A$2:$A$750='(2020-21)'!$A33)*(raw!$B$2:$B$750='(2020-21)'!$B33)*(raw!$C$2:$C$750='(2020-21)'!E$2)*(raw!$D$2:$D$750))</f>
        <v>2</v>
      </c>
      <c r="F33" s="106" cm="1">
        <f t="array" ref="F33">SUMPRODUCT((raw!$A$2:$A$750='(2020-21)'!$A33)*(raw!$B$2:$B$750='(2020-21)'!$B33)*(raw!$C$2:$C$750='(2020-21)'!F$2)*(raw!$D$2:$D$750))</f>
        <v>10</v>
      </c>
      <c r="G33" s="106">
        <f t="shared" si="1"/>
        <v>60</v>
      </c>
    </row>
    <row r="34" spans="1:7" x14ac:dyDescent="0.3">
      <c r="A34">
        <v>2021</v>
      </c>
      <c r="B34" t="s">
        <v>43</v>
      </c>
      <c r="C34" s="106" cm="1">
        <f t="array" ref="C34">SUMPRODUCT((raw!$A$2:$A$750='(2020-21)'!$A34)*(raw!$B$2:$B$750='(2020-21)'!$B34)*(raw!$C$2:$C$750='(2020-21)'!C$2)*(raw!$D$2:$D$750))</f>
        <v>9</v>
      </c>
      <c r="D34" s="106" cm="1">
        <f t="array" ref="D34">SUMPRODUCT((raw!$A$2:$A$750='(2020-21)'!$A34)*(raw!$B$2:$B$750='(2020-21)'!$B34)*(raw!$C$2:$C$750='(2020-21)'!D$2)*(raw!$D$2:$D$750))</f>
        <v>28</v>
      </c>
      <c r="E34" s="106" cm="1">
        <f t="array" ref="E34">SUMPRODUCT((raw!$A$2:$A$750='(2020-21)'!$A34)*(raw!$B$2:$B$750='(2020-21)'!$B34)*(raw!$C$2:$C$750='(2020-21)'!E$2)*(raw!$D$2:$D$750))</f>
        <v>1</v>
      </c>
      <c r="F34" s="106" cm="1">
        <f t="array" ref="F34">SUMPRODUCT((raw!$A$2:$A$750='(2020-21)'!$A34)*(raw!$B$2:$B$750='(2020-21)'!$B34)*(raw!$C$2:$C$750='(2020-21)'!F$2)*(raw!$D$2:$D$750))</f>
        <v>8</v>
      </c>
      <c r="G34" s="106">
        <f t="shared" si="1"/>
        <v>46</v>
      </c>
    </row>
    <row r="35" spans="1:7" x14ac:dyDescent="0.3">
      <c r="A35">
        <v>2021</v>
      </c>
      <c r="B35" t="s">
        <v>44</v>
      </c>
      <c r="C35" s="106" cm="1">
        <f t="array" ref="C35">SUMPRODUCT((raw!$A$2:$A$750='(2020-21)'!$A35)*(raw!$B$2:$B$750='(2020-21)'!$B35)*(raw!$C$2:$C$750='(2020-21)'!C$2)*(raw!$D$2:$D$750))</f>
        <v>22</v>
      </c>
      <c r="D35" s="106" cm="1">
        <f t="array" ref="D35">SUMPRODUCT((raw!$A$2:$A$750='(2020-21)'!$A35)*(raw!$B$2:$B$750='(2020-21)'!$B35)*(raw!$C$2:$C$750='(2020-21)'!D$2)*(raw!$D$2:$D$750))</f>
        <v>17</v>
      </c>
      <c r="E35" s="106" cm="1">
        <f t="array" ref="E35">SUMPRODUCT((raw!$A$2:$A$750='(2020-21)'!$A35)*(raw!$B$2:$B$750='(2020-21)'!$B35)*(raw!$C$2:$C$750='(2020-21)'!E$2)*(raw!$D$2:$D$750))</f>
        <v>0</v>
      </c>
      <c r="F35" s="106" cm="1">
        <f t="array" ref="F35">SUMPRODUCT((raw!$A$2:$A$750='(2020-21)'!$A35)*(raw!$B$2:$B$750='(2020-21)'!$B35)*(raw!$C$2:$C$750='(2020-21)'!F$2)*(raw!$D$2:$D$750))</f>
        <v>14</v>
      </c>
      <c r="G35" s="106">
        <f t="shared" si="1"/>
        <v>53</v>
      </c>
    </row>
    <row r="36" spans="1:7" x14ac:dyDescent="0.3">
      <c r="A36">
        <v>2021</v>
      </c>
      <c r="B36" t="s">
        <v>45</v>
      </c>
      <c r="C36" s="106" cm="1">
        <f t="array" ref="C36">SUMPRODUCT((raw!$A$2:$A$750='(2020-21)'!$A36)*(raw!$B$2:$B$750='(2020-21)'!$B36)*(raw!$C$2:$C$750='(2020-21)'!C$2)*(raw!$D$2:$D$750))</f>
        <v>12</v>
      </c>
      <c r="D36" s="106" cm="1">
        <f t="array" ref="D36">SUMPRODUCT((raw!$A$2:$A$750='(2020-21)'!$A36)*(raw!$B$2:$B$750='(2020-21)'!$B36)*(raw!$C$2:$C$750='(2020-21)'!D$2)*(raw!$D$2:$D$750))</f>
        <v>58</v>
      </c>
      <c r="E36" s="106" cm="1">
        <f t="array" ref="E36">SUMPRODUCT((raw!$A$2:$A$750='(2020-21)'!$A36)*(raw!$B$2:$B$750='(2020-21)'!$B36)*(raw!$C$2:$C$750='(2020-21)'!E$2)*(raw!$D$2:$D$750))</f>
        <v>0</v>
      </c>
      <c r="F36" s="106" cm="1">
        <f t="array" ref="F36">SUMPRODUCT((raw!$A$2:$A$750='(2020-21)'!$A36)*(raw!$B$2:$B$750='(2020-21)'!$B36)*(raw!$C$2:$C$750='(2020-21)'!F$2)*(raw!$D$2:$D$750))</f>
        <v>5</v>
      </c>
      <c r="G36" s="106">
        <f t="shared" si="1"/>
        <v>75</v>
      </c>
    </row>
    <row r="37" spans="1:7" x14ac:dyDescent="0.3">
      <c r="A37">
        <v>2021</v>
      </c>
      <c r="B37" t="s">
        <v>46</v>
      </c>
      <c r="C37" s="106" cm="1">
        <f t="array" ref="C37">SUMPRODUCT((raw!$A$2:$A$750='(2020-21)'!$A37)*(raw!$B$2:$B$750='(2020-21)'!$B37)*(raw!$C$2:$C$750='(2020-21)'!C$2)*(raw!$D$2:$D$750))</f>
        <v>7</v>
      </c>
      <c r="D37" s="106" cm="1">
        <f t="array" ref="D37">SUMPRODUCT((raw!$A$2:$A$750='(2020-21)'!$A37)*(raw!$B$2:$B$750='(2020-21)'!$B37)*(raw!$C$2:$C$750='(2020-21)'!D$2)*(raw!$D$2:$D$750))</f>
        <v>21</v>
      </c>
      <c r="E37" s="106" cm="1">
        <f t="array" ref="E37">SUMPRODUCT((raw!$A$2:$A$750='(2020-21)'!$A37)*(raw!$B$2:$B$750='(2020-21)'!$B37)*(raw!$C$2:$C$750='(2020-21)'!E$2)*(raw!$D$2:$D$750))</f>
        <v>0</v>
      </c>
      <c r="F37" s="106" cm="1">
        <f t="array" ref="F37">SUMPRODUCT((raw!$A$2:$A$750='(2020-21)'!$A37)*(raw!$B$2:$B$750='(2020-21)'!$B37)*(raw!$C$2:$C$750='(2020-21)'!F$2)*(raw!$D$2:$D$750))</f>
        <v>3</v>
      </c>
      <c r="G37" s="106">
        <f t="shared" si="1"/>
        <v>31</v>
      </c>
    </row>
    <row r="38" spans="1:7" x14ac:dyDescent="0.3">
      <c r="A38">
        <v>2021</v>
      </c>
      <c r="B38" t="s">
        <v>48</v>
      </c>
      <c r="C38" s="106" cm="1">
        <f t="array" ref="C38">SUMPRODUCT((raw!$A$2:$A$750='(2020-21)'!$A38)*(raw!$B$2:$B$750='(2020-21)'!$B38)*(raw!$C$2:$C$750='(2020-21)'!C$2)*(raw!$D$2:$D$750))</f>
        <v>15</v>
      </c>
      <c r="D38" s="106" cm="1">
        <f t="array" ref="D38">SUMPRODUCT((raw!$A$2:$A$750='(2020-21)'!$A38)*(raw!$B$2:$B$750='(2020-21)'!$B38)*(raw!$C$2:$C$750='(2020-21)'!D$2)*(raw!$D$2:$D$750))</f>
        <v>39</v>
      </c>
      <c r="E38" s="106" cm="1">
        <f t="array" ref="E38">SUMPRODUCT((raw!$A$2:$A$750='(2020-21)'!$A38)*(raw!$B$2:$B$750='(2020-21)'!$B38)*(raw!$C$2:$C$750='(2020-21)'!E$2)*(raw!$D$2:$D$750))</f>
        <v>0</v>
      </c>
      <c r="F38" s="106" cm="1">
        <f t="array" ref="F38">SUMPRODUCT((raw!$A$2:$A$750='(2020-21)'!$A38)*(raw!$B$2:$B$750='(2020-21)'!$B38)*(raw!$C$2:$C$750='(2020-21)'!F$2)*(raw!$D$2:$D$750))</f>
        <v>39</v>
      </c>
      <c r="G38" s="106">
        <f t="shared" si="1"/>
        <v>93</v>
      </c>
    </row>
    <row r="39" spans="1:7" x14ac:dyDescent="0.3">
      <c r="A39">
        <v>2021</v>
      </c>
      <c r="B39" t="s">
        <v>49</v>
      </c>
      <c r="C39" s="106" cm="1">
        <f t="array" ref="C39">SUMPRODUCT((raw!$A$2:$A$750='(2020-21)'!$A39)*(raw!$B$2:$B$750='(2020-21)'!$B39)*(raw!$C$2:$C$750='(2020-21)'!C$2)*(raw!$D$2:$D$750))</f>
        <v>12</v>
      </c>
      <c r="D39" s="106" cm="1">
        <f t="array" ref="D39">SUMPRODUCT((raw!$A$2:$A$750='(2020-21)'!$A39)*(raw!$B$2:$B$750='(2020-21)'!$B39)*(raw!$C$2:$C$750='(2020-21)'!D$2)*(raw!$D$2:$D$750))</f>
        <v>42</v>
      </c>
      <c r="E39" s="106" cm="1">
        <f t="array" ref="E39">SUMPRODUCT((raw!$A$2:$A$750='(2020-21)'!$A39)*(raw!$B$2:$B$750='(2020-21)'!$B39)*(raw!$C$2:$C$750='(2020-21)'!E$2)*(raw!$D$2:$D$750))</f>
        <v>0</v>
      </c>
      <c r="F39" s="106" cm="1">
        <f t="array" ref="F39">SUMPRODUCT((raw!$A$2:$A$750='(2020-21)'!$A39)*(raw!$B$2:$B$750='(2020-21)'!$B39)*(raw!$C$2:$C$750='(2020-21)'!F$2)*(raw!$D$2:$D$750))</f>
        <v>15</v>
      </c>
      <c r="G39" s="106">
        <f t="shared" si="1"/>
        <v>69</v>
      </c>
    </row>
    <row r="40" spans="1:7" x14ac:dyDescent="0.3">
      <c r="A40">
        <v>2021</v>
      </c>
      <c r="B40" t="s">
        <v>50</v>
      </c>
      <c r="C40" s="106" cm="1">
        <f t="array" ref="C40">SUMPRODUCT((raw!$A$2:$A$750='(2020-21)'!$A40)*(raw!$B$2:$B$750='(2020-21)'!$B40)*(raw!$C$2:$C$750='(2020-21)'!C$2)*(raw!$D$2:$D$750))</f>
        <v>47</v>
      </c>
      <c r="D40" s="106" cm="1">
        <f t="array" ref="D40">SUMPRODUCT((raw!$A$2:$A$750='(2020-21)'!$A40)*(raw!$B$2:$B$750='(2020-21)'!$B40)*(raw!$C$2:$C$750='(2020-21)'!D$2)*(raw!$D$2:$D$750))</f>
        <v>7</v>
      </c>
      <c r="E40" s="106" cm="1">
        <f t="array" ref="E40">SUMPRODUCT((raw!$A$2:$A$750='(2020-21)'!$A40)*(raw!$B$2:$B$750='(2020-21)'!$B40)*(raw!$C$2:$C$750='(2020-21)'!E$2)*(raw!$D$2:$D$750))</f>
        <v>6</v>
      </c>
      <c r="F40" s="106" cm="1">
        <f t="array" ref="F40">SUMPRODUCT((raw!$A$2:$A$750='(2020-21)'!$A40)*(raw!$B$2:$B$750='(2020-21)'!$B40)*(raw!$C$2:$C$750='(2020-21)'!F$2)*(raw!$D$2:$D$750))</f>
        <v>9</v>
      </c>
      <c r="G40" s="106">
        <f t="shared" si="1"/>
        <v>69</v>
      </c>
    </row>
    <row r="41" spans="1:7" x14ac:dyDescent="0.3">
      <c r="A41">
        <v>2021</v>
      </c>
      <c r="B41" t="s">
        <v>52</v>
      </c>
      <c r="C41" s="106" cm="1">
        <f t="array" ref="C41">SUMPRODUCT((raw!$A$2:$A$750='(2020-21)'!$A41)*(raw!$B$2:$B$750='(2020-21)'!$B41)*(raw!$C$2:$C$750='(2020-21)'!C$2)*(raw!$D$2:$D$750))</f>
        <v>7</v>
      </c>
      <c r="D41" s="106" cm="1">
        <f t="array" ref="D41">SUMPRODUCT((raw!$A$2:$A$750='(2020-21)'!$A41)*(raw!$B$2:$B$750='(2020-21)'!$B41)*(raw!$C$2:$C$750='(2020-21)'!D$2)*(raw!$D$2:$D$750))</f>
        <v>12</v>
      </c>
      <c r="E41" s="106" cm="1">
        <f t="array" ref="E41">SUMPRODUCT((raw!$A$2:$A$750='(2020-21)'!$A41)*(raw!$B$2:$B$750='(2020-21)'!$B41)*(raw!$C$2:$C$750='(2020-21)'!E$2)*(raw!$D$2:$D$750))</f>
        <v>0</v>
      </c>
      <c r="F41" s="106" cm="1">
        <f t="array" ref="F41">SUMPRODUCT((raw!$A$2:$A$750='(2020-21)'!$A41)*(raw!$B$2:$B$750='(2020-21)'!$B41)*(raw!$C$2:$C$750='(2020-21)'!F$2)*(raw!$D$2:$D$750))</f>
        <v>6</v>
      </c>
      <c r="G41" s="106">
        <f t="shared" si="1"/>
        <v>25</v>
      </c>
    </row>
    <row r="42" spans="1:7" x14ac:dyDescent="0.3">
      <c r="A42">
        <v>2021</v>
      </c>
      <c r="B42" t="s">
        <v>54</v>
      </c>
      <c r="C42" s="106" cm="1">
        <f t="array" ref="C42">SUMPRODUCT((raw!$A$2:$A$750='(2020-21)'!$A42)*(raw!$B$2:$B$750='(2020-21)'!$B42)*(raw!$C$2:$C$750='(2020-21)'!C$2)*(raw!$D$2:$D$750))</f>
        <v>15</v>
      </c>
      <c r="D42" s="106" cm="1">
        <f t="array" ref="D42">SUMPRODUCT((raw!$A$2:$A$750='(2020-21)'!$A42)*(raw!$B$2:$B$750='(2020-21)'!$B42)*(raw!$C$2:$C$750='(2020-21)'!D$2)*(raw!$D$2:$D$750))</f>
        <v>20</v>
      </c>
      <c r="E42" s="106" cm="1">
        <f t="array" ref="E42">SUMPRODUCT((raw!$A$2:$A$750='(2020-21)'!$A42)*(raw!$B$2:$B$750='(2020-21)'!$B42)*(raw!$C$2:$C$750='(2020-21)'!E$2)*(raw!$D$2:$D$750))</f>
        <v>0</v>
      </c>
      <c r="F42" s="106" cm="1">
        <f t="array" ref="F42">SUMPRODUCT((raw!$A$2:$A$750='(2020-21)'!$A42)*(raw!$B$2:$B$750='(2020-21)'!$B42)*(raw!$C$2:$C$750='(2020-21)'!F$2)*(raw!$D$2:$D$750))</f>
        <v>12</v>
      </c>
      <c r="G42" s="106">
        <f t="shared" si="1"/>
        <v>47</v>
      </c>
    </row>
    <row r="43" spans="1:7" x14ac:dyDescent="0.3">
      <c r="A43">
        <v>2021</v>
      </c>
      <c r="B43" t="s">
        <v>33</v>
      </c>
      <c r="C43" s="106" cm="1">
        <f t="array" ref="C43">SUMPRODUCT((raw!$A$2:$A$750='(2020-21)'!$A43)*(raw!$B$2:$B$750='(2020-21)'!$B43)*(raw!$C$2:$C$750='(2020-21)'!C$2)*(raw!$D$2:$D$750))</f>
        <v>0</v>
      </c>
      <c r="D43" s="106" cm="1">
        <f t="array" ref="D43">SUMPRODUCT((raw!$A$2:$A$750='(2020-21)'!$A43)*(raw!$B$2:$B$750='(2020-21)'!$B43)*(raw!$C$2:$C$750='(2020-21)'!D$2)*(raw!$D$2:$D$750))</f>
        <v>1</v>
      </c>
      <c r="E43" s="106" cm="1">
        <f t="array" ref="E43">SUMPRODUCT((raw!$A$2:$A$750='(2020-21)'!$A43)*(raw!$B$2:$B$750='(2020-21)'!$B43)*(raw!$C$2:$C$750='(2020-21)'!E$2)*(raw!$D$2:$D$750))</f>
        <v>0</v>
      </c>
      <c r="F43" s="106" cm="1">
        <f t="array" ref="F43">SUMPRODUCT((raw!$A$2:$A$750='(2020-21)'!$A43)*(raw!$B$2:$B$750='(2020-21)'!$B43)*(raw!$C$2:$C$750='(2020-21)'!F$2)*(raw!$D$2:$D$750))</f>
        <v>0</v>
      </c>
      <c r="G43" s="106">
        <f t="shared" si="1"/>
        <v>1</v>
      </c>
    </row>
    <row r="44" spans="1:7" x14ac:dyDescent="0.3">
      <c r="A44">
        <v>2021</v>
      </c>
      <c r="B44" t="s">
        <v>66</v>
      </c>
      <c r="C44" s="106">
        <f>SUM(C45:C51)</f>
        <v>584</v>
      </c>
      <c r="D44" s="106">
        <f t="shared" ref="D44:G44" si="2">SUM(D45:D51)</f>
        <v>43</v>
      </c>
      <c r="E44" s="106">
        <f t="shared" si="2"/>
        <v>18</v>
      </c>
      <c r="F44" s="106">
        <f t="shared" si="2"/>
        <v>265</v>
      </c>
      <c r="G44" s="106">
        <f t="shared" si="2"/>
        <v>910</v>
      </c>
    </row>
    <row r="45" spans="1:7" x14ac:dyDescent="0.3">
      <c r="A45">
        <v>2021</v>
      </c>
      <c r="B45" t="s">
        <v>27</v>
      </c>
      <c r="C45" s="106" cm="1">
        <f t="array" ref="C45">SUMPRODUCT((raw!$A$2:$A$750='(2020-21)'!$A45)*(raw!$B$2:$B$750='(2020-21)'!$B45)*(raw!$C$2:$C$750='(2020-21)'!C$2)*(raw!$D$2:$D$750))</f>
        <v>71</v>
      </c>
      <c r="D45" s="106" cm="1">
        <f t="array" ref="D45">SUMPRODUCT((raw!$A$2:$A$750='(2020-21)'!$A45)*(raw!$B$2:$B$750='(2020-21)'!$B45)*(raw!$C$2:$C$750='(2020-21)'!D$2)*(raw!$D$2:$D$750))</f>
        <v>0</v>
      </c>
      <c r="E45" s="106" cm="1">
        <f t="array" ref="E45">SUMPRODUCT((raw!$A$2:$A$750='(2020-21)'!$A45)*(raw!$B$2:$B$750='(2020-21)'!$B45)*(raw!$C$2:$C$750='(2020-21)'!E$2)*(raw!$D$2:$D$750))</f>
        <v>0</v>
      </c>
      <c r="F45" s="106" cm="1">
        <f t="array" ref="F45">SUMPRODUCT((raw!$A$2:$A$750='(2020-21)'!$A45)*(raw!$B$2:$B$750='(2020-21)'!$B45)*(raw!$C$2:$C$750='(2020-21)'!F$2)*(raw!$D$2:$D$750))</f>
        <v>43</v>
      </c>
      <c r="G45" s="106">
        <f t="shared" si="1"/>
        <v>114</v>
      </c>
    </row>
    <row r="46" spans="1:7" x14ac:dyDescent="0.3">
      <c r="A46">
        <v>2021</v>
      </c>
      <c r="B46" t="s">
        <v>38</v>
      </c>
      <c r="C46" s="106" cm="1">
        <f t="array" ref="C46">SUMPRODUCT((raw!$A$2:$A$750='(2020-21)'!$A46)*(raw!$B$2:$B$750='(2020-21)'!$B46)*(raw!$C$2:$C$750='(2020-21)'!C$2)*(raw!$D$2:$D$750))</f>
        <v>49</v>
      </c>
      <c r="D46" s="106" cm="1">
        <f t="array" ref="D46">SUMPRODUCT((raw!$A$2:$A$750='(2020-21)'!$A46)*(raw!$B$2:$B$750='(2020-21)'!$B46)*(raw!$C$2:$C$750='(2020-21)'!D$2)*(raw!$D$2:$D$750))</f>
        <v>11</v>
      </c>
      <c r="E46" s="106" cm="1">
        <f t="array" ref="E46">SUMPRODUCT((raw!$A$2:$A$750='(2020-21)'!$A46)*(raw!$B$2:$B$750='(2020-21)'!$B46)*(raw!$C$2:$C$750='(2020-21)'!E$2)*(raw!$D$2:$D$750))</f>
        <v>2</v>
      </c>
      <c r="F46" s="106" cm="1">
        <f t="array" ref="F46">SUMPRODUCT((raw!$A$2:$A$750='(2020-21)'!$A46)*(raw!$B$2:$B$750='(2020-21)'!$B46)*(raw!$C$2:$C$750='(2020-21)'!F$2)*(raw!$D$2:$D$750))</f>
        <v>48</v>
      </c>
      <c r="G46" s="106">
        <f t="shared" si="1"/>
        <v>110</v>
      </c>
    </row>
    <row r="47" spans="1:7" x14ac:dyDescent="0.3">
      <c r="A47">
        <v>2021</v>
      </c>
      <c r="B47" t="s">
        <v>47</v>
      </c>
      <c r="C47" s="106" cm="1">
        <f t="array" ref="C47">SUMPRODUCT((raw!$A$2:$A$750='(2020-21)'!$A47)*(raw!$B$2:$B$750='(2020-21)'!$B47)*(raw!$C$2:$C$750='(2020-21)'!C$2)*(raw!$D$2:$D$750))</f>
        <v>30</v>
      </c>
      <c r="D47" s="106" cm="1">
        <f t="array" ref="D47">SUMPRODUCT((raw!$A$2:$A$750='(2020-21)'!$A47)*(raw!$B$2:$B$750='(2020-21)'!$B47)*(raw!$C$2:$C$750='(2020-21)'!D$2)*(raw!$D$2:$D$750))</f>
        <v>18</v>
      </c>
      <c r="E47" s="106" cm="1">
        <f t="array" ref="E47">SUMPRODUCT((raw!$A$2:$A$750='(2020-21)'!$A47)*(raw!$B$2:$B$750='(2020-21)'!$B47)*(raw!$C$2:$C$750='(2020-21)'!E$2)*(raw!$D$2:$D$750))</f>
        <v>1</v>
      </c>
      <c r="F47" s="106" cm="1">
        <f t="array" ref="F47">SUMPRODUCT((raw!$A$2:$A$750='(2020-21)'!$A47)*(raw!$B$2:$B$750='(2020-21)'!$B47)*(raw!$C$2:$C$750='(2020-21)'!F$2)*(raw!$D$2:$D$750))</f>
        <v>38</v>
      </c>
      <c r="G47" s="106">
        <f t="shared" si="1"/>
        <v>87</v>
      </c>
    </row>
    <row r="48" spans="1:7" x14ac:dyDescent="0.3">
      <c r="A48">
        <v>2021</v>
      </c>
      <c r="B48" t="s">
        <v>51</v>
      </c>
      <c r="C48" s="106" cm="1">
        <f t="array" ref="C48">SUMPRODUCT((raw!$A$2:$A$750='(2020-21)'!$A48)*(raw!$B$2:$B$750='(2020-21)'!$B48)*(raw!$C$2:$C$750='(2020-21)'!C$2)*(raw!$D$2:$D$750))</f>
        <v>65</v>
      </c>
      <c r="D48" s="106" cm="1">
        <f t="array" ref="D48">SUMPRODUCT((raw!$A$2:$A$750='(2020-21)'!$A48)*(raw!$B$2:$B$750='(2020-21)'!$B48)*(raw!$C$2:$C$750='(2020-21)'!D$2)*(raw!$D$2:$D$750))</f>
        <v>0</v>
      </c>
      <c r="E48" s="106" cm="1">
        <f t="array" ref="E48">SUMPRODUCT((raw!$A$2:$A$750='(2020-21)'!$A48)*(raw!$B$2:$B$750='(2020-21)'!$B48)*(raw!$C$2:$C$750='(2020-21)'!E$2)*(raw!$D$2:$D$750))</f>
        <v>1</v>
      </c>
      <c r="F48" s="106" cm="1">
        <f t="array" ref="F48">SUMPRODUCT((raw!$A$2:$A$750='(2020-21)'!$A48)*(raw!$B$2:$B$750='(2020-21)'!$B48)*(raw!$C$2:$C$750='(2020-21)'!F$2)*(raw!$D$2:$D$750))</f>
        <v>15</v>
      </c>
      <c r="G48" s="106">
        <f t="shared" si="1"/>
        <v>81</v>
      </c>
    </row>
    <row r="49" spans="1:7" x14ac:dyDescent="0.3">
      <c r="A49">
        <v>2021</v>
      </c>
      <c r="B49" t="s">
        <v>53</v>
      </c>
      <c r="C49" s="106" cm="1">
        <f t="array" ref="C49">SUMPRODUCT((raw!$A$2:$A$750='(2020-21)'!$A49)*(raw!$B$2:$B$750='(2020-21)'!$B49)*(raw!$C$2:$C$750='(2020-21)'!C$2)*(raw!$D$2:$D$750))</f>
        <v>88</v>
      </c>
      <c r="D49" s="106" cm="1">
        <f t="array" ref="D49">SUMPRODUCT((raw!$A$2:$A$750='(2020-21)'!$A49)*(raw!$B$2:$B$750='(2020-21)'!$B49)*(raw!$C$2:$C$750='(2020-21)'!D$2)*(raw!$D$2:$D$750))</f>
        <v>0</v>
      </c>
      <c r="E49" s="106" cm="1">
        <f t="array" ref="E49">SUMPRODUCT((raw!$A$2:$A$750='(2020-21)'!$A49)*(raw!$B$2:$B$750='(2020-21)'!$B49)*(raw!$C$2:$C$750='(2020-21)'!E$2)*(raw!$D$2:$D$750))</f>
        <v>5</v>
      </c>
      <c r="F49" s="106" cm="1">
        <f t="array" ref="F49">SUMPRODUCT((raw!$A$2:$A$750='(2020-21)'!$A49)*(raw!$B$2:$B$750='(2020-21)'!$B49)*(raw!$C$2:$C$750='(2020-21)'!F$2)*(raw!$D$2:$D$750))</f>
        <v>31</v>
      </c>
      <c r="G49" s="106">
        <f t="shared" si="1"/>
        <v>124</v>
      </c>
    </row>
    <row r="50" spans="1:7" x14ac:dyDescent="0.3">
      <c r="A50">
        <v>2021</v>
      </c>
      <c r="B50" t="s">
        <v>55</v>
      </c>
      <c r="C50" s="106" cm="1">
        <f t="array" ref="C50">SUMPRODUCT((raw!$A$2:$A$750='(2020-21)'!$A50)*(raw!$B$2:$B$750='(2020-21)'!$B50)*(raw!$C$2:$C$750='(2020-21)'!C$2)*(raw!$D$2:$D$750))</f>
        <v>49</v>
      </c>
      <c r="D50" s="106" cm="1">
        <f t="array" ref="D50">SUMPRODUCT((raw!$A$2:$A$750='(2020-21)'!$A50)*(raw!$B$2:$B$750='(2020-21)'!$B50)*(raw!$C$2:$C$750='(2020-21)'!D$2)*(raw!$D$2:$D$750))</f>
        <v>14</v>
      </c>
      <c r="E50" s="106" cm="1">
        <f t="array" ref="E50">SUMPRODUCT((raw!$A$2:$A$750='(2020-21)'!$A50)*(raw!$B$2:$B$750='(2020-21)'!$B50)*(raw!$C$2:$C$750='(2020-21)'!E$2)*(raw!$D$2:$D$750))</f>
        <v>1</v>
      </c>
      <c r="F50" s="106" cm="1">
        <f t="array" ref="F50">SUMPRODUCT((raw!$A$2:$A$750='(2020-21)'!$A50)*(raw!$B$2:$B$750='(2020-21)'!$B50)*(raw!$C$2:$C$750='(2020-21)'!F$2)*(raw!$D$2:$D$750))</f>
        <v>17</v>
      </c>
      <c r="G50" s="106">
        <f t="shared" si="1"/>
        <v>81</v>
      </c>
    </row>
    <row r="51" spans="1:7" x14ac:dyDescent="0.3">
      <c r="A51">
        <v>2021</v>
      </c>
      <c r="B51" t="s">
        <v>26</v>
      </c>
      <c r="C51" s="106" cm="1">
        <f t="array" ref="C51">SUMPRODUCT((raw!$A$2:$A$750='(2020-21)'!$A51)*(raw!$B$2:$B$750='(2020-21)'!$B51)*(raw!$C$2:$C$750='(2020-21)'!C$2)*(raw!$D$2:$D$750))</f>
        <v>232</v>
      </c>
      <c r="D51" s="106" cm="1">
        <f t="array" ref="D51">SUMPRODUCT((raw!$A$2:$A$750='(2020-21)'!$A51)*(raw!$B$2:$B$750='(2020-21)'!$B51)*(raw!$C$2:$C$750='(2020-21)'!D$2)*(raw!$D$2:$D$750))</f>
        <v>0</v>
      </c>
      <c r="E51" s="106" cm="1">
        <f t="array" ref="E51">SUMPRODUCT((raw!$A$2:$A$750='(2020-21)'!$A51)*(raw!$B$2:$B$750='(2020-21)'!$B51)*(raw!$C$2:$C$750='(2020-21)'!E$2)*(raw!$D$2:$D$750))</f>
        <v>8</v>
      </c>
      <c r="F51" s="106" cm="1">
        <f t="array" ref="F51">SUMPRODUCT((raw!$A$2:$A$750='(2020-21)'!$A51)*(raw!$B$2:$B$750='(2020-21)'!$B51)*(raw!$C$2:$C$750='(2020-21)'!F$2)*(raw!$D$2:$D$750))</f>
        <v>73</v>
      </c>
      <c r="G51" s="106">
        <f t="shared" si="1"/>
        <v>313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AF82"/>
  <sheetViews>
    <sheetView zoomScaleNormal="100" workbookViewId="0">
      <selection activeCell="C7" sqref="C7"/>
    </sheetView>
  </sheetViews>
  <sheetFormatPr defaultColWidth="9.21875" defaultRowHeight="14.4" x14ac:dyDescent="0.3"/>
  <cols>
    <col min="1" max="1" width="50.77734375" style="4" customWidth="1"/>
    <col min="2" max="6" width="14.77734375" style="4" customWidth="1"/>
    <col min="7" max="7" width="9.21875" style="4" customWidth="1"/>
    <col min="8" max="8" width="0" style="4" hidden="1" customWidth="1"/>
    <col min="9" max="9" width="7.77734375" style="4" hidden="1" customWidth="1"/>
    <col min="10" max="10" width="9.21875" style="4" customWidth="1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37.5" customHeight="1" x14ac:dyDescent="0.45">
      <c r="A1" s="185"/>
      <c r="B1" s="185"/>
      <c r="C1" s="185"/>
      <c r="D1" s="185"/>
      <c r="E1" s="185"/>
      <c r="F1" s="185"/>
      <c r="G1" s="1"/>
      <c r="H1" s="1"/>
      <c r="I1" s="2"/>
      <c r="J1" s="2"/>
    </row>
    <row r="2" spans="1:32" s="5" customFormat="1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32" s="5" customFormat="1" ht="15" customHeight="1" x14ac:dyDescent="0.3">
      <c r="A3" s="49" t="s">
        <v>71</v>
      </c>
      <c r="B3" s="50"/>
      <c r="C3" s="50"/>
      <c r="D3" s="50"/>
      <c r="E3" s="50"/>
      <c r="F3" s="4"/>
      <c r="G3" s="4"/>
      <c r="H3" s="4"/>
      <c r="I3" s="4"/>
      <c r="J3" s="4"/>
    </row>
    <row r="4" spans="1:32" s="5" customFormat="1" ht="15" customHeight="1" x14ac:dyDescent="0.3">
      <c r="A4" s="186" t="str">
        <f>FIRE1110!A3</f>
        <v>2020-21</v>
      </c>
      <c r="B4" s="186"/>
      <c r="C4" s="186"/>
      <c r="D4" s="186"/>
      <c r="E4" s="186"/>
      <c r="F4" s="4"/>
      <c r="G4" s="4"/>
      <c r="H4" s="4"/>
      <c r="I4" s="4"/>
      <c r="J4" s="4"/>
      <c r="K4" s="4"/>
    </row>
    <row r="5" spans="1:32" s="5" customFormat="1" ht="15" thickBot="1" x14ac:dyDescent="0.35">
      <c r="A5" s="4"/>
      <c r="B5" s="187"/>
      <c r="C5" s="187"/>
      <c r="D5" s="187"/>
      <c r="E5" s="187"/>
      <c r="F5" s="48"/>
      <c r="G5" s="4"/>
      <c r="H5" s="4"/>
      <c r="I5" s="6"/>
      <c r="J5" s="6"/>
      <c r="L5" s="6"/>
      <c r="M5" s="6"/>
      <c r="O5" s="6"/>
      <c r="P5" s="6"/>
      <c r="Q5" s="6"/>
      <c r="R5" s="6"/>
      <c r="S5" s="6"/>
      <c r="V5" s="7"/>
    </row>
    <row r="6" spans="1:32" s="11" customFormat="1" ht="29.4" thickBot="1" x14ac:dyDescent="0.35">
      <c r="A6" s="8" t="s">
        <v>70</v>
      </c>
      <c r="B6" s="9" t="s">
        <v>1</v>
      </c>
      <c r="C6" s="9" t="s">
        <v>2</v>
      </c>
      <c r="D6" s="9" t="s">
        <v>3</v>
      </c>
      <c r="E6" s="9" t="s">
        <v>4</v>
      </c>
      <c r="F6" s="10" t="s">
        <v>5</v>
      </c>
      <c r="K6" s="4"/>
    </row>
    <row r="7" spans="1:32" s="5" customFormat="1" ht="15" customHeight="1" x14ac:dyDescent="0.3">
      <c r="A7" s="52" t="s">
        <v>0</v>
      </c>
      <c r="B7" s="16">
        <f ca="1">INDIRECT("'("&amp;$A$4&amp;")'!C3")</f>
        <v>1477</v>
      </c>
      <c r="C7" s="16">
        <f ca="1">INDIRECT("'("&amp;$A$4&amp;")'!d3")</f>
        <v>1151</v>
      </c>
      <c r="D7" s="16">
        <f ca="1">INDIRECT("'("&amp;$A$4&amp;")'!e3")</f>
        <v>74</v>
      </c>
      <c r="E7" s="16">
        <f ca="1">INDIRECT("'("&amp;$A$4&amp;")'!f3")</f>
        <v>820</v>
      </c>
      <c r="F7" s="16">
        <f ca="1">INDIRECT("'("&amp;$A$4&amp;")'!g3")</f>
        <v>3522</v>
      </c>
      <c r="G7" s="4"/>
      <c r="H7" s="4"/>
      <c r="I7" s="12"/>
      <c r="J7" s="12"/>
      <c r="L7" s="12"/>
      <c r="M7" s="12"/>
      <c r="O7" s="12"/>
      <c r="P7" s="12"/>
      <c r="Q7" s="12"/>
      <c r="R7" s="12"/>
      <c r="S7" s="12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spans="1:32" s="5" customFormat="1" ht="15" customHeight="1" x14ac:dyDescent="0.3">
      <c r="A8" s="53" t="s">
        <v>9</v>
      </c>
      <c r="B8" s="16">
        <f ca="1">INDIRECT("'("&amp;$A$4&amp;")'!C4")</f>
        <v>893</v>
      </c>
      <c r="C8" s="16">
        <f ca="1">INDIRECT("'("&amp;$A$4&amp;")'!d4")</f>
        <v>1108</v>
      </c>
      <c r="D8" s="16">
        <f ca="1">INDIRECT("'("&amp;$A$4&amp;")'!e4")</f>
        <v>56</v>
      </c>
      <c r="E8" s="16">
        <f ca="1">INDIRECT("'("&amp;$A$4&amp;")'!f4")</f>
        <v>555</v>
      </c>
      <c r="F8" s="16">
        <f ca="1">INDIRECT("'("&amp;$A$4&amp;")'!g4")</f>
        <v>2612</v>
      </c>
      <c r="G8" s="4"/>
      <c r="I8" s="12"/>
      <c r="J8" s="12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4" t="s">
        <v>10</v>
      </c>
      <c r="B9" s="15">
        <f ca="1">INDIRECT("'("&amp;$A$4&amp;")'!C5")</f>
        <v>24</v>
      </c>
      <c r="C9" s="15">
        <f ca="1">INDIRECT("'("&amp;$A$4&amp;")'!d5")</f>
        <v>8</v>
      </c>
      <c r="D9" s="15">
        <f ca="1">INDIRECT("'("&amp;$A$4&amp;")'!e5")</f>
        <v>3</v>
      </c>
      <c r="E9" s="15">
        <f ca="1">INDIRECT("'("&amp;$A$4&amp;")'!f5")</f>
        <v>12</v>
      </c>
      <c r="F9" s="15">
        <f ca="1">INDIRECT("'("&amp;$A$4&amp;")'!g5")</f>
        <v>47</v>
      </c>
      <c r="G9" s="4"/>
      <c r="I9" s="12"/>
      <c r="J9" s="12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4" t="s">
        <v>11</v>
      </c>
      <c r="B10" s="15">
        <f ca="1">INDIRECT("'("&amp;$A$4&amp;")'!C6")</f>
        <v>20</v>
      </c>
      <c r="C10" s="15">
        <f ca="1">INDIRECT("'("&amp;$A$4&amp;")'!d6")</f>
        <v>16</v>
      </c>
      <c r="D10" s="15">
        <f ca="1">INDIRECT("'("&amp;$A$4&amp;")'!e6")</f>
        <v>2</v>
      </c>
      <c r="E10" s="15">
        <f ca="1">INDIRECT("'("&amp;$A$4&amp;")'!f6")</f>
        <v>12</v>
      </c>
      <c r="F10" s="15">
        <f ca="1">INDIRECT("'("&amp;$A$4&amp;")'!g6")</f>
        <v>50</v>
      </c>
      <c r="G10" s="4"/>
      <c r="I10" s="12"/>
      <c r="J10" s="12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4" t="s">
        <v>12</v>
      </c>
      <c r="B11" s="15">
        <f ca="1">INDIRECT("'("&amp;$A$4&amp;")'!C7")</f>
        <v>24</v>
      </c>
      <c r="C11" s="15">
        <f ca="1">INDIRECT("'("&amp;$A$4&amp;")'!d7")</f>
        <v>20</v>
      </c>
      <c r="D11" s="15">
        <f ca="1">INDIRECT("'("&amp;$A$4&amp;")'!e7")</f>
        <v>3</v>
      </c>
      <c r="E11" s="15">
        <f ca="1">INDIRECT("'("&amp;$A$4&amp;")'!f7")</f>
        <v>18</v>
      </c>
      <c r="F11" s="15">
        <f ca="1">INDIRECT("'("&amp;$A$4&amp;")'!g7")</f>
        <v>65</v>
      </c>
      <c r="G11" s="4"/>
      <c r="I11" s="12"/>
      <c r="J11" s="12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4" t="s">
        <v>13</v>
      </c>
      <c r="B12" s="15">
        <f ca="1">INDIRECT("'("&amp;$A$4&amp;")'!C8")</f>
        <v>22</v>
      </c>
      <c r="C12" s="15">
        <f ca="1">INDIRECT("'("&amp;$A$4&amp;")'!d8")</f>
        <v>12</v>
      </c>
      <c r="D12" s="15">
        <f ca="1">INDIRECT("'("&amp;$A$4&amp;")'!e8")</f>
        <v>0</v>
      </c>
      <c r="E12" s="15">
        <f ca="1">INDIRECT("'("&amp;$A$4&amp;")'!f8")</f>
        <v>9</v>
      </c>
      <c r="F12" s="15">
        <f ca="1">INDIRECT("'("&amp;$A$4&amp;")'!g8")</f>
        <v>43</v>
      </c>
      <c r="G12" s="4"/>
      <c r="I12" s="12"/>
      <c r="J12" s="12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4" t="s">
        <v>14</v>
      </c>
      <c r="B13" s="15">
        <f ca="1">INDIRECT("'("&amp;$A$4&amp;")'!C9")</f>
        <v>18</v>
      </c>
      <c r="C13" s="15">
        <f ca="1">INDIRECT("'("&amp;$A$4&amp;")'!d9")</f>
        <v>31</v>
      </c>
      <c r="D13" s="15">
        <f ca="1">INDIRECT("'("&amp;$A$4&amp;")'!e9")</f>
        <v>3</v>
      </c>
      <c r="E13" s="15">
        <f ca="1">INDIRECT("'("&amp;$A$4&amp;")'!f9")</f>
        <v>10</v>
      </c>
      <c r="F13" s="15">
        <f ca="1">INDIRECT("'("&amp;$A$4&amp;")'!g9")</f>
        <v>62</v>
      </c>
      <c r="G13" s="4"/>
      <c r="I13" s="12"/>
      <c r="J13" s="12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4" t="s">
        <v>15</v>
      </c>
      <c r="B14" s="15">
        <f ca="1">INDIRECT("'("&amp;$A$4&amp;")'!C10")</f>
        <v>19</v>
      </c>
      <c r="C14" s="15">
        <f ca="1">INDIRECT("'("&amp;$A$4&amp;")'!d10")</f>
        <v>31</v>
      </c>
      <c r="D14" s="15">
        <f ca="1">INDIRECT("'("&amp;$A$4&amp;")'!e10")</f>
        <v>0</v>
      </c>
      <c r="E14" s="15">
        <f ca="1">INDIRECT("'("&amp;$A$4&amp;")'!f10")</f>
        <v>23</v>
      </c>
      <c r="F14" s="15">
        <f ca="1">INDIRECT("'("&amp;$A$4&amp;")'!g10")</f>
        <v>73</v>
      </c>
      <c r="G14" s="4"/>
      <c r="I14" s="12"/>
      <c r="J14" s="12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4" t="s">
        <v>16</v>
      </c>
      <c r="B15" s="15">
        <f ca="1">INDIRECT("'("&amp;$A$4&amp;")'!C11")</f>
        <v>19</v>
      </c>
      <c r="C15" s="15">
        <f ca="1">INDIRECT("'("&amp;$A$4&amp;")'!d11")</f>
        <v>12</v>
      </c>
      <c r="D15" s="15">
        <f ca="1">INDIRECT("'("&amp;$A$4&amp;")'!e11")</f>
        <v>2</v>
      </c>
      <c r="E15" s="15">
        <f ca="1">INDIRECT("'("&amp;$A$4&amp;")'!f11")</f>
        <v>9</v>
      </c>
      <c r="F15" s="15">
        <f ca="1">INDIRECT("'("&amp;$A$4&amp;")'!g11")</f>
        <v>42</v>
      </c>
      <c r="G15" s="4"/>
      <c r="I15" s="12"/>
      <c r="J15" s="12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4" t="s">
        <v>17</v>
      </c>
      <c r="B16" s="15">
        <f ca="1">INDIRECT("'("&amp;$A$4&amp;")'!C12")</f>
        <v>14</v>
      </c>
      <c r="C16" s="15">
        <f ca="1">INDIRECT("'("&amp;$A$4&amp;")'!d12")</f>
        <v>23</v>
      </c>
      <c r="D16" s="15">
        <f ca="1">INDIRECT("'("&amp;$A$4&amp;")'!e12")</f>
        <v>3</v>
      </c>
      <c r="E16" s="15">
        <f ca="1">INDIRECT("'("&amp;$A$4&amp;")'!f12")</f>
        <v>19</v>
      </c>
      <c r="F16" s="15">
        <f ca="1">INDIRECT("'("&amp;$A$4&amp;")'!g12")</f>
        <v>59</v>
      </c>
      <c r="G16" s="4"/>
      <c r="I16" s="12"/>
      <c r="J16" s="12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4" t="s">
        <v>18</v>
      </c>
      <c r="B17" s="15">
        <f ca="1">INDIRECT("'("&amp;$A$4&amp;")'!C13")</f>
        <v>18</v>
      </c>
      <c r="C17" s="15">
        <f ca="1">INDIRECT("'("&amp;$A$4&amp;")'!d13")</f>
        <v>20</v>
      </c>
      <c r="D17" s="15">
        <f ca="1">INDIRECT("'("&amp;$A$4&amp;")'!e13")</f>
        <v>0</v>
      </c>
      <c r="E17" s="15">
        <f ca="1">INDIRECT("'("&amp;$A$4&amp;")'!f13")</f>
        <v>2</v>
      </c>
      <c r="F17" s="15">
        <f ca="1">INDIRECT("'("&amp;$A$4&amp;")'!g13")</f>
        <v>40</v>
      </c>
      <c r="G17" s="4"/>
      <c r="I17" s="12"/>
      <c r="J17" s="12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21" t="s">
        <v>19</v>
      </c>
      <c r="B18" s="15">
        <f ca="1">INDIRECT("'("&amp;$A$4&amp;")'!C14")</f>
        <v>17</v>
      </c>
      <c r="C18" s="15">
        <f ca="1">INDIRECT("'("&amp;$A$4&amp;")'!d14")</f>
        <v>29</v>
      </c>
      <c r="D18" s="15">
        <f ca="1">INDIRECT("'("&amp;$A$4&amp;")'!e14")</f>
        <v>3</v>
      </c>
      <c r="E18" s="15">
        <f ca="1">INDIRECT("'("&amp;$A$4&amp;")'!f14")</f>
        <v>15</v>
      </c>
      <c r="F18" s="15">
        <f ca="1">INDIRECT("'("&amp;$A$4&amp;")'!g14")</f>
        <v>64</v>
      </c>
      <c r="G18" s="4"/>
      <c r="I18" s="12"/>
      <c r="J18" s="12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21" t="s">
        <v>20</v>
      </c>
      <c r="B19" s="15">
        <f ca="1">INDIRECT("'("&amp;$A$4&amp;")'!C15")</f>
        <v>62</v>
      </c>
      <c r="C19" s="15">
        <f ca="1">INDIRECT("'("&amp;$A$4&amp;")'!d15")</f>
        <v>126</v>
      </c>
      <c r="D19" s="15">
        <f ca="1">INDIRECT("'("&amp;$A$4&amp;")'!e15")</f>
        <v>0</v>
      </c>
      <c r="E19" s="15">
        <f ca="1">INDIRECT("'("&amp;$A$4&amp;")'!f15")</f>
        <v>32</v>
      </c>
      <c r="F19" s="15">
        <f ca="1">INDIRECT("'("&amp;$A$4&amp;")'!g15")</f>
        <v>220</v>
      </c>
      <c r="G19" s="4"/>
      <c r="I19" s="12"/>
      <c r="J19" s="12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4" t="s">
        <v>105</v>
      </c>
      <c r="B20" s="15">
        <f ca="1">INDIRECT("'("&amp;$A$4&amp;")'!C16")</f>
        <v>37</v>
      </c>
      <c r="C20" s="15">
        <f ca="1">INDIRECT("'("&amp;$A$4&amp;")'!d16")</f>
        <v>63</v>
      </c>
      <c r="D20" s="15">
        <f ca="1">INDIRECT("'("&amp;$A$4&amp;")'!e16")</f>
        <v>5</v>
      </c>
      <c r="E20" s="15">
        <f ca="1">INDIRECT("'("&amp;$A$4&amp;")'!f16")</f>
        <v>30</v>
      </c>
      <c r="F20" s="15">
        <f ca="1">INDIRECT("'("&amp;$A$4&amp;")'!g16")</f>
        <v>135</v>
      </c>
      <c r="G20" s="4"/>
      <c r="I20" s="12"/>
      <c r="J20" s="12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4" t="s">
        <v>22</v>
      </c>
      <c r="B21" s="15">
        <f ca="1">INDIRECT("'("&amp;$A$4&amp;")'!C17")</f>
        <v>17</v>
      </c>
      <c r="C21" s="15">
        <f ca="1">INDIRECT("'("&amp;$A$4&amp;")'!d17")</f>
        <v>18</v>
      </c>
      <c r="D21" s="15">
        <f ca="1">INDIRECT("'("&amp;$A$4&amp;")'!e17")</f>
        <v>0</v>
      </c>
      <c r="E21" s="15">
        <f ca="1">INDIRECT("'("&amp;$A$4&amp;")'!f17")</f>
        <v>7</v>
      </c>
      <c r="F21" s="15">
        <f ca="1">INDIRECT("'("&amp;$A$4&amp;")'!g17")</f>
        <v>42</v>
      </c>
      <c r="G21" s="4"/>
      <c r="I21" s="12"/>
      <c r="J21" s="12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x14ac:dyDescent="0.3">
      <c r="A22" s="4" t="s">
        <v>23</v>
      </c>
      <c r="B22" s="15">
        <f ca="1">INDIRECT("'("&amp;$A$4&amp;")'!C18")</f>
        <v>25</v>
      </c>
      <c r="C22" s="15">
        <f ca="1">INDIRECT("'("&amp;$A$4&amp;")'!d18")</f>
        <v>26</v>
      </c>
      <c r="D22" s="15">
        <f ca="1">INDIRECT("'("&amp;$A$4&amp;")'!e18")</f>
        <v>4</v>
      </c>
      <c r="E22" s="15">
        <f ca="1">INDIRECT("'("&amp;$A$4&amp;")'!f18")</f>
        <v>23</v>
      </c>
      <c r="F22" s="15">
        <f ca="1">INDIRECT("'("&amp;$A$4&amp;")'!g18")</f>
        <v>78</v>
      </c>
      <c r="G22" s="4"/>
      <c r="I22" s="12"/>
      <c r="J22" s="12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15" customHeight="1" x14ac:dyDescent="0.3">
      <c r="A23" s="4" t="s">
        <v>24</v>
      </c>
      <c r="B23" s="15">
        <f ca="1">INDIRECT("'("&amp;$A$4&amp;")'!C19")</f>
        <v>34</v>
      </c>
      <c r="C23" s="15">
        <f ca="1">INDIRECT("'("&amp;$A$4&amp;")'!d19")</f>
        <v>54</v>
      </c>
      <c r="D23" s="15">
        <f ca="1">INDIRECT("'("&amp;$A$4&amp;")'!e19")</f>
        <v>0</v>
      </c>
      <c r="E23" s="15">
        <f ca="1">INDIRECT("'("&amp;$A$4&amp;")'!f19")</f>
        <v>33</v>
      </c>
      <c r="F23" s="15">
        <f ca="1">INDIRECT("'("&amp;$A$4&amp;")'!g19")</f>
        <v>121</v>
      </c>
      <c r="G23" s="4"/>
      <c r="I23" s="12"/>
      <c r="J23" s="12"/>
      <c r="L23" s="12"/>
      <c r="M23" s="12"/>
      <c r="O23" s="14"/>
      <c r="P23" s="14"/>
      <c r="Q23" s="14"/>
      <c r="R23" s="14"/>
      <c r="S23" s="14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5" customFormat="1" ht="15" customHeight="1" x14ac:dyDescent="0.3">
      <c r="A24" s="4" t="s">
        <v>25</v>
      </c>
      <c r="B24" s="15">
        <f ca="1">INDIRECT("'("&amp;$A$4&amp;")'!C20")</f>
        <v>16</v>
      </c>
      <c r="C24" s="15">
        <f ca="1">INDIRECT("'("&amp;$A$4&amp;")'!d20")</f>
        <v>22</v>
      </c>
      <c r="D24" s="15">
        <f ca="1">INDIRECT("'("&amp;$A$4&amp;")'!e20")</f>
        <v>0</v>
      </c>
      <c r="E24" s="15">
        <f ca="1">INDIRECT("'("&amp;$A$4&amp;")'!f20")</f>
        <v>4</v>
      </c>
      <c r="F24" s="15">
        <f ca="1">INDIRECT("'("&amp;$A$4&amp;")'!g20")</f>
        <v>42</v>
      </c>
      <c r="G24" s="4"/>
      <c r="I24" s="12"/>
      <c r="J24" s="12"/>
      <c r="L24" s="12"/>
      <c r="M24" s="12"/>
      <c r="O24" s="14"/>
      <c r="P24" s="14"/>
      <c r="Q24" s="14"/>
      <c r="R24" s="14"/>
      <c r="S24" s="14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5" customFormat="1" ht="15" customHeight="1" x14ac:dyDescent="0.3">
      <c r="A25" s="4" t="s">
        <v>28</v>
      </c>
      <c r="B25" s="15">
        <f ca="1">INDIRECT("'("&amp;$A$4&amp;")'!C21")</f>
        <v>93</v>
      </c>
      <c r="C25" s="15">
        <f ca="1">INDIRECT("'("&amp;$A$4&amp;")'!d21")</f>
        <v>64</v>
      </c>
      <c r="D25" s="15">
        <f ca="1">INDIRECT("'("&amp;$A$4&amp;")'!e21")</f>
        <v>1</v>
      </c>
      <c r="E25" s="15">
        <f ca="1">INDIRECT("'("&amp;$A$4&amp;")'!f21")</f>
        <v>37</v>
      </c>
      <c r="F25" s="15">
        <f ca="1">INDIRECT("'("&amp;$A$4&amp;")'!g21")</f>
        <v>195</v>
      </c>
      <c r="G25" s="4"/>
      <c r="I25" s="12"/>
      <c r="J25" s="12"/>
      <c r="L25" s="12"/>
      <c r="M25" s="12"/>
      <c r="O25" s="14"/>
      <c r="P25" s="14"/>
      <c r="Q25" s="14"/>
      <c r="R25" s="14"/>
      <c r="S25" s="14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5" customFormat="1" ht="15" customHeight="1" x14ac:dyDescent="0.3">
      <c r="A26" s="4" t="s">
        <v>29</v>
      </c>
      <c r="B26" s="15">
        <f ca="1">INDIRECT("'("&amp;$A$4&amp;")'!C22")</f>
        <v>23</v>
      </c>
      <c r="C26" s="15">
        <f ca="1">INDIRECT("'("&amp;$A$4&amp;")'!d22")</f>
        <v>37</v>
      </c>
      <c r="D26" s="15">
        <f ca="1">INDIRECT("'("&amp;$A$4&amp;")'!e22")</f>
        <v>0</v>
      </c>
      <c r="E26" s="15">
        <f ca="1">INDIRECT("'("&amp;$A$4&amp;")'!f22")</f>
        <v>8</v>
      </c>
      <c r="F26" s="15">
        <f ca="1">INDIRECT("'("&amp;$A$4&amp;")'!g22")</f>
        <v>68</v>
      </c>
      <c r="G26" s="4"/>
      <c r="I26" s="12"/>
      <c r="J26" s="12"/>
      <c r="L26" s="12"/>
      <c r="M26" s="12"/>
      <c r="O26" s="14"/>
      <c r="P26" s="14"/>
      <c r="Q26" s="14"/>
      <c r="R26" s="14"/>
      <c r="S26" s="14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5" customFormat="1" ht="15" customHeight="1" x14ac:dyDescent="0.3">
      <c r="A27" s="4" t="s">
        <v>30</v>
      </c>
      <c r="B27" s="15">
        <f ca="1">INDIRECT("'("&amp;$A$4&amp;")'!C23")</f>
        <v>41</v>
      </c>
      <c r="C27" s="15">
        <f ca="1">INDIRECT("'("&amp;$A$4&amp;")'!d23")</f>
        <v>26</v>
      </c>
      <c r="D27" s="15">
        <f ca="1">INDIRECT("'("&amp;$A$4&amp;")'!e23")</f>
        <v>4</v>
      </c>
      <c r="E27" s="15">
        <f ca="1">INDIRECT("'("&amp;$A$4&amp;")'!f23")</f>
        <v>17</v>
      </c>
      <c r="F27" s="15">
        <f ca="1">INDIRECT("'("&amp;$A$4&amp;")'!g23")</f>
        <v>88</v>
      </c>
      <c r="G27" s="4"/>
      <c r="I27" s="12"/>
      <c r="J27" s="12"/>
      <c r="L27" s="12"/>
      <c r="M27" s="12"/>
      <c r="O27" s="14"/>
      <c r="P27" s="14"/>
      <c r="Q27" s="14"/>
      <c r="R27" s="14"/>
      <c r="S27" s="14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s="5" customFormat="1" ht="15" customHeight="1" x14ac:dyDescent="0.3">
      <c r="A28" s="4" t="s">
        <v>31</v>
      </c>
      <c r="B28" s="15">
        <f ca="1">INDIRECT("'("&amp;$A$4&amp;")'!C24")</f>
        <v>23</v>
      </c>
      <c r="C28" s="15">
        <f ca="1">INDIRECT("'("&amp;$A$4&amp;")'!d24")</f>
        <v>17</v>
      </c>
      <c r="D28" s="15">
        <f ca="1">INDIRECT("'("&amp;$A$4&amp;")'!e24")</f>
        <v>2</v>
      </c>
      <c r="E28" s="15">
        <f ca="1">INDIRECT("'("&amp;$A$4&amp;")'!f24")</f>
        <v>17</v>
      </c>
      <c r="F28" s="15">
        <f ca="1">INDIRECT("'("&amp;$A$4&amp;")'!g24")</f>
        <v>59</v>
      </c>
      <c r="G28" s="4"/>
      <c r="I28" s="12"/>
      <c r="J28" s="12"/>
      <c r="L28" s="12"/>
      <c r="M28" s="12"/>
      <c r="O28" s="14"/>
      <c r="P28" s="14"/>
      <c r="Q28" s="14"/>
      <c r="R28" s="14"/>
      <c r="S28" s="14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5" customFormat="1" ht="15" customHeight="1" x14ac:dyDescent="0.3">
      <c r="A29" s="4" t="s">
        <v>32</v>
      </c>
      <c r="B29" s="15">
        <f ca="1">INDIRECT("'("&amp;$A$4&amp;")'!C25")</f>
        <v>7</v>
      </c>
      <c r="C29" s="15">
        <f ca="1">INDIRECT("'("&amp;$A$4&amp;")'!d25")</f>
        <v>9</v>
      </c>
      <c r="D29" s="15">
        <f ca="1">INDIRECT("'("&amp;$A$4&amp;")'!e25")</f>
        <v>0</v>
      </c>
      <c r="E29" s="15">
        <f ca="1">INDIRECT("'("&amp;$A$4&amp;")'!f25")</f>
        <v>2</v>
      </c>
      <c r="F29" s="15">
        <f ca="1">INDIRECT("'("&amp;$A$4&amp;")'!g25")</f>
        <v>18</v>
      </c>
      <c r="G29" s="4"/>
      <c r="I29" s="12"/>
      <c r="J29" s="12"/>
      <c r="L29" s="12"/>
      <c r="M29" s="12"/>
      <c r="O29" s="14"/>
      <c r="P29" s="14"/>
      <c r="Q29" s="14"/>
      <c r="R29" s="14"/>
      <c r="S29" s="14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5" customFormat="1" ht="15" customHeight="1" x14ac:dyDescent="0.3">
      <c r="A30" s="5" t="s">
        <v>34</v>
      </c>
      <c r="B30" s="15">
        <f ca="1">INDIRECT("'("&amp;$A$4&amp;")'!C26")</f>
        <v>45</v>
      </c>
      <c r="C30" s="15">
        <f ca="1">INDIRECT("'("&amp;$A$4&amp;")'!d26")</f>
        <v>32</v>
      </c>
      <c r="D30" s="15">
        <f ca="1">INDIRECT("'("&amp;$A$4&amp;")'!e26")</f>
        <v>1</v>
      </c>
      <c r="E30" s="15">
        <f ca="1">INDIRECT("'("&amp;$A$4&amp;")'!f26")</f>
        <v>30</v>
      </c>
      <c r="F30" s="15">
        <f ca="1">INDIRECT("'("&amp;$A$4&amp;")'!g26")</f>
        <v>108</v>
      </c>
      <c r="G30" s="4"/>
      <c r="I30" s="12"/>
      <c r="J30" s="12"/>
      <c r="L30" s="12"/>
      <c r="M30" s="12"/>
      <c r="O30" s="14"/>
      <c r="P30" s="14"/>
      <c r="Q30" s="14"/>
      <c r="R30" s="14"/>
      <c r="S30" s="14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5" customFormat="1" ht="15" customHeight="1" x14ac:dyDescent="0.3">
      <c r="A31" s="5" t="s">
        <v>35</v>
      </c>
      <c r="B31" s="15">
        <f ca="1">INDIRECT("'("&amp;$A$4&amp;")'!C27")</f>
        <v>37</v>
      </c>
      <c r="C31" s="15">
        <f ca="1">INDIRECT("'("&amp;$A$4&amp;")'!d27")</f>
        <v>37</v>
      </c>
      <c r="D31" s="15">
        <f ca="1">INDIRECT("'("&amp;$A$4&amp;")'!e27")</f>
        <v>0</v>
      </c>
      <c r="E31" s="15">
        <f ca="1">INDIRECT("'("&amp;$A$4&amp;")'!f27")</f>
        <v>19</v>
      </c>
      <c r="F31" s="15">
        <f ca="1">INDIRECT("'("&amp;$A$4&amp;")'!g27")</f>
        <v>93</v>
      </c>
      <c r="G31" s="4"/>
      <c r="I31" s="12"/>
      <c r="J31" s="12"/>
      <c r="L31" s="12"/>
      <c r="M31" s="12"/>
      <c r="O31" s="14"/>
      <c r="P31" s="14"/>
      <c r="Q31" s="14"/>
      <c r="R31" s="14"/>
      <c r="S31" s="14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5" customFormat="1" ht="15" customHeight="1" x14ac:dyDescent="0.3">
      <c r="A32" s="4" t="s">
        <v>36</v>
      </c>
      <c r="B32" s="15">
        <f ca="1">INDIRECT("'("&amp;$A$4&amp;")'!C28")</f>
        <v>21</v>
      </c>
      <c r="C32" s="15">
        <f ca="1">INDIRECT("'("&amp;$A$4&amp;")'!d28")</f>
        <v>18</v>
      </c>
      <c r="D32" s="15">
        <f ca="1">INDIRECT("'("&amp;$A$4&amp;")'!e28")</f>
        <v>1</v>
      </c>
      <c r="E32" s="15">
        <f ca="1">INDIRECT("'("&amp;$A$4&amp;")'!f28")</f>
        <v>16</v>
      </c>
      <c r="F32" s="15">
        <f ca="1">INDIRECT("'("&amp;$A$4&amp;")'!g28")</f>
        <v>56</v>
      </c>
      <c r="G32" s="4"/>
      <c r="I32" s="12"/>
      <c r="J32" s="12"/>
      <c r="L32" s="12"/>
      <c r="M32" s="12"/>
      <c r="O32" s="14"/>
      <c r="P32" s="14"/>
      <c r="Q32" s="14"/>
      <c r="R32" s="14"/>
      <c r="S32" s="14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5" customFormat="1" ht="15" customHeight="1" x14ac:dyDescent="0.3">
      <c r="A33" s="5" t="s">
        <v>37</v>
      </c>
      <c r="B33" s="15">
        <f ca="1">INDIRECT("'("&amp;$A$4&amp;")'!C29")</f>
        <v>13</v>
      </c>
      <c r="C33" s="15">
        <f ca="1">INDIRECT("'("&amp;$A$4&amp;")'!d29")</f>
        <v>24</v>
      </c>
      <c r="D33" s="15">
        <f ca="1">INDIRECT("'("&amp;$A$4&amp;")'!e29")</f>
        <v>1</v>
      </c>
      <c r="E33" s="15">
        <f ca="1">INDIRECT("'("&amp;$A$4&amp;")'!f29")</f>
        <v>4</v>
      </c>
      <c r="F33" s="15">
        <f ca="1">INDIRECT("'("&amp;$A$4&amp;")'!g29")</f>
        <v>42</v>
      </c>
      <c r="G33" s="4"/>
      <c r="I33" s="12"/>
      <c r="J33" s="12"/>
      <c r="L33" s="12"/>
      <c r="M33" s="12"/>
      <c r="O33" s="14"/>
      <c r="P33" s="14"/>
      <c r="Q33" s="14"/>
      <c r="R33" s="14"/>
      <c r="S33" s="14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5" customFormat="1" ht="15" customHeight="1" x14ac:dyDescent="0.3">
      <c r="A34" s="5" t="s">
        <v>39</v>
      </c>
      <c r="B34" s="15">
        <f ca="1">INDIRECT("'("&amp;$A$4&amp;")'!C30")</f>
        <v>18</v>
      </c>
      <c r="C34" s="15">
        <f ca="1">INDIRECT("'("&amp;$A$4&amp;")'!d30")</f>
        <v>18</v>
      </c>
      <c r="D34" s="15">
        <f ca="1">INDIRECT("'("&amp;$A$4&amp;")'!e30")</f>
        <v>1</v>
      </c>
      <c r="E34" s="15">
        <f ca="1">INDIRECT("'("&amp;$A$4&amp;")'!f30")</f>
        <v>24</v>
      </c>
      <c r="F34" s="15">
        <f ca="1">INDIRECT("'("&amp;$A$4&amp;")'!g30")</f>
        <v>61</v>
      </c>
      <c r="G34" s="4"/>
      <c r="I34" s="12"/>
      <c r="J34" s="12"/>
      <c r="L34" s="12"/>
      <c r="M34" s="12"/>
      <c r="O34" s="14"/>
      <c r="P34" s="14"/>
      <c r="Q34" s="14"/>
      <c r="R34" s="14"/>
      <c r="S34" s="14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5" customFormat="1" ht="15" customHeight="1" x14ac:dyDescent="0.3">
      <c r="A35" s="4" t="s">
        <v>40</v>
      </c>
      <c r="B35" s="15">
        <f ca="1">INDIRECT("'("&amp;$A$4&amp;")'!C31")</f>
        <v>0</v>
      </c>
      <c r="C35" s="15">
        <f ca="1">INDIRECT("'("&amp;$A$4&amp;")'!d31")</f>
        <v>0</v>
      </c>
      <c r="D35" s="15">
        <f ca="1">INDIRECT("'("&amp;$A$4&amp;")'!e31")</f>
        <v>8</v>
      </c>
      <c r="E35" s="15">
        <f ca="1">INDIRECT("'("&amp;$A$4&amp;")'!f31")</f>
        <v>0</v>
      </c>
      <c r="F35" s="15">
        <f ca="1">INDIRECT("'("&amp;$A$4&amp;")'!g31")</f>
        <v>8</v>
      </c>
      <c r="G35" s="4"/>
      <c r="I35" s="12"/>
      <c r="J35" s="12"/>
      <c r="L35" s="12"/>
      <c r="M35" s="12"/>
      <c r="O35" s="14"/>
      <c r="P35" s="14"/>
      <c r="Q35" s="14"/>
      <c r="R35" s="14"/>
      <c r="S35" s="14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5" customFormat="1" ht="15" customHeight="1" x14ac:dyDescent="0.3">
      <c r="A36" s="5" t="s">
        <v>41</v>
      </c>
      <c r="B36" s="15">
        <f ca="1">INDIRECT("'("&amp;$A$4&amp;")'!C32")</f>
        <v>24</v>
      </c>
      <c r="C36" s="15">
        <f ca="1">INDIRECT("'("&amp;$A$4&amp;")'!d32")</f>
        <v>38</v>
      </c>
      <c r="D36" s="15">
        <f ca="1">INDIRECT("'("&amp;$A$4&amp;")'!e32")</f>
        <v>0</v>
      </c>
      <c r="E36" s="15">
        <f ca="1">INDIRECT("'("&amp;$A$4&amp;")'!f32")</f>
        <v>2</v>
      </c>
      <c r="F36" s="15">
        <f ca="1">INDIRECT("'("&amp;$A$4&amp;")'!g32")</f>
        <v>64</v>
      </c>
      <c r="G36" s="4"/>
      <c r="I36" s="12"/>
      <c r="J36" s="12"/>
      <c r="L36" s="12"/>
      <c r="M36" s="12"/>
      <c r="O36" s="14"/>
      <c r="P36" s="14"/>
      <c r="Q36" s="14"/>
      <c r="R36" s="14"/>
      <c r="S36" s="14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5" customFormat="1" ht="15" customHeight="1" x14ac:dyDescent="0.3">
      <c r="A37" s="5" t="s">
        <v>42</v>
      </c>
      <c r="B37" s="15">
        <f ca="1">INDIRECT("'("&amp;$A$4&amp;")'!C33")</f>
        <v>16</v>
      </c>
      <c r="C37" s="15">
        <f ca="1">INDIRECT("'("&amp;$A$4&amp;")'!d33")</f>
        <v>32</v>
      </c>
      <c r="D37" s="15">
        <f ca="1">INDIRECT("'("&amp;$A$4&amp;")'!e33")</f>
        <v>2</v>
      </c>
      <c r="E37" s="15">
        <f ca="1">INDIRECT("'("&amp;$A$4&amp;")'!f33")</f>
        <v>10</v>
      </c>
      <c r="F37" s="15">
        <f ca="1">INDIRECT("'("&amp;$A$4&amp;")'!g33")</f>
        <v>60</v>
      </c>
      <c r="G37" s="4"/>
      <c r="I37" s="12"/>
      <c r="J37" s="12"/>
      <c r="L37" s="12"/>
      <c r="M37" s="12"/>
      <c r="O37" s="14"/>
      <c r="P37" s="14"/>
      <c r="Q37" s="14"/>
      <c r="R37" s="14"/>
      <c r="S37" s="14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5" customFormat="1" ht="15" customHeight="1" x14ac:dyDescent="0.3">
      <c r="A38" s="5" t="s">
        <v>43</v>
      </c>
      <c r="B38" s="15">
        <f ca="1">INDIRECT("'("&amp;$A$4&amp;")'!C34")</f>
        <v>9</v>
      </c>
      <c r="C38" s="15">
        <f ca="1">INDIRECT("'("&amp;$A$4&amp;")'!d34")</f>
        <v>28</v>
      </c>
      <c r="D38" s="15">
        <f ca="1">INDIRECT("'("&amp;$A$4&amp;")'!e34")</f>
        <v>1</v>
      </c>
      <c r="E38" s="15">
        <f ca="1">INDIRECT("'("&amp;$A$4&amp;")'!f34")</f>
        <v>8</v>
      </c>
      <c r="F38" s="15">
        <f ca="1">INDIRECT("'("&amp;$A$4&amp;")'!g34")</f>
        <v>46</v>
      </c>
      <c r="G38" s="4"/>
      <c r="I38" s="12"/>
      <c r="J38" s="12"/>
      <c r="L38" s="12"/>
      <c r="M38" s="12"/>
      <c r="O38" s="14"/>
      <c r="P38" s="14"/>
      <c r="Q38" s="14"/>
      <c r="R38" s="14"/>
      <c r="S38" s="14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5" customFormat="1" ht="15" customHeight="1" x14ac:dyDescent="0.3">
      <c r="A39" s="4" t="s">
        <v>44</v>
      </c>
      <c r="B39" s="15">
        <f ca="1">INDIRECT("'("&amp;$A$4&amp;")'!C35")</f>
        <v>22</v>
      </c>
      <c r="C39" s="15">
        <f ca="1">INDIRECT("'("&amp;$A$4&amp;")'!d35")</f>
        <v>17</v>
      </c>
      <c r="D39" s="15">
        <f ca="1">INDIRECT("'("&amp;$A$4&amp;")'!e35")</f>
        <v>0</v>
      </c>
      <c r="E39" s="15">
        <f ca="1">INDIRECT("'("&amp;$A$4&amp;")'!f35")</f>
        <v>14</v>
      </c>
      <c r="F39" s="15">
        <f ca="1">INDIRECT("'("&amp;$A$4&amp;")'!g35")</f>
        <v>53</v>
      </c>
      <c r="G39" s="4"/>
      <c r="I39" s="12"/>
      <c r="J39" s="12"/>
      <c r="L39" s="12"/>
      <c r="M39" s="12"/>
      <c r="O39" s="14"/>
      <c r="P39" s="14"/>
      <c r="Q39" s="14"/>
      <c r="R39" s="14"/>
      <c r="S39" s="14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5" customFormat="1" ht="15" customHeight="1" x14ac:dyDescent="0.3">
      <c r="A40" s="4" t="s">
        <v>45</v>
      </c>
      <c r="B40" s="15">
        <f ca="1">INDIRECT("'("&amp;$A$4&amp;")'!C36")</f>
        <v>12</v>
      </c>
      <c r="C40" s="15">
        <f ca="1">INDIRECT("'("&amp;$A$4&amp;")'!d36")</f>
        <v>58</v>
      </c>
      <c r="D40" s="15">
        <f ca="1">INDIRECT("'("&amp;$A$4&amp;")'!e36")</f>
        <v>0</v>
      </c>
      <c r="E40" s="15">
        <f ca="1">INDIRECT("'("&amp;$A$4&amp;")'!f36")</f>
        <v>5</v>
      </c>
      <c r="F40" s="15">
        <f ca="1">INDIRECT("'("&amp;$A$4&amp;")'!g36")</f>
        <v>75</v>
      </c>
      <c r="G40" s="4"/>
      <c r="I40" s="12"/>
      <c r="J40" s="12"/>
      <c r="L40" s="12"/>
      <c r="M40" s="12"/>
      <c r="O40" s="14"/>
      <c r="P40" s="14"/>
      <c r="Q40" s="14"/>
      <c r="R40" s="14"/>
      <c r="S40" s="14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s="5" customFormat="1" ht="15" customHeight="1" x14ac:dyDescent="0.3">
      <c r="A41" s="4" t="s">
        <v>46</v>
      </c>
      <c r="B41" s="15">
        <f ca="1">INDIRECT("'("&amp;$A$4&amp;")'!C37")</f>
        <v>7</v>
      </c>
      <c r="C41" s="15">
        <f ca="1">INDIRECT("'("&amp;$A$4&amp;")'!d37")</f>
        <v>21</v>
      </c>
      <c r="D41" s="15">
        <f ca="1">INDIRECT("'("&amp;$A$4&amp;")'!e37")</f>
        <v>0</v>
      </c>
      <c r="E41" s="15">
        <f ca="1">INDIRECT("'("&amp;$A$4&amp;")'!f37")</f>
        <v>3</v>
      </c>
      <c r="F41" s="15">
        <f ca="1">INDIRECT("'("&amp;$A$4&amp;")'!g37")</f>
        <v>31</v>
      </c>
      <c r="G41" s="4"/>
      <c r="I41" s="12"/>
      <c r="J41" s="12"/>
      <c r="L41" s="12"/>
      <c r="M41" s="12"/>
      <c r="O41" s="14"/>
      <c r="P41" s="14"/>
      <c r="Q41" s="14"/>
      <c r="R41" s="14"/>
      <c r="S41" s="14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s="5" customFormat="1" ht="15" customHeight="1" x14ac:dyDescent="0.3">
      <c r="A42" s="4" t="s">
        <v>48</v>
      </c>
      <c r="B42" s="15">
        <f ca="1">INDIRECT("'("&amp;$A$4&amp;")'!C38")</f>
        <v>15</v>
      </c>
      <c r="C42" s="15">
        <f ca="1">INDIRECT("'("&amp;$A$4&amp;")'!d38")</f>
        <v>39</v>
      </c>
      <c r="D42" s="15">
        <f ca="1">INDIRECT("'("&amp;$A$4&amp;")'!e38")</f>
        <v>0</v>
      </c>
      <c r="E42" s="15">
        <f ca="1">INDIRECT("'("&amp;$A$4&amp;")'!f38")</f>
        <v>39</v>
      </c>
      <c r="F42" s="15">
        <f ca="1">INDIRECT("'("&amp;$A$4&amp;")'!g38")</f>
        <v>93</v>
      </c>
      <c r="G42" s="4"/>
      <c r="I42" s="12"/>
      <c r="J42" s="12"/>
      <c r="L42" s="12"/>
      <c r="M42" s="12"/>
      <c r="O42" s="14"/>
      <c r="P42" s="14"/>
      <c r="Q42" s="14"/>
      <c r="R42" s="14"/>
      <c r="S42" s="14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s="5" customFormat="1" ht="15" customHeight="1" x14ac:dyDescent="0.3">
      <c r="A43" s="4" t="s">
        <v>49</v>
      </c>
      <c r="B43" s="15">
        <f ca="1">INDIRECT("'("&amp;$A$4&amp;")'!C39")</f>
        <v>12</v>
      </c>
      <c r="C43" s="15">
        <f ca="1">INDIRECT("'("&amp;$A$4&amp;")'!d39")</f>
        <v>42</v>
      </c>
      <c r="D43" s="15">
        <f ca="1">INDIRECT("'("&amp;$A$4&amp;")'!e39")</f>
        <v>0</v>
      </c>
      <c r="E43" s="15">
        <f ca="1">INDIRECT("'("&amp;$A$4&amp;")'!f39")</f>
        <v>15</v>
      </c>
      <c r="F43" s="15">
        <f ca="1">INDIRECT("'("&amp;$A$4&amp;")'!g39")</f>
        <v>69</v>
      </c>
      <c r="G43" s="4"/>
      <c r="I43" s="12"/>
      <c r="J43" s="12"/>
      <c r="L43" s="12"/>
      <c r="M43" s="12"/>
      <c r="O43" s="14"/>
      <c r="P43" s="14"/>
      <c r="Q43" s="14"/>
      <c r="R43" s="14"/>
      <c r="S43" s="14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s="5" customFormat="1" ht="15" customHeight="1" x14ac:dyDescent="0.3">
      <c r="A44" s="4" t="s">
        <v>50</v>
      </c>
      <c r="B44" s="15">
        <f ca="1">INDIRECT("'("&amp;$A$4&amp;")'!C40")</f>
        <v>47</v>
      </c>
      <c r="C44" s="15">
        <f ca="1">INDIRECT("'("&amp;$A$4&amp;")'!d40")</f>
        <v>7</v>
      </c>
      <c r="D44" s="15">
        <f ca="1">INDIRECT("'("&amp;$A$4&amp;")'!e40")</f>
        <v>6</v>
      </c>
      <c r="E44" s="15">
        <f ca="1">INDIRECT("'("&amp;$A$4&amp;")'!f40")</f>
        <v>9</v>
      </c>
      <c r="F44" s="15">
        <f ca="1">INDIRECT("'("&amp;$A$4&amp;")'!g40")</f>
        <v>69</v>
      </c>
      <c r="G44" s="4"/>
      <c r="I44" s="12"/>
      <c r="J44" s="12"/>
      <c r="L44" s="12"/>
      <c r="M44" s="12"/>
      <c r="O44" s="14"/>
      <c r="P44" s="14"/>
      <c r="Q44" s="14"/>
      <c r="R44" s="14"/>
      <c r="S44" s="14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s="5" customFormat="1" ht="15" customHeight="1" x14ac:dyDescent="0.3">
      <c r="A45" s="4" t="s">
        <v>52</v>
      </c>
      <c r="B45" s="15">
        <f ca="1">INDIRECT("'("&amp;$A$4&amp;")'!C41")</f>
        <v>7</v>
      </c>
      <c r="C45" s="15">
        <f ca="1">INDIRECT("'("&amp;$A$4&amp;")'!d41")</f>
        <v>12</v>
      </c>
      <c r="D45" s="15">
        <f ca="1">INDIRECT("'("&amp;$A$4&amp;")'!e41")</f>
        <v>0</v>
      </c>
      <c r="E45" s="15">
        <f ca="1">INDIRECT("'("&amp;$A$4&amp;")'!f41")</f>
        <v>6</v>
      </c>
      <c r="F45" s="15">
        <f ca="1">INDIRECT("'("&amp;$A$4&amp;")'!g41")</f>
        <v>25</v>
      </c>
      <c r="G45" s="4"/>
      <c r="I45" s="12"/>
      <c r="J45" s="12"/>
      <c r="L45" s="12"/>
      <c r="M45" s="12"/>
      <c r="O45" s="14"/>
      <c r="P45" s="14"/>
      <c r="Q45" s="14"/>
      <c r="R45" s="14"/>
      <c r="S45" s="14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s="5" customFormat="1" ht="15" customHeight="1" x14ac:dyDescent="0.3">
      <c r="A46" s="4" t="s">
        <v>54</v>
      </c>
      <c r="B46" s="15">
        <f ca="1">INDIRECT("'("&amp;$A$4&amp;")'!C42")</f>
        <v>15</v>
      </c>
      <c r="C46" s="15">
        <f ca="1">INDIRECT("'("&amp;$A$4&amp;")'!d42")</f>
        <v>20</v>
      </c>
      <c r="D46" s="15">
        <f ca="1">INDIRECT("'("&amp;$A$4&amp;")'!e42")</f>
        <v>0</v>
      </c>
      <c r="E46" s="15">
        <f ca="1">INDIRECT("'("&amp;$A$4&amp;")'!f42")</f>
        <v>12</v>
      </c>
      <c r="F46" s="15">
        <f ca="1">INDIRECT("'("&amp;$A$4&amp;")'!g42")</f>
        <v>47</v>
      </c>
      <c r="G46" s="4"/>
      <c r="I46" s="12"/>
      <c r="J46" s="12"/>
      <c r="L46" s="12"/>
      <c r="M46" s="12"/>
      <c r="O46" s="14"/>
      <c r="P46" s="14"/>
      <c r="Q46" s="14"/>
      <c r="R46" s="14"/>
      <c r="S46" s="14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s="5" customFormat="1" ht="15" customHeight="1" x14ac:dyDescent="0.3">
      <c r="A47" s="4" t="s">
        <v>33</v>
      </c>
      <c r="B47" s="15">
        <f ca="1">INDIRECT("'("&amp;$A$4&amp;")'!C43")</f>
        <v>0</v>
      </c>
      <c r="C47" s="15">
        <f ca="1">INDIRECT("'("&amp;$A$4&amp;")'!d43")</f>
        <v>1</v>
      </c>
      <c r="D47" s="15">
        <f ca="1">INDIRECT("'("&amp;$A$4&amp;")'!e43")</f>
        <v>0</v>
      </c>
      <c r="E47" s="15">
        <f ca="1">INDIRECT("'("&amp;$A$4&amp;")'!f43")</f>
        <v>0</v>
      </c>
      <c r="F47" s="15">
        <f ca="1">INDIRECT("'("&amp;$A$4&amp;")'!g43")</f>
        <v>1</v>
      </c>
      <c r="G47" s="4"/>
      <c r="I47" s="12"/>
      <c r="J47" s="12"/>
      <c r="L47" s="12"/>
      <c r="M47" s="12"/>
      <c r="O47" s="14"/>
      <c r="P47" s="14"/>
      <c r="Q47" s="14"/>
      <c r="R47" s="14"/>
      <c r="S47" s="14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s="5" customFormat="1" ht="15" customHeight="1" x14ac:dyDescent="0.3">
      <c r="A48" s="51" t="s">
        <v>8</v>
      </c>
      <c r="B48" s="16">
        <f ca="1">INDIRECT("'("&amp;$A$4&amp;")'!C44")</f>
        <v>584</v>
      </c>
      <c r="C48" s="16">
        <f ca="1">INDIRECT("'("&amp;$A$4&amp;")'!d44")</f>
        <v>43</v>
      </c>
      <c r="D48" s="16">
        <f ca="1">INDIRECT("'("&amp;$A$4&amp;")'!e44")</f>
        <v>18</v>
      </c>
      <c r="E48" s="16">
        <f ca="1">INDIRECT("'("&amp;$A$4&amp;")'!f44")</f>
        <v>265</v>
      </c>
      <c r="F48" s="16">
        <f ca="1">INDIRECT("'("&amp;$A$4&amp;")'!g44")</f>
        <v>910</v>
      </c>
      <c r="G48" s="4"/>
      <c r="I48" s="12"/>
      <c r="J48" s="12"/>
      <c r="L48" s="12"/>
      <c r="M48" s="12"/>
      <c r="O48" s="14"/>
      <c r="P48" s="14"/>
      <c r="Q48" s="14"/>
      <c r="R48" s="14"/>
      <c r="S48" s="14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s="5" customFormat="1" ht="15" customHeight="1" x14ac:dyDescent="0.3">
      <c r="A49" s="4" t="s">
        <v>27</v>
      </c>
      <c r="B49" s="103">
        <f ca="1">INDIRECT("'("&amp;$A$4&amp;")'!C45")</f>
        <v>71</v>
      </c>
      <c r="C49" s="103">
        <f ca="1">INDIRECT("'("&amp;$A$4&amp;")'!d45")</f>
        <v>0</v>
      </c>
      <c r="D49" s="103">
        <f ca="1">INDIRECT("'("&amp;$A$4&amp;")'!e45")</f>
        <v>0</v>
      </c>
      <c r="E49" s="103">
        <f ca="1">INDIRECT("'("&amp;$A$4&amp;")'!f45")</f>
        <v>43</v>
      </c>
      <c r="F49" s="103">
        <f ca="1">INDIRECT("'("&amp;$A$4&amp;")'!g45")</f>
        <v>114</v>
      </c>
      <c r="G49" s="4"/>
      <c r="I49" s="12"/>
      <c r="J49" s="12"/>
      <c r="L49" s="12"/>
      <c r="M49" s="12"/>
      <c r="O49" s="14"/>
      <c r="P49" s="14"/>
      <c r="Q49" s="14"/>
      <c r="R49" s="14"/>
      <c r="S49" s="14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s="5" customFormat="1" ht="15" customHeight="1" x14ac:dyDescent="0.3">
      <c r="A50" s="4" t="s">
        <v>38</v>
      </c>
      <c r="B50" s="15">
        <f ca="1">INDIRECT("'("&amp;$A$4&amp;")'!C46")</f>
        <v>49</v>
      </c>
      <c r="C50" s="15">
        <f ca="1">INDIRECT("'("&amp;$A$4&amp;")'!d46")</f>
        <v>11</v>
      </c>
      <c r="D50" s="15">
        <f ca="1">INDIRECT("'("&amp;$A$4&amp;")'!e46")</f>
        <v>2</v>
      </c>
      <c r="E50" s="15">
        <f ca="1">INDIRECT("'("&amp;$A$4&amp;")'!f46")</f>
        <v>48</v>
      </c>
      <c r="F50" s="15">
        <f ca="1">INDIRECT("'("&amp;$A$4&amp;")'!g46")</f>
        <v>110</v>
      </c>
      <c r="G50" s="4"/>
      <c r="I50" s="12"/>
      <c r="J50" s="12"/>
      <c r="L50" s="12"/>
      <c r="M50" s="12"/>
      <c r="O50" s="14"/>
      <c r="P50" s="14"/>
      <c r="Q50" s="14"/>
      <c r="R50" s="14"/>
      <c r="S50" s="14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s="5" customFormat="1" ht="15" customHeight="1" x14ac:dyDescent="0.3">
      <c r="A51" s="4" t="s">
        <v>47</v>
      </c>
      <c r="B51" s="15">
        <f ca="1">INDIRECT("'("&amp;$A$4&amp;")'!C47")</f>
        <v>30</v>
      </c>
      <c r="C51" s="15">
        <f ca="1">INDIRECT("'("&amp;$A$4&amp;")'!d47")</f>
        <v>18</v>
      </c>
      <c r="D51" s="15">
        <f ca="1">INDIRECT("'("&amp;$A$4&amp;")'!e47")</f>
        <v>1</v>
      </c>
      <c r="E51" s="15">
        <f ca="1">INDIRECT("'("&amp;$A$4&amp;")'!f47")</f>
        <v>38</v>
      </c>
      <c r="F51" s="15">
        <f ca="1">INDIRECT("'("&amp;$A$4&amp;")'!g47")</f>
        <v>87</v>
      </c>
      <c r="G51" s="4"/>
      <c r="I51" s="12"/>
      <c r="J51" s="12"/>
      <c r="L51" s="12"/>
      <c r="M51" s="12"/>
      <c r="O51" s="14"/>
      <c r="P51" s="14"/>
      <c r="Q51" s="14"/>
      <c r="R51" s="14"/>
      <c r="S51" s="14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s="5" customFormat="1" ht="15" customHeight="1" x14ac:dyDescent="0.3">
      <c r="A52" s="4" t="s">
        <v>51</v>
      </c>
      <c r="B52" s="15">
        <f ca="1">INDIRECT("'("&amp;$A$4&amp;")'!C48")</f>
        <v>65</v>
      </c>
      <c r="C52" s="15">
        <f ca="1">INDIRECT("'("&amp;$A$4&amp;")'!d48")</f>
        <v>0</v>
      </c>
      <c r="D52" s="15">
        <f ca="1">INDIRECT("'("&amp;$A$4&amp;")'!e48")</f>
        <v>1</v>
      </c>
      <c r="E52" s="15">
        <f ca="1">INDIRECT("'("&amp;$A$4&amp;")'!f48")</f>
        <v>15</v>
      </c>
      <c r="F52" s="15">
        <f ca="1">INDIRECT("'("&amp;$A$4&amp;")'!g48")</f>
        <v>81</v>
      </c>
      <c r="G52" s="4"/>
      <c r="I52" s="12"/>
      <c r="J52" s="12"/>
      <c r="L52" s="12"/>
      <c r="M52" s="12"/>
      <c r="O52" s="14"/>
      <c r="P52" s="14"/>
      <c r="Q52" s="14"/>
      <c r="R52" s="14"/>
      <c r="S52" s="14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s="5" customFormat="1" ht="15" customHeight="1" x14ac:dyDescent="0.3">
      <c r="A53" s="4" t="s">
        <v>53</v>
      </c>
      <c r="B53" s="15">
        <f ca="1">INDIRECT("'("&amp;$A$4&amp;")'!C49")</f>
        <v>88</v>
      </c>
      <c r="C53" s="15">
        <f ca="1">INDIRECT("'("&amp;$A$4&amp;")'!d49")</f>
        <v>0</v>
      </c>
      <c r="D53" s="15">
        <f ca="1">INDIRECT("'("&amp;$A$4&amp;")'!e49")</f>
        <v>5</v>
      </c>
      <c r="E53" s="15">
        <f ca="1">INDIRECT("'("&amp;$A$4&amp;")'!f49")</f>
        <v>31</v>
      </c>
      <c r="F53" s="15">
        <f ca="1">INDIRECT("'("&amp;$A$4&amp;")'!g49")</f>
        <v>124</v>
      </c>
      <c r="G53" s="4"/>
      <c r="I53" s="12"/>
      <c r="J53" s="12"/>
      <c r="L53" s="12"/>
      <c r="M53" s="12"/>
      <c r="O53" s="14"/>
      <c r="P53" s="14"/>
      <c r="Q53" s="14"/>
      <c r="R53" s="14"/>
      <c r="S53" s="14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s="5" customFormat="1" ht="15" customHeight="1" x14ac:dyDescent="0.3">
      <c r="A54" s="4" t="s">
        <v>55</v>
      </c>
      <c r="B54" s="15">
        <f ca="1">INDIRECT("'("&amp;$A$4&amp;")'!C50")</f>
        <v>49</v>
      </c>
      <c r="C54" s="15">
        <f ca="1">INDIRECT("'("&amp;$A$4&amp;")'!d50")</f>
        <v>14</v>
      </c>
      <c r="D54" s="15">
        <f ca="1">INDIRECT("'("&amp;$A$4&amp;")'!e50")</f>
        <v>1</v>
      </c>
      <c r="E54" s="15">
        <f ca="1">INDIRECT("'("&amp;$A$4&amp;")'!f50")</f>
        <v>17</v>
      </c>
      <c r="F54" s="15">
        <f ca="1">INDIRECT("'("&amp;$A$4&amp;")'!g50")</f>
        <v>81</v>
      </c>
      <c r="G54" s="4"/>
      <c r="I54" s="12"/>
      <c r="J54" s="12"/>
      <c r="K54" s="4"/>
      <c r="L54" s="12"/>
      <c r="M54" s="12"/>
      <c r="O54" s="14"/>
      <c r="P54" s="14"/>
      <c r="Q54" s="14"/>
      <c r="R54" s="14"/>
      <c r="S54" s="14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s="5" customFormat="1" ht="15" customHeight="1" thickBot="1" x14ac:dyDescent="0.35">
      <c r="A55" s="17" t="s">
        <v>26</v>
      </c>
      <c r="B55" s="15">
        <f ca="1">INDIRECT("'("&amp;$A$4&amp;")'!C51")</f>
        <v>232</v>
      </c>
      <c r="C55" s="15">
        <f ca="1">INDIRECT("'("&amp;$A$4&amp;")'!d51")</f>
        <v>0</v>
      </c>
      <c r="D55" s="15">
        <f ca="1">INDIRECT("'("&amp;$A$4&amp;")'!e51")</f>
        <v>8</v>
      </c>
      <c r="E55" s="15">
        <f ca="1">INDIRECT("'("&amp;$A$4&amp;")'!f51")</f>
        <v>73</v>
      </c>
      <c r="F55" s="15">
        <f ca="1">INDIRECT("'("&amp;$A$4&amp;")'!g51")</f>
        <v>313</v>
      </c>
      <c r="G55" s="4"/>
      <c r="I55" s="12"/>
      <c r="J55" s="12"/>
      <c r="K55" s="4"/>
      <c r="L55" s="12"/>
      <c r="M55" s="12"/>
      <c r="O55" s="14"/>
      <c r="P55" s="14"/>
      <c r="Q55" s="14"/>
      <c r="R55" s="14"/>
      <c r="S55" s="14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s="5" customFormat="1" ht="15" customHeight="1" x14ac:dyDescent="0.3">
      <c r="A56" s="4"/>
      <c r="B56" s="104"/>
      <c r="C56" s="104"/>
      <c r="D56" s="104"/>
      <c r="E56" s="104"/>
      <c r="F56" s="104"/>
      <c r="G56" s="4"/>
      <c r="I56" s="12"/>
      <c r="J56" s="12"/>
      <c r="K56" s="4"/>
      <c r="L56" s="12"/>
      <c r="M56" s="12"/>
      <c r="O56" s="14"/>
      <c r="P56" s="14"/>
      <c r="Q56" s="14"/>
      <c r="R56" s="14"/>
      <c r="S56" s="14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x14ac:dyDescent="0.3">
      <c r="A57" s="2"/>
      <c r="I57" s="12"/>
      <c r="J57" s="12"/>
      <c r="L57" s="12"/>
      <c r="M57" s="12"/>
      <c r="N57" s="12"/>
      <c r="O57" s="12"/>
      <c r="P57" s="12"/>
      <c r="Q57" s="12"/>
      <c r="R57" s="12"/>
      <c r="S57" s="12"/>
    </row>
    <row r="58" spans="1:31" s="5" customFormat="1" ht="15" customHeight="1" x14ac:dyDescent="0.3">
      <c r="A58" s="102"/>
      <c r="B58" s="2"/>
      <c r="C58" s="2"/>
      <c r="D58" s="2"/>
      <c r="E58" s="2"/>
      <c r="F58" s="2"/>
      <c r="G58" s="4"/>
      <c r="H58" s="4"/>
      <c r="I58" s="12"/>
      <c r="J58" s="12"/>
      <c r="K58" s="4"/>
      <c r="L58" s="12"/>
      <c r="M58" s="12"/>
      <c r="N58" s="12"/>
      <c r="O58" s="12"/>
      <c r="P58" s="12"/>
      <c r="Q58" s="12"/>
      <c r="R58" s="12"/>
      <c r="S58" s="12"/>
    </row>
    <row r="59" spans="1:31" s="5" customFormat="1" ht="15" customHeight="1" x14ac:dyDescent="0.3">
      <c r="A59" s="18"/>
      <c r="B59" s="102"/>
      <c r="C59" s="102"/>
      <c r="D59" s="102"/>
      <c r="E59" s="102"/>
      <c r="F59" s="102"/>
      <c r="G59" s="4"/>
      <c r="H59" s="4"/>
      <c r="I59" s="12"/>
      <c r="J59" s="12"/>
      <c r="K59" s="4"/>
      <c r="L59" s="12"/>
      <c r="M59" s="12"/>
      <c r="N59" s="12"/>
      <c r="O59" s="12"/>
      <c r="P59" s="12"/>
      <c r="Q59" s="12"/>
      <c r="R59" s="12"/>
      <c r="S59" s="12"/>
    </row>
    <row r="60" spans="1:31" s="5" customFormat="1" ht="15" customHeight="1" x14ac:dyDescent="0.3">
      <c r="A60" s="2"/>
      <c r="B60" s="4"/>
      <c r="C60" s="4"/>
      <c r="D60" s="4"/>
      <c r="E60" s="4"/>
      <c r="F60" s="4"/>
      <c r="G60" s="4"/>
      <c r="H60" s="4"/>
      <c r="I60" s="12"/>
      <c r="J60" s="12"/>
      <c r="K60" s="4"/>
      <c r="L60" s="12"/>
      <c r="M60" s="12"/>
      <c r="N60" s="12"/>
      <c r="O60" s="12"/>
      <c r="P60" s="12"/>
      <c r="Q60" s="12"/>
      <c r="R60" s="12"/>
      <c r="S60" s="12"/>
    </row>
    <row r="61" spans="1:31" s="5" customFormat="1" x14ac:dyDescent="0.3">
      <c r="A61" s="101"/>
      <c r="B61" s="2"/>
      <c r="C61" s="2"/>
      <c r="D61" s="2"/>
      <c r="E61" s="2"/>
      <c r="F61" s="2"/>
      <c r="G61" s="4"/>
      <c r="H61" s="4"/>
      <c r="I61" s="12"/>
      <c r="J61" s="12"/>
      <c r="K61" s="4"/>
      <c r="L61" s="12"/>
      <c r="M61" s="12"/>
      <c r="N61" s="12"/>
      <c r="O61" s="12"/>
      <c r="P61" s="12"/>
      <c r="Q61" s="12"/>
      <c r="R61" s="12"/>
      <c r="S61" s="12"/>
    </row>
    <row r="62" spans="1:31" s="5" customFormat="1" ht="15" customHeight="1" x14ac:dyDescent="0.3">
      <c r="A62" s="4"/>
      <c r="B62" s="101"/>
      <c r="C62" s="101"/>
      <c r="D62" s="101"/>
      <c r="E62" s="101"/>
      <c r="F62" s="101"/>
      <c r="G62" s="4"/>
      <c r="H62" s="4"/>
      <c r="I62" s="12"/>
      <c r="J62" s="12"/>
      <c r="K62" s="4"/>
      <c r="L62" s="12"/>
      <c r="M62" s="12"/>
      <c r="N62" s="12"/>
      <c r="O62" s="12"/>
      <c r="P62" s="12"/>
      <c r="Q62" s="12"/>
      <c r="R62" s="12"/>
      <c r="S62" s="12"/>
    </row>
    <row r="63" spans="1:31" s="5" customFormat="1" ht="15" customHeight="1" x14ac:dyDescent="0.3">
      <c r="A63" s="19"/>
      <c r="B63" s="2"/>
      <c r="C63" s="2"/>
      <c r="D63" s="2"/>
      <c r="E63" s="2"/>
      <c r="F63" s="2"/>
      <c r="K63" s="4"/>
    </row>
    <row r="64" spans="1:31" s="5" customFormat="1" ht="15" customHeight="1" x14ac:dyDescent="0.3">
      <c r="A64" s="19"/>
      <c r="B64" s="2"/>
      <c r="C64" s="2"/>
      <c r="D64" s="2"/>
      <c r="E64" s="2"/>
      <c r="F64" s="2"/>
      <c r="K64" s="4"/>
    </row>
    <row r="65" spans="1:11" s="5" customFormat="1" ht="15" customHeight="1" x14ac:dyDescent="0.3">
      <c r="A65" s="2"/>
      <c r="B65" s="2"/>
      <c r="C65" s="2"/>
      <c r="D65" s="2"/>
      <c r="E65" s="2"/>
      <c r="F65" s="2"/>
      <c r="K65" s="4"/>
    </row>
    <row r="66" spans="1:11" s="5" customFormat="1" x14ac:dyDescent="0.3">
      <c r="A66" s="4"/>
      <c r="B66" s="2"/>
      <c r="C66" s="2"/>
      <c r="D66" s="2"/>
      <c r="E66" s="2"/>
      <c r="F66" s="2"/>
      <c r="K66" s="4"/>
    </row>
    <row r="68" spans="1:11" s="5" customFormat="1" x14ac:dyDescent="0.3">
      <c r="A68" s="19"/>
      <c r="B68" s="4"/>
      <c r="C68" s="4"/>
      <c r="D68" s="4"/>
      <c r="E68" s="4"/>
      <c r="F68" s="20"/>
      <c r="K68" s="4"/>
    </row>
    <row r="69" spans="1:11" s="5" customFormat="1" x14ac:dyDescent="0.3">
      <c r="A69" s="4"/>
      <c r="B69" s="4"/>
      <c r="C69" s="4"/>
      <c r="D69" s="4"/>
      <c r="E69" s="4"/>
      <c r="F69" s="20"/>
      <c r="K69" s="4"/>
    </row>
    <row r="76" spans="1:11" x14ac:dyDescent="0.3">
      <c r="I76" s="4" t="s">
        <v>100</v>
      </c>
      <c r="J76" s="5"/>
    </row>
    <row r="77" spans="1:11" x14ac:dyDescent="0.3">
      <c r="I77" s="4" t="s">
        <v>76</v>
      </c>
    </row>
    <row r="78" spans="1:11" x14ac:dyDescent="0.3">
      <c r="I78" s="4" t="s">
        <v>77</v>
      </c>
    </row>
    <row r="79" spans="1:11" x14ac:dyDescent="0.3">
      <c r="I79" s="4" t="s">
        <v>78</v>
      </c>
    </row>
    <row r="80" spans="1:11" x14ac:dyDescent="0.3">
      <c r="I80" s="4" t="s">
        <v>79</v>
      </c>
    </row>
    <row r="81" spans="9:9" x14ac:dyDescent="0.3">
      <c r="I81" s="4" t="s">
        <v>72</v>
      </c>
    </row>
    <row r="82" spans="9:9" x14ac:dyDescent="0.3">
      <c r="I82" s="4" t="s">
        <v>57</v>
      </c>
    </row>
  </sheetData>
  <mergeCells count="3">
    <mergeCell ref="A1:F1"/>
    <mergeCell ref="A4:E4"/>
    <mergeCell ref="B5:E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AF79"/>
  <sheetViews>
    <sheetView zoomScaleNormal="100" workbookViewId="0">
      <pane ySplit="5" topLeftCell="A6" activePane="bottomLeft" state="frozen"/>
      <selection pane="bottomLeft"/>
    </sheetView>
  </sheetViews>
  <sheetFormatPr defaultColWidth="9.21875" defaultRowHeight="14.4" x14ac:dyDescent="0.3"/>
  <cols>
    <col min="1" max="1" width="52" style="4" customWidth="1"/>
    <col min="2" max="5" width="14.77734375" style="4" customWidth="1"/>
    <col min="6" max="6" width="15.77734375" style="4" customWidth="1"/>
    <col min="7" max="8" width="9.21875" style="4" customWidth="1"/>
    <col min="9" max="9" width="9.21875" style="4" hidden="1" customWidth="1"/>
    <col min="10" max="10" width="9.21875" style="4" customWidth="1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18.600000000000001" customHeight="1" x14ac:dyDescent="0.45">
      <c r="A1" s="173" t="s">
        <v>176</v>
      </c>
      <c r="B1" s="139"/>
      <c r="C1" s="139"/>
      <c r="D1" s="139"/>
      <c r="E1" s="139"/>
      <c r="F1" s="139"/>
      <c r="G1" s="1"/>
      <c r="H1" s="1"/>
      <c r="I1" s="2"/>
      <c r="J1" s="2"/>
    </row>
    <row r="2" spans="1:32" s="5" customFormat="1" ht="25.5" customHeight="1" x14ac:dyDescent="0.3">
      <c r="A2" s="49" t="s">
        <v>71</v>
      </c>
      <c r="B2" s="50"/>
      <c r="C2" s="50"/>
      <c r="D2" s="50"/>
      <c r="E2" s="50"/>
      <c r="F2" s="4"/>
      <c r="G2" s="4"/>
      <c r="H2" s="4"/>
      <c r="I2" s="4"/>
      <c r="J2" s="4"/>
    </row>
    <row r="3" spans="1:32" s="5" customFormat="1" ht="15" customHeight="1" x14ac:dyDescent="0.3">
      <c r="A3" s="137" t="s">
        <v>171</v>
      </c>
      <c r="B3" s="141"/>
      <c r="C3" s="141"/>
      <c r="D3" s="141"/>
      <c r="E3" s="141"/>
      <c r="F3" s="4"/>
      <c r="G3" s="4"/>
      <c r="H3" s="4"/>
      <c r="I3" s="4"/>
      <c r="J3" s="4"/>
      <c r="K3" s="4"/>
    </row>
    <row r="4" spans="1:32" s="11" customFormat="1" ht="29.4" thickBot="1" x14ac:dyDescent="0.35">
      <c r="A4" s="8" t="s">
        <v>70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  <c r="K4" s="4"/>
    </row>
    <row r="5" spans="1:32" s="5" customFormat="1" ht="15" customHeight="1" x14ac:dyDescent="0.3">
      <c r="A5" s="52" t="s">
        <v>0</v>
      </c>
      <c r="B5" s="16">
        <f ca="1">IF('FIRE1110 raw'!B7="..","..",ROUND('FIRE1110 raw'!B7,0))</f>
        <v>1477</v>
      </c>
      <c r="C5" s="16">
        <f ca="1">IF('FIRE1110 raw'!C7="..","..",ROUND('FIRE1110 raw'!C7,0))</f>
        <v>1151</v>
      </c>
      <c r="D5" s="16">
        <f ca="1">IF('FIRE1110 raw'!D7="..","..",ROUND('FIRE1110 raw'!D7,0))</f>
        <v>74</v>
      </c>
      <c r="E5" s="16">
        <f ca="1">IF('FIRE1110 raw'!E7="..","..",ROUND('FIRE1110 raw'!E7,0))</f>
        <v>820</v>
      </c>
      <c r="F5" s="16">
        <f ca="1">IF('FIRE1110 raw'!F7="..","..",ROUND('FIRE1110 raw'!F7,0))</f>
        <v>3522</v>
      </c>
      <c r="G5" s="4"/>
      <c r="H5" s="4"/>
      <c r="I5" s="12"/>
      <c r="J5" s="12"/>
      <c r="L5" s="12"/>
      <c r="M5" s="12"/>
      <c r="O5" s="12"/>
      <c r="P5" s="12"/>
      <c r="Q5" s="12"/>
      <c r="R5" s="12"/>
      <c r="S5" s="12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/>
    </row>
    <row r="6" spans="1:32" s="5" customFormat="1" ht="15" customHeight="1" x14ac:dyDescent="0.3">
      <c r="A6" s="53" t="s">
        <v>9</v>
      </c>
      <c r="B6" s="16">
        <f ca="1">IF('FIRE1110 raw'!B8="..","..",ROUND('FIRE1110 raw'!B8,0))</f>
        <v>893</v>
      </c>
      <c r="C6" s="16">
        <f ca="1">IF('FIRE1110 raw'!C8="..","..",ROUND('FIRE1110 raw'!C8,0))</f>
        <v>1108</v>
      </c>
      <c r="D6" s="16">
        <f ca="1">IF('FIRE1110 raw'!D8="..","..",ROUND('FIRE1110 raw'!D8,0))</f>
        <v>56</v>
      </c>
      <c r="E6" s="16">
        <f ca="1">IF('FIRE1110 raw'!E8="..","..",ROUND('FIRE1110 raw'!E8,0))</f>
        <v>555</v>
      </c>
      <c r="F6" s="16">
        <f ca="1">IF('FIRE1110 raw'!F8="..","..",ROUND('FIRE1110 raw'!F8,0))</f>
        <v>2612</v>
      </c>
      <c r="G6" s="4"/>
      <c r="I6" s="12"/>
      <c r="J6" s="12"/>
      <c r="L6" s="12"/>
      <c r="M6" s="12"/>
      <c r="O6" s="14"/>
      <c r="P6" s="14"/>
      <c r="Q6" s="14"/>
      <c r="R6" s="14"/>
      <c r="S6" s="14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5" customFormat="1" ht="15" customHeight="1" x14ac:dyDescent="0.3">
      <c r="A7" s="4" t="s">
        <v>10</v>
      </c>
      <c r="B7" s="103">
        <f ca="1">IF('FIRE1110 raw'!B9="..","..",ROUND('FIRE1110 raw'!B9,0))</f>
        <v>24</v>
      </c>
      <c r="C7" s="103">
        <f ca="1">IF('FIRE1110 raw'!C9="..","..",ROUND('FIRE1110 raw'!C9,0))</f>
        <v>8</v>
      </c>
      <c r="D7" s="103">
        <f ca="1">IF('FIRE1110 raw'!D9="..","..",ROUND('FIRE1110 raw'!D9,0))</f>
        <v>3</v>
      </c>
      <c r="E7" s="103">
        <f ca="1">IF('FIRE1110 raw'!E9="..","..",ROUND('FIRE1110 raw'!E9,0))</f>
        <v>12</v>
      </c>
      <c r="F7" s="16">
        <f ca="1">IF('FIRE1110 raw'!F9="..","..",ROUND('FIRE1110 raw'!F9,0))</f>
        <v>47</v>
      </c>
      <c r="G7" s="4"/>
      <c r="I7" s="12"/>
      <c r="J7" s="12"/>
      <c r="L7" s="12"/>
      <c r="M7" s="12"/>
      <c r="O7" s="14"/>
      <c r="P7" s="14"/>
      <c r="Q7" s="14"/>
      <c r="R7" s="14"/>
      <c r="S7" s="14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5" customFormat="1" ht="15" customHeight="1" x14ac:dyDescent="0.3">
      <c r="A8" s="4" t="s">
        <v>11</v>
      </c>
      <c r="B8" s="103">
        <f ca="1">IF('FIRE1110 raw'!B10="..","..",ROUND('FIRE1110 raw'!B10,0))</f>
        <v>20</v>
      </c>
      <c r="C8" s="103">
        <f ca="1">IF('FIRE1110 raw'!C10="..","..",ROUND('FIRE1110 raw'!C10,0))</f>
        <v>16</v>
      </c>
      <c r="D8" s="103">
        <f ca="1">IF('FIRE1110 raw'!D10="..","..",ROUND('FIRE1110 raw'!D10,0))</f>
        <v>2</v>
      </c>
      <c r="E8" s="103">
        <f ca="1">IF('FIRE1110 raw'!E10="..","..",ROUND('FIRE1110 raw'!E10,0))</f>
        <v>12</v>
      </c>
      <c r="F8" s="16">
        <f ca="1">IF('FIRE1110 raw'!F10="..","..",ROUND('FIRE1110 raw'!F10,0))</f>
        <v>50</v>
      </c>
      <c r="G8" s="4"/>
      <c r="I8" s="12"/>
      <c r="J8" s="12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4" t="s">
        <v>12</v>
      </c>
      <c r="B9" s="103">
        <f ca="1">IF('FIRE1110 raw'!B11="..","..",ROUND('FIRE1110 raw'!B11,0))</f>
        <v>24</v>
      </c>
      <c r="C9" s="103">
        <f ca="1">IF('FIRE1110 raw'!C11="..","..",ROUND('FIRE1110 raw'!C11,0))</f>
        <v>20</v>
      </c>
      <c r="D9" s="103">
        <f ca="1">IF('FIRE1110 raw'!D11="..","..",ROUND('FIRE1110 raw'!D11,0))</f>
        <v>3</v>
      </c>
      <c r="E9" s="103">
        <f ca="1">IF('FIRE1110 raw'!E11="..","..",ROUND('FIRE1110 raw'!E11,0))</f>
        <v>18</v>
      </c>
      <c r="F9" s="16">
        <f ca="1">IF('FIRE1110 raw'!F11="..","..",ROUND('FIRE1110 raw'!F11,0))</f>
        <v>65</v>
      </c>
      <c r="G9" s="4"/>
      <c r="I9" s="12"/>
      <c r="J9" s="12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4" t="s">
        <v>13</v>
      </c>
      <c r="B10" s="103">
        <f ca="1">IF('FIRE1110 raw'!B12="..","..",ROUND('FIRE1110 raw'!B12,0))</f>
        <v>22</v>
      </c>
      <c r="C10" s="103">
        <f ca="1">IF('FIRE1110 raw'!C12="..","..",ROUND('FIRE1110 raw'!C12,0))</f>
        <v>12</v>
      </c>
      <c r="D10" s="103">
        <f ca="1">IF('FIRE1110 raw'!D12="..","..",ROUND('FIRE1110 raw'!D12,0))</f>
        <v>0</v>
      </c>
      <c r="E10" s="103">
        <f ca="1">IF('FIRE1110 raw'!E12="..","..",ROUND('FIRE1110 raw'!E12,0))</f>
        <v>9</v>
      </c>
      <c r="F10" s="16">
        <f ca="1">IF('FIRE1110 raw'!F12="..","..",ROUND('FIRE1110 raw'!F12,0))</f>
        <v>43</v>
      </c>
      <c r="G10" s="4"/>
      <c r="I10" s="12"/>
      <c r="J10" s="12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4" t="s">
        <v>14</v>
      </c>
      <c r="B11" s="103">
        <f ca="1">IF('FIRE1110 raw'!B13="..","..",ROUND('FIRE1110 raw'!B13,0))</f>
        <v>18</v>
      </c>
      <c r="C11" s="103">
        <f ca="1">IF('FIRE1110 raw'!C13="..","..",ROUND('FIRE1110 raw'!C13,0))</f>
        <v>31</v>
      </c>
      <c r="D11" s="103">
        <f ca="1">IF('FIRE1110 raw'!D13="..","..",ROUND('FIRE1110 raw'!D13,0))</f>
        <v>3</v>
      </c>
      <c r="E11" s="103">
        <f ca="1">IF('FIRE1110 raw'!E13="..","..",ROUND('FIRE1110 raw'!E13,0))</f>
        <v>10</v>
      </c>
      <c r="F11" s="16">
        <f ca="1">IF('FIRE1110 raw'!F13="..","..",ROUND('FIRE1110 raw'!F13,0))</f>
        <v>62</v>
      </c>
      <c r="G11" s="4"/>
      <c r="I11" s="12"/>
      <c r="J11" s="12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4" t="s">
        <v>15</v>
      </c>
      <c r="B12" s="103">
        <f ca="1">IF('FIRE1110 raw'!B14="..","..",ROUND('FIRE1110 raw'!B14,0))</f>
        <v>19</v>
      </c>
      <c r="C12" s="103">
        <f ca="1">IF('FIRE1110 raw'!C14="..","..",ROUND('FIRE1110 raw'!C14,0))</f>
        <v>31</v>
      </c>
      <c r="D12" s="103">
        <f ca="1">IF('FIRE1110 raw'!D14="..","..",ROUND('FIRE1110 raw'!D14,0))</f>
        <v>0</v>
      </c>
      <c r="E12" s="103">
        <f ca="1">IF('FIRE1110 raw'!E14="..","..",ROUND('FIRE1110 raw'!E14,0))</f>
        <v>23</v>
      </c>
      <c r="F12" s="16">
        <f ca="1">IF('FIRE1110 raw'!F14="..","..",ROUND('FIRE1110 raw'!F14,0))</f>
        <v>73</v>
      </c>
      <c r="G12" s="4"/>
      <c r="I12" s="12"/>
      <c r="J12" s="12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4" t="s">
        <v>16</v>
      </c>
      <c r="B13" s="103">
        <f ca="1">IF('FIRE1110 raw'!B15="..","..",ROUND('FIRE1110 raw'!B15,0))</f>
        <v>19</v>
      </c>
      <c r="C13" s="103">
        <f ca="1">IF('FIRE1110 raw'!C15="..","..",ROUND('FIRE1110 raw'!C15,0))</f>
        <v>12</v>
      </c>
      <c r="D13" s="103">
        <f ca="1">IF('FIRE1110 raw'!D15="..","..",ROUND('FIRE1110 raw'!D15,0))</f>
        <v>2</v>
      </c>
      <c r="E13" s="103">
        <f ca="1">IF('FIRE1110 raw'!E15="..","..",ROUND('FIRE1110 raw'!E15,0))</f>
        <v>9</v>
      </c>
      <c r="F13" s="16">
        <f ca="1">IF('FIRE1110 raw'!F15="..","..",ROUND('FIRE1110 raw'!F15,0))</f>
        <v>42</v>
      </c>
      <c r="G13" s="4"/>
      <c r="I13" s="12"/>
      <c r="J13" s="12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4" t="s">
        <v>17</v>
      </c>
      <c r="B14" s="103">
        <f ca="1">IF('FIRE1110 raw'!B16="..","..",ROUND('FIRE1110 raw'!B16,0))</f>
        <v>14</v>
      </c>
      <c r="C14" s="103">
        <f ca="1">IF('FIRE1110 raw'!C16="..","..",ROUND('FIRE1110 raw'!C16,0))</f>
        <v>23</v>
      </c>
      <c r="D14" s="103">
        <f ca="1">IF('FIRE1110 raw'!D16="..","..",ROUND('FIRE1110 raw'!D16,0))</f>
        <v>3</v>
      </c>
      <c r="E14" s="103">
        <f ca="1">IF('FIRE1110 raw'!E16="..","..",ROUND('FIRE1110 raw'!E16,0))</f>
        <v>19</v>
      </c>
      <c r="F14" s="16">
        <f ca="1">IF('FIRE1110 raw'!F16="..","..",ROUND('FIRE1110 raw'!F16,0))</f>
        <v>59</v>
      </c>
      <c r="G14" s="4"/>
      <c r="I14" s="12"/>
      <c r="J14" s="12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4" t="s">
        <v>18</v>
      </c>
      <c r="B15" s="103">
        <f ca="1">IF('FIRE1110 raw'!B17="..","..",ROUND('FIRE1110 raw'!B17,0))</f>
        <v>18</v>
      </c>
      <c r="C15" s="103">
        <f ca="1">IF('FIRE1110 raw'!C17="..","..",ROUND('FIRE1110 raw'!C17,0))</f>
        <v>20</v>
      </c>
      <c r="D15" s="103">
        <f ca="1">IF('FIRE1110 raw'!D17="..","..",ROUND('FIRE1110 raw'!D17,0))</f>
        <v>0</v>
      </c>
      <c r="E15" s="103">
        <f ca="1">IF('FIRE1110 raw'!E17="..","..",ROUND('FIRE1110 raw'!E17,0))</f>
        <v>2</v>
      </c>
      <c r="F15" s="16">
        <f ca="1">IF('FIRE1110 raw'!F17="..","..",ROUND('FIRE1110 raw'!F17,0))</f>
        <v>40</v>
      </c>
      <c r="G15" s="4"/>
      <c r="I15" s="12"/>
      <c r="J15" s="12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21" t="s">
        <v>19</v>
      </c>
      <c r="B16" s="103">
        <f ca="1">IF('FIRE1110 raw'!B18="..","..",ROUND('FIRE1110 raw'!B18,0))</f>
        <v>17</v>
      </c>
      <c r="C16" s="103">
        <f ca="1">IF('FIRE1110 raw'!C18="..","..",ROUND('FIRE1110 raw'!C18,0))</f>
        <v>29</v>
      </c>
      <c r="D16" s="103">
        <f ca="1">IF('FIRE1110 raw'!D18="..","..",ROUND('FIRE1110 raw'!D18,0))</f>
        <v>3</v>
      </c>
      <c r="E16" s="103">
        <f ca="1">IF('FIRE1110 raw'!E18="..","..",ROUND('FIRE1110 raw'!E18,0))</f>
        <v>15</v>
      </c>
      <c r="F16" s="16">
        <f ca="1">IF('FIRE1110 raw'!F18="..","..",ROUND('FIRE1110 raw'!F18,0))</f>
        <v>64</v>
      </c>
      <c r="G16" s="4"/>
      <c r="I16" s="12"/>
      <c r="J16" s="12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21" t="s">
        <v>20</v>
      </c>
      <c r="B17" s="103">
        <f ca="1">IF('FIRE1110 raw'!B19="..","..",ROUND('FIRE1110 raw'!B19,0))</f>
        <v>62</v>
      </c>
      <c r="C17" s="103">
        <f ca="1">IF('FIRE1110 raw'!C19="..","..",ROUND('FIRE1110 raw'!C19,0))</f>
        <v>126</v>
      </c>
      <c r="D17" s="103">
        <f ca="1">IF('FIRE1110 raw'!D19="..","..",ROUND('FIRE1110 raw'!D19,0))</f>
        <v>0</v>
      </c>
      <c r="E17" s="103">
        <f ca="1">IF('FIRE1110 raw'!E19="..","..",ROUND('FIRE1110 raw'!E19,0))</f>
        <v>32</v>
      </c>
      <c r="F17" s="16">
        <f ca="1">IF('FIRE1110 raw'!F19="..","..",ROUND('FIRE1110 raw'!F19,0))</f>
        <v>220</v>
      </c>
      <c r="G17" s="4"/>
      <c r="I17" s="12"/>
      <c r="J17" s="12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4" t="s">
        <v>105</v>
      </c>
      <c r="B18" s="103">
        <f ca="1">IF('FIRE1110 raw'!B20="..","..",ROUND('FIRE1110 raw'!B20,0))</f>
        <v>37</v>
      </c>
      <c r="C18" s="103">
        <f ca="1">IF('FIRE1110 raw'!C20="..","..",ROUND('FIRE1110 raw'!C20,0))</f>
        <v>63</v>
      </c>
      <c r="D18" s="103">
        <f ca="1">IF('FIRE1110 raw'!D20="..","..",ROUND('FIRE1110 raw'!D20,0))</f>
        <v>5</v>
      </c>
      <c r="E18" s="103">
        <f ca="1">IF('FIRE1110 raw'!E20="..","..",ROUND('FIRE1110 raw'!E20,0))</f>
        <v>30</v>
      </c>
      <c r="F18" s="16">
        <f ca="1">IF('FIRE1110 raw'!F20="..","..",ROUND('FIRE1110 raw'!F20,0))</f>
        <v>135</v>
      </c>
      <c r="G18" s="4"/>
      <c r="I18" s="12"/>
      <c r="J18" s="12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4" t="s">
        <v>22</v>
      </c>
      <c r="B19" s="103">
        <f ca="1">IF('FIRE1110 raw'!B21="..","..",ROUND('FIRE1110 raw'!B21,0))</f>
        <v>17</v>
      </c>
      <c r="C19" s="103">
        <f ca="1">IF('FIRE1110 raw'!C21="..","..",ROUND('FIRE1110 raw'!C21,0))</f>
        <v>18</v>
      </c>
      <c r="D19" s="103">
        <f ca="1">IF('FIRE1110 raw'!D21="..","..",ROUND('FIRE1110 raw'!D21,0))</f>
        <v>0</v>
      </c>
      <c r="E19" s="103">
        <f ca="1">IF('FIRE1110 raw'!E21="..","..",ROUND('FIRE1110 raw'!E21,0))</f>
        <v>7</v>
      </c>
      <c r="F19" s="16">
        <f ca="1">IF('FIRE1110 raw'!F21="..","..",ROUND('FIRE1110 raw'!F21,0))</f>
        <v>42</v>
      </c>
      <c r="G19" s="4"/>
      <c r="I19" s="12"/>
      <c r="J19" s="12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4" t="s">
        <v>23</v>
      </c>
      <c r="B20" s="103">
        <f ca="1">IF('FIRE1110 raw'!B22="..","..",ROUND('FIRE1110 raw'!B22,0))</f>
        <v>25</v>
      </c>
      <c r="C20" s="103">
        <f ca="1">IF('FIRE1110 raw'!C22="..","..",ROUND('FIRE1110 raw'!C22,0))</f>
        <v>26</v>
      </c>
      <c r="D20" s="103">
        <f ca="1">IF('FIRE1110 raw'!D22="..","..",ROUND('FIRE1110 raw'!D22,0))</f>
        <v>4</v>
      </c>
      <c r="E20" s="103">
        <f ca="1">IF('FIRE1110 raw'!E22="..","..",ROUND('FIRE1110 raw'!E22,0))</f>
        <v>23</v>
      </c>
      <c r="F20" s="16">
        <f ca="1">IF('FIRE1110 raw'!F22="..","..",ROUND('FIRE1110 raw'!F22,0))</f>
        <v>78</v>
      </c>
      <c r="G20" s="4"/>
      <c r="I20" s="12"/>
      <c r="J20" s="12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4" t="s">
        <v>24</v>
      </c>
      <c r="B21" s="103">
        <f ca="1">IF('FIRE1110 raw'!B23="..","..",ROUND('FIRE1110 raw'!B23,0))</f>
        <v>34</v>
      </c>
      <c r="C21" s="103">
        <f ca="1">IF('FIRE1110 raw'!C23="..","..",ROUND('FIRE1110 raw'!C23,0))</f>
        <v>54</v>
      </c>
      <c r="D21" s="103">
        <f ca="1">IF('FIRE1110 raw'!D23="..","..",ROUND('FIRE1110 raw'!D23,0))</f>
        <v>0</v>
      </c>
      <c r="E21" s="103">
        <f ca="1">IF('FIRE1110 raw'!E23="..","..",ROUND('FIRE1110 raw'!E23,0))</f>
        <v>33</v>
      </c>
      <c r="F21" s="16">
        <f ca="1">IF('FIRE1110 raw'!F23="..","..",ROUND('FIRE1110 raw'!F23,0))</f>
        <v>121</v>
      </c>
      <c r="G21" s="4"/>
      <c r="I21" s="12"/>
      <c r="J21" s="12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x14ac:dyDescent="0.3">
      <c r="A22" s="4" t="s">
        <v>25</v>
      </c>
      <c r="B22" s="103">
        <f ca="1">IF('FIRE1110 raw'!B24="..","..",ROUND('FIRE1110 raw'!B24,0))</f>
        <v>16</v>
      </c>
      <c r="C22" s="103">
        <f ca="1">IF('FIRE1110 raw'!C24="..","..",ROUND('FIRE1110 raw'!C24,0))</f>
        <v>22</v>
      </c>
      <c r="D22" s="103">
        <f ca="1">IF('FIRE1110 raw'!D24="..","..",ROUND('FIRE1110 raw'!D24,0))</f>
        <v>0</v>
      </c>
      <c r="E22" s="103">
        <f ca="1">IF('FIRE1110 raw'!E24="..","..",ROUND('FIRE1110 raw'!E24,0))</f>
        <v>4</v>
      </c>
      <c r="F22" s="16">
        <f ca="1">IF('FIRE1110 raw'!F24="..","..",ROUND('FIRE1110 raw'!F24,0))</f>
        <v>42</v>
      </c>
      <c r="G22" s="4"/>
      <c r="I22" s="12"/>
      <c r="J22" s="12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15" customHeight="1" x14ac:dyDescent="0.3">
      <c r="A23" s="4" t="s">
        <v>28</v>
      </c>
      <c r="B23" s="103">
        <f ca="1">IF('FIRE1110 raw'!B25="..","..",ROUND('FIRE1110 raw'!B25,0))</f>
        <v>93</v>
      </c>
      <c r="C23" s="103">
        <f ca="1">IF('FIRE1110 raw'!C25="..","..",ROUND('FIRE1110 raw'!C25,0))</f>
        <v>64</v>
      </c>
      <c r="D23" s="103">
        <f ca="1">IF('FIRE1110 raw'!D25="..","..",ROUND('FIRE1110 raw'!D25,0))</f>
        <v>1</v>
      </c>
      <c r="E23" s="103">
        <f ca="1">IF('FIRE1110 raw'!E25="..","..",ROUND('FIRE1110 raw'!E25,0))</f>
        <v>37</v>
      </c>
      <c r="F23" s="16">
        <f ca="1">IF('FIRE1110 raw'!F25="..","..",ROUND('FIRE1110 raw'!F25,0))</f>
        <v>195</v>
      </c>
      <c r="G23" s="4"/>
      <c r="I23" s="12"/>
      <c r="J23" s="12"/>
      <c r="L23" s="12"/>
      <c r="M23" s="12"/>
      <c r="O23" s="14"/>
      <c r="P23" s="14"/>
      <c r="Q23" s="14"/>
      <c r="R23" s="14"/>
      <c r="S23" s="14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5" customFormat="1" ht="15" customHeight="1" x14ac:dyDescent="0.3">
      <c r="A24" s="4" t="s">
        <v>29</v>
      </c>
      <c r="B24" s="103">
        <f ca="1">IF('FIRE1110 raw'!B26="..","..",ROUND('FIRE1110 raw'!B26,0))</f>
        <v>23</v>
      </c>
      <c r="C24" s="103">
        <f ca="1">IF('FIRE1110 raw'!C26="..","..",ROUND('FIRE1110 raw'!C26,0))</f>
        <v>37</v>
      </c>
      <c r="D24" s="103">
        <f ca="1">IF('FIRE1110 raw'!D26="..","..",ROUND('FIRE1110 raw'!D26,0))</f>
        <v>0</v>
      </c>
      <c r="E24" s="103">
        <f ca="1">IF('FIRE1110 raw'!E26="..","..",ROUND('FIRE1110 raw'!E26,0))</f>
        <v>8</v>
      </c>
      <c r="F24" s="16">
        <f ca="1">IF('FIRE1110 raw'!F26="..","..",ROUND('FIRE1110 raw'!F26,0))</f>
        <v>68</v>
      </c>
      <c r="G24" s="4"/>
      <c r="I24" s="12"/>
      <c r="J24" s="12"/>
      <c r="L24" s="12"/>
      <c r="M24" s="12"/>
      <c r="O24" s="14"/>
      <c r="P24" s="14"/>
      <c r="Q24" s="14"/>
      <c r="R24" s="14"/>
      <c r="S24" s="14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5" customFormat="1" ht="15" customHeight="1" x14ac:dyDescent="0.3">
      <c r="A25" s="4" t="s">
        <v>30</v>
      </c>
      <c r="B25" s="103">
        <f ca="1">IF('FIRE1110 raw'!B27="..","..",ROUND('FIRE1110 raw'!B27,0))</f>
        <v>41</v>
      </c>
      <c r="C25" s="103">
        <f ca="1">IF('FIRE1110 raw'!C27="..","..",ROUND('FIRE1110 raw'!C27,0))</f>
        <v>26</v>
      </c>
      <c r="D25" s="103">
        <f ca="1">IF('FIRE1110 raw'!D27="..","..",ROUND('FIRE1110 raw'!D27,0))</f>
        <v>4</v>
      </c>
      <c r="E25" s="103">
        <f ca="1">IF('FIRE1110 raw'!E27="..","..",ROUND('FIRE1110 raw'!E27,0))</f>
        <v>17</v>
      </c>
      <c r="F25" s="16">
        <f ca="1">IF('FIRE1110 raw'!F27="..","..",ROUND('FIRE1110 raw'!F27,0))</f>
        <v>88</v>
      </c>
      <c r="G25" s="4"/>
      <c r="I25" s="12"/>
      <c r="J25" s="12"/>
      <c r="L25" s="12"/>
      <c r="M25" s="12"/>
      <c r="O25" s="14"/>
      <c r="P25" s="14"/>
      <c r="Q25" s="14"/>
      <c r="R25" s="14"/>
      <c r="S25" s="14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5" customFormat="1" ht="15" customHeight="1" x14ac:dyDescent="0.3">
      <c r="A26" s="4" t="s">
        <v>31</v>
      </c>
      <c r="B26" s="103">
        <f ca="1">IF('FIRE1110 raw'!B28="..","..",ROUND('FIRE1110 raw'!B28,0))</f>
        <v>23</v>
      </c>
      <c r="C26" s="103">
        <f ca="1">IF('FIRE1110 raw'!C28="..","..",ROUND('FIRE1110 raw'!C28,0))</f>
        <v>17</v>
      </c>
      <c r="D26" s="103">
        <f ca="1">IF('FIRE1110 raw'!D28="..","..",ROUND('FIRE1110 raw'!D28,0))</f>
        <v>2</v>
      </c>
      <c r="E26" s="103">
        <f ca="1">IF('FIRE1110 raw'!E28="..","..",ROUND('FIRE1110 raw'!E28,0))</f>
        <v>17</v>
      </c>
      <c r="F26" s="16">
        <f ca="1">IF('FIRE1110 raw'!F28="..","..",ROUND('FIRE1110 raw'!F28,0))</f>
        <v>59</v>
      </c>
      <c r="G26" s="4"/>
      <c r="I26" s="12"/>
      <c r="J26" s="12"/>
      <c r="L26" s="12"/>
      <c r="M26" s="12"/>
      <c r="O26" s="14"/>
      <c r="P26" s="14"/>
      <c r="Q26" s="14"/>
      <c r="R26" s="14"/>
      <c r="S26" s="14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5" customFormat="1" ht="15" customHeight="1" x14ac:dyDescent="0.3">
      <c r="A27" s="4" t="s">
        <v>32</v>
      </c>
      <c r="B27" s="103">
        <f ca="1">IF('FIRE1110 raw'!B29="..","..",ROUND('FIRE1110 raw'!B29,0))</f>
        <v>7</v>
      </c>
      <c r="C27" s="103">
        <f ca="1">IF('FIRE1110 raw'!C29="..","..",ROUND('FIRE1110 raw'!C29,0))</f>
        <v>9</v>
      </c>
      <c r="D27" s="103">
        <f ca="1">IF('FIRE1110 raw'!D29="..","..",ROUND('FIRE1110 raw'!D29,0))</f>
        <v>0</v>
      </c>
      <c r="E27" s="103">
        <f ca="1">IF('FIRE1110 raw'!E29="..","..",ROUND('FIRE1110 raw'!E29,0))</f>
        <v>2</v>
      </c>
      <c r="F27" s="16">
        <f ca="1">IF('FIRE1110 raw'!F29="..","..",ROUND('FIRE1110 raw'!F29,0))</f>
        <v>18</v>
      </c>
      <c r="G27" s="4"/>
      <c r="I27" s="12"/>
      <c r="J27" s="12"/>
      <c r="L27" s="12"/>
      <c r="M27" s="12"/>
      <c r="O27" s="14"/>
      <c r="P27" s="14"/>
      <c r="Q27" s="14"/>
      <c r="R27" s="14"/>
      <c r="S27" s="14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s="5" customFormat="1" ht="15" customHeight="1" x14ac:dyDescent="0.3">
      <c r="A28" s="5" t="s">
        <v>34</v>
      </c>
      <c r="B28" s="103">
        <f ca="1">IF('FIRE1110 raw'!B30="..","..",ROUND('FIRE1110 raw'!B30,0))</f>
        <v>45</v>
      </c>
      <c r="C28" s="103">
        <f ca="1">IF('FIRE1110 raw'!C30="..","..",ROUND('FIRE1110 raw'!C30,0))</f>
        <v>32</v>
      </c>
      <c r="D28" s="103">
        <f ca="1">IF('FIRE1110 raw'!D30="..","..",ROUND('FIRE1110 raw'!D30,0))</f>
        <v>1</v>
      </c>
      <c r="E28" s="103">
        <f ca="1">IF('FIRE1110 raw'!E30="..","..",ROUND('FIRE1110 raw'!E30,0))</f>
        <v>30</v>
      </c>
      <c r="F28" s="16">
        <f ca="1">IF('FIRE1110 raw'!F30="..","..",ROUND('FIRE1110 raw'!F30,0))</f>
        <v>108</v>
      </c>
      <c r="G28" s="4"/>
      <c r="I28" s="12"/>
      <c r="J28" s="12"/>
      <c r="L28" s="12"/>
      <c r="M28" s="12"/>
      <c r="O28" s="14"/>
      <c r="P28" s="14"/>
      <c r="Q28" s="14"/>
      <c r="R28" s="14"/>
      <c r="S28" s="14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5" customFormat="1" ht="15" customHeight="1" x14ac:dyDescent="0.3">
      <c r="A29" s="5" t="s">
        <v>35</v>
      </c>
      <c r="B29" s="103">
        <f ca="1">IF('FIRE1110 raw'!B31="..","..",ROUND('FIRE1110 raw'!B31,0))</f>
        <v>37</v>
      </c>
      <c r="C29" s="103">
        <f ca="1">IF('FIRE1110 raw'!C31="..","..",ROUND('FIRE1110 raw'!C31,0))</f>
        <v>37</v>
      </c>
      <c r="D29" s="103">
        <f ca="1">IF('FIRE1110 raw'!D31="..","..",ROUND('FIRE1110 raw'!D31,0))</f>
        <v>0</v>
      </c>
      <c r="E29" s="103">
        <f ca="1">IF('FIRE1110 raw'!E31="..","..",ROUND('FIRE1110 raw'!E31,0))</f>
        <v>19</v>
      </c>
      <c r="F29" s="16">
        <f ca="1">IF('FIRE1110 raw'!F31="..","..",ROUND('FIRE1110 raw'!F31,0))</f>
        <v>93</v>
      </c>
      <c r="G29" s="4"/>
      <c r="I29" s="12"/>
      <c r="J29" s="12"/>
      <c r="L29" s="12"/>
      <c r="M29" s="12"/>
      <c r="O29" s="14"/>
      <c r="P29" s="14"/>
      <c r="Q29" s="14"/>
      <c r="R29" s="14"/>
      <c r="S29" s="14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5" customFormat="1" ht="15" customHeight="1" x14ac:dyDescent="0.3">
      <c r="A30" s="4" t="s">
        <v>36</v>
      </c>
      <c r="B30" s="103">
        <f ca="1">IF('FIRE1110 raw'!B32="..","..",ROUND('FIRE1110 raw'!B32,0))</f>
        <v>21</v>
      </c>
      <c r="C30" s="103">
        <f ca="1">IF('FIRE1110 raw'!C32="..","..",ROUND('FIRE1110 raw'!C32,0))</f>
        <v>18</v>
      </c>
      <c r="D30" s="103">
        <f ca="1">IF('FIRE1110 raw'!D32="..","..",ROUND('FIRE1110 raw'!D32,0))</f>
        <v>1</v>
      </c>
      <c r="E30" s="103">
        <f ca="1">IF('FIRE1110 raw'!E32="..","..",ROUND('FIRE1110 raw'!E32,0))</f>
        <v>16</v>
      </c>
      <c r="F30" s="16">
        <f ca="1">IF('FIRE1110 raw'!F32="..","..",ROUND('FIRE1110 raw'!F32,0))</f>
        <v>56</v>
      </c>
      <c r="G30" s="4"/>
      <c r="I30" s="12"/>
      <c r="J30" s="12"/>
      <c r="L30" s="12"/>
      <c r="M30" s="12"/>
      <c r="O30" s="14"/>
      <c r="P30" s="14"/>
      <c r="Q30" s="14"/>
      <c r="R30" s="14"/>
      <c r="S30" s="14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5" customFormat="1" ht="15" customHeight="1" x14ac:dyDescent="0.3">
      <c r="A31" s="5" t="s">
        <v>37</v>
      </c>
      <c r="B31" s="103">
        <f ca="1">IF('FIRE1110 raw'!B33="..","..",ROUND('FIRE1110 raw'!B33,0))</f>
        <v>13</v>
      </c>
      <c r="C31" s="103">
        <f ca="1">IF('FIRE1110 raw'!C33="..","..",ROUND('FIRE1110 raw'!C33,0))</f>
        <v>24</v>
      </c>
      <c r="D31" s="103">
        <f ca="1">IF('FIRE1110 raw'!D33="..","..",ROUND('FIRE1110 raw'!D33,0))</f>
        <v>1</v>
      </c>
      <c r="E31" s="103">
        <f ca="1">IF('FIRE1110 raw'!E33="..","..",ROUND('FIRE1110 raw'!E33,0))</f>
        <v>4</v>
      </c>
      <c r="F31" s="16">
        <f ca="1">IF('FIRE1110 raw'!F33="..","..",ROUND('FIRE1110 raw'!F33,0))</f>
        <v>42</v>
      </c>
      <c r="G31" s="4"/>
      <c r="I31" s="12"/>
      <c r="J31" s="12"/>
      <c r="L31" s="12"/>
      <c r="M31" s="12"/>
      <c r="O31" s="14"/>
      <c r="P31" s="14"/>
      <c r="Q31" s="14"/>
      <c r="R31" s="14"/>
      <c r="S31" s="14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5" customFormat="1" ht="15" customHeight="1" x14ac:dyDescent="0.3">
      <c r="A32" s="5" t="s">
        <v>39</v>
      </c>
      <c r="B32" s="103">
        <f ca="1">IF('FIRE1110 raw'!B34="..","..",ROUND('FIRE1110 raw'!B34,0))</f>
        <v>18</v>
      </c>
      <c r="C32" s="103">
        <f ca="1">IF('FIRE1110 raw'!C34="..","..",ROUND('FIRE1110 raw'!C34,0))</f>
        <v>18</v>
      </c>
      <c r="D32" s="103">
        <f ca="1">IF('FIRE1110 raw'!D34="..","..",ROUND('FIRE1110 raw'!D34,0))</f>
        <v>1</v>
      </c>
      <c r="E32" s="103">
        <f ca="1">IF('FIRE1110 raw'!E34="..","..",ROUND('FIRE1110 raw'!E34,0))</f>
        <v>24</v>
      </c>
      <c r="F32" s="16">
        <f ca="1">IF('FIRE1110 raw'!F34="..","..",ROUND('FIRE1110 raw'!F34,0))</f>
        <v>61</v>
      </c>
      <c r="G32" s="4"/>
      <c r="I32" s="12"/>
      <c r="J32" s="12"/>
      <c r="L32" s="12"/>
      <c r="M32" s="12"/>
      <c r="O32" s="14"/>
      <c r="P32" s="14"/>
      <c r="Q32" s="14"/>
      <c r="R32" s="14"/>
      <c r="S32" s="14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5" customFormat="1" ht="15" customHeight="1" x14ac:dyDescent="0.3">
      <c r="A33" s="4" t="s">
        <v>40</v>
      </c>
      <c r="B33" s="103">
        <f ca="1">IF('FIRE1110 raw'!B35="..","..",ROUND('FIRE1110 raw'!B35,0))</f>
        <v>0</v>
      </c>
      <c r="C33" s="103">
        <f ca="1">IF('FIRE1110 raw'!C35="..","..",ROUND('FIRE1110 raw'!C35,0))</f>
        <v>0</v>
      </c>
      <c r="D33" s="103">
        <f ca="1">IF('FIRE1110 raw'!D35="..","..",ROUND('FIRE1110 raw'!D35,0))</f>
        <v>8</v>
      </c>
      <c r="E33" s="103">
        <f ca="1">IF('FIRE1110 raw'!E35="..","..",ROUND('FIRE1110 raw'!E35,0))</f>
        <v>0</v>
      </c>
      <c r="F33" s="16">
        <f ca="1">IF('FIRE1110 raw'!F35="..","..",ROUND('FIRE1110 raw'!F35,0))</f>
        <v>8</v>
      </c>
      <c r="G33" s="4"/>
      <c r="I33" s="12"/>
      <c r="J33" s="12"/>
      <c r="L33" s="12"/>
      <c r="M33" s="12"/>
      <c r="O33" s="14"/>
      <c r="P33" s="14"/>
      <c r="Q33" s="14"/>
      <c r="R33" s="14"/>
      <c r="S33" s="14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5" customFormat="1" ht="15" customHeight="1" x14ac:dyDescent="0.3">
      <c r="A34" s="5" t="s">
        <v>41</v>
      </c>
      <c r="B34" s="103">
        <f ca="1">IF('FIRE1110 raw'!B36="..","..",ROUND('FIRE1110 raw'!B36,0))</f>
        <v>24</v>
      </c>
      <c r="C34" s="103">
        <f ca="1">IF('FIRE1110 raw'!C36="..","..",ROUND('FIRE1110 raw'!C36,0))</f>
        <v>38</v>
      </c>
      <c r="D34" s="103">
        <f ca="1">IF('FIRE1110 raw'!D36="..","..",ROUND('FIRE1110 raw'!D36,0))</f>
        <v>0</v>
      </c>
      <c r="E34" s="103">
        <f ca="1">IF('FIRE1110 raw'!E36="..","..",ROUND('FIRE1110 raw'!E36,0))</f>
        <v>2</v>
      </c>
      <c r="F34" s="16">
        <f ca="1">IF('FIRE1110 raw'!F36="..","..",ROUND('FIRE1110 raw'!F36,0))</f>
        <v>64</v>
      </c>
      <c r="G34" s="4"/>
      <c r="I34" s="12"/>
      <c r="J34" s="12"/>
      <c r="L34" s="12"/>
      <c r="M34" s="12"/>
      <c r="O34" s="14"/>
      <c r="P34" s="14"/>
      <c r="Q34" s="14"/>
      <c r="R34" s="14"/>
      <c r="S34" s="14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5" customFormat="1" ht="15" customHeight="1" x14ac:dyDescent="0.3">
      <c r="A35" s="5" t="s">
        <v>42</v>
      </c>
      <c r="B35" s="103">
        <f ca="1">IF('FIRE1110 raw'!B37="..","..",ROUND('FIRE1110 raw'!B37,0))</f>
        <v>16</v>
      </c>
      <c r="C35" s="103">
        <f ca="1">IF('FIRE1110 raw'!C37="..","..",ROUND('FIRE1110 raw'!C37,0))</f>
        <v>32</v>
      </c>
      <c r="D35" s="103">
        <f ca="1">IF('FIRE1110 raw'!D37="..","..",ROUND('FIRE1110 raw'!D37,0))</f>
        <v>2</v>
      </c>
      <c r="E35" s="103">
        <f ca="1">IF('FIRE1110 raw'!E37="..","..",ROUND('FIRE1110 raw'!E37,0))</f>
        <v>10</v>
      </c>
      <c r="F35" s="16">
        <f ca="1">IF('FIRE1110 raw'!F37="..","..",ROUND('FIRE1110 raw'!F37,0))</f>
        <v>60</v>
      </c>
      <c r="G35" s="4"/>
      <c r="I35" s="12"/>
      <c r="J35" s="12"/>
      <c r="L35" s="12"/>
      <c r="M35" s="12"/>
      <c r="O35" s="14"/>
      <c r="P35" s="14"/>
      <c r="Q35" s="14"/>
      <c r="R35" s="14"/>
      <c r="S35" s="14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5" customFormat="1" ht="15" customHeight="1" x14ac:dyDescent="0.3">
      <c r="A36" s="5" t="s">
        <v>43</v>
      </c>
      <c r="B36" s="103">
        <f ca="1">IF('FIRE1110 raw'!B38="..","..",ROUND('FIRE1110 raw'!B38,0))</f>
        <v>9</v>
      </c>
      <c r="C36" s="103">
        <f ca="1">IF('FIRE1110 raw'!C38="..","..",ROUND('FIRE1110 raw'!C38,0))</f>
        <v>28</v>
      </c>
      <c r="D36" s="103">
        <f ca="1">IF('FIRE1110 raw'!D38="..","..",ROUND('FIRE1110 raw'!D38,0))</f>
        <v>1</v>
      </c>
      <c r="E36" s="103">
        <f ca="1">IF('FIRE1110 raw'!E38="..","..",ROUND('FIRE1110 raw'!E38,0))</f>
        <v>8</v>
      </c>
      <c r="F36" s="16">
        <f ca="1">IF('FIRE1110 raw'!F38="..","..",ROUND('FIRE1110 raw'!F38,0))</f>
        <v>46</v>
      </c>
      <c r="G36" s="4"/>
      <c r="I36" s="12"/>
      <c r="J36" s="12"/>
      <c r="L36" s="12"/>
      <c r="M36" s="12"/>
      <c r="O36" s="14"/>
      <c r="P36" s="14"/>
      <c r="Q36" s="14"/>
      <c r="R36" s="14"/>
      <c r="S36" s="14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5" customFormat="1" ht="15" customHeight="1" x14ac:dyDescent="0.3">
      <c r="A37" s="4" t="s">
        <v>44</v>
      </c>
      <c r="B37" s="103">
        <f ca="1">IF('FIRE1110 raw'!B39="..","..",ROUND('FIRE1110 raw'!B39,0))</f>
        <v>22</v>
      </c>
      <c r="C37" s="103">
        <f ca="1">IF('FIRE1110 raw'!C39="..","..",ROUND('FIRE1110 raw'!C39,0))</f>
        <v>17</v>
      </c>
      <c r="D37" s="103">
        <f ca="1">IF('FIRE1110 raw'!D39="..","..",ROUND('FIRE1110 raw'!D39,0))</f>
        <v>0</v>
      </c>
      <c r="E37" s="103">
        <f ca="1">IF('FIRE1110 raw'!E39="..","..",ROUND('FIRE1110 raw'!E39,0))</f>
        <v>14</v>
      </c>
      <c r="F37" s="16">
        <f ca="1">IF('FIRE1110 raw'!F39="..","..",ROUND('FIRE1110 raw'!F39,0))</f>
        <v>53</v>
      </c>
      <c r="G37" s="4"/>
      <c r="I37" s="12"/>
      <c r="J37" s="12"/>
      <c r="L37" s="12"/>
      <c r="M37" s="12"/>
      <c r="O37" s="14"/>
      <c r="P37" s="14"/>
      <c r="Q37" s="14"/>
      <c r="R37" s="14"/>
      <c r="S37" s="14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5" customFormat="1" ht="15" customHeight="1" x14ac:dyDescent="0.3">
      <c r="A38" s="4" t="s">
        <v>45</v>
      </c>
      <c r="B38" s="103">
        <f ca="1">IF('FIRE1110 raw'!B40="..","..",ROUND('FIRE1110 raw'!B40,0))</f>
        <v>12</v>
      </c>
      <c r="C38" s="103">
        <f ca="1">IF('FIRE1110 raw'!C40="..","..",ROUND('FIRE1110 raw'!C40,0))</f>
        <v>58</v>
      </c>
      <c r="D38" s="103">
        <f ca="1">IF('FIRE1110 raw'!D40="..","..",ROUND('FIRE1110 raw'!D40,0))</f>
        <v>0</v>
      </c>
      <c r="E38" s="103">
        <f ca="1">IF('FIRE1110 raw'!E40="..","..",ROUND('FIRE1110 raw'!E40,0))</f>
        <v>5</v>
      </c>
      <c r="F38" s="16">
        <f ca="1">IF('FIRE1110 raw'!F40="..","..",ROUND('FIRE1110 raw'!F40,0))</f>
        <v>75</v>
      </c>
      <c r="G38" s="4"/>
      <c r="I38" s="12"/>
      <c r="J38" s="12"/>
      <c r="L38" s="12"/>
      <c r="M38" s="12"/>
      <c r="O38" s="14"/>
      <c r="P38" s="14"/>
      <c r="Q38" s="14"/>
      <c r="R38" s="14"/>
      <c r="S38" s="14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5" customFormat="1" ht="15" customHeight="1" x14ac:dyDescent="0.3">
      <c r="A39" s="4" t="s">
        <v>46</v>
      </c>
      <c r="B39" s="103">
        <f ca="1">IF('FIRE1110 raw'!B41="..","..",ROUND('FIRE1110 raw'!B41,0))</f>
        <v>7</v>
      </c>
      <c r="C39" s="103">
        <f ca="1">IF('FIRE1110 raw'!C41="..","..",ROUND('FIRE1110 raw'!C41,0))</f>
        <v>21</v>
      </c>
      <c r="D39" s="103">
        <f ca="1">IF('FIRE1110 raw'!D41="..","..",ROUND('FIRE1110 raw'!D41,0))</f>
        <v>0</v>
      </c>
      <c r="E39" s="103">
        <f ca="1">IF('FIRE1110 raw'!E41="..","..",ROUND('FIRE1110 raw'!E41,0))</f>
        <v>3</v>
      </c>
      <c r="F39" s="16">
        <f ca="1">IF('FIRE1110 raw'!F41="..","..",ROUND('FIRE1110 raw'!F41,0))</f>
        <v>31</v>
      </c>
      <c r="G39" s="4"/>
      <c r="I39" s="12"/>
      <c r="J39" s="12"/>
      <c r="L39" s="12"/>
      <c r="M39" s="12"/>
      <c r="O39" s="14"/>
      <c r="P39" s="14"/>
      <c r="Q39" s="14"/>
      <c r="R39" s="14"/>
      <c r="S39" s="14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5" customFormat="1" ht="15" customHeight="1" x14ac:dyDescent="0.3">
      <c r="A40" s="4" t="s">
        <v>48</v>
      </c>
      <c r="B40" s="103">
        <f ca="1">IF('FIRE1110 raw'!B42="..","..",ROUND('FIRE1110 raw'!B42,0))</f>
        <v>15</v>
      </c>
      <c r="C40" s="103">
        <f ca="1">IF('FIRE1110 raw'!C42="..","..",ROUND('FIRE1110 raw'!C42,0))</f>
        <v>39</v>
      </c>
      <c r="D40" s="103">
        <f ca="1">IF('FIRE1110 raw'!D42="..","..",ROUND('FIRE1110 raw'!D42,0))</f>
        <v>0</v>
      </c>
      <c r="E40" s="103">
        <f ca="1">IF('FIRE1110 raw'!E42="..","..",ROUND('FIRE1110 raw'!E42,0))</f>
        <v>39</v>
      </c>
      <c r="F40" s="16">
        <f ca="1">IF('FIRE1110 raw'!F42="..","..",ROUND('FIRE1110 raw'!F42,0))</f>
        <v>93</v>
      </c>
      <c r="G40" s="4"/>
      <c r="I40" s="12"/>
      <c r="J40" s="12"/>
      <c r="L40" s="12"/>
      <c r="M40" s="12"/>
      <c r="O40" s="14"/>
      <c r="P40" s="14"/>
      <c r="Q40" s="14"/>
      <c r="R40" s="14"/>
      <c r="S40" s="14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s="5" customFormat="1" ht="15" customHeight="1" x14ac:dyDescent="0.3">
      <c r="A41" s="4" t="s">
        <v>49</v>
      </c>
      <c r="B41" s="103">
        <f ca="1">IF('FIRE1110 raw'!B43="..","..",ROUND('FIRE1110 raw'!B43,0))</f>
        <v>12</v>
      </c>
      <c r="C41" s="103">
        <f ca="1">IF('FIRE1110 raw'!C43="..","..",ROUND('FIRE1110 raw'!C43,0))</f>
        <v>42</v>
      </c>
      <c r="D41" s="103">
        <f ca="1">IF('FIRE1110 raw'!D43="..","..",ROUND('FIRE1110 raw'!D43,0))</f>
        <v>0</v>
      </c>
      <c r="E41" s="103">
        <f ca="1">IF('FIRE1110 raw'!E43="..","..",ROUND('FIRE1110 raw'!E43,0))</f>
        <v>15</v>
      </c>
      <c r="F41" s="16">
        <f ca="1">IF('FIRE1110 raw'!F43="..","..",ROUND('FIRE1110 raw'!F43,0))</f>
        <v>69</v>
      </c>
      <c r="G41" s="4"/>
      <c r="I41" s="12"/>
      <c r="J41" s="12"/>
      <c r="L41" s="12"/>
      <c r="M41" s="12"/>
      <c r="O41" s="14"/>
      <c r="P41" s="14"/>
      <c r="Q41" s="14"/>
      <c r="R41" s="14"/>
      <c r="S41" s="14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s="5" customFormat="1" ht="15" customHeight="1" x14ac:dyDescent="0.3">
      <c r="A42" s="4" t="s">
        <v>50</v>
      </c>
      <c r="B42" s="103">
        <f ca="1">IF('FIRE1110 raw'!B44="..","..",ROUND('FIRE1110 raw'!B44,0))</f>
        <v>47</v>
      </c>
      <c r="C42" s="103">
        <f ca="1">IF('FIRE1110 raw'!C44="..","..",ROUND('FIRE1110 raw'!C44,0))</f>
        <v>7</v>
      </c>
      <c r="D42" s="103">
        <f ca="1">IF('FIRE1110 raw'!D44="..","..",ROUND('FIRE1110 raw'!D44,0))</f>
        <v>6</v>
      </c>
      <c r="E42" s="103">
        <f ca="1">IF('FIRE1110 raw'!E44="..","..",ROUND('FIRE1110 raw'!E44,0))</f>
        <v>9</v>
      </c>
      <c r="F42" s="16">
        <f ca="1">IF('FIRE1110 raw'!F44="..","..",ROUND('FIRE1110 raw'!F44,0))</f>
        <v>69</v>
      </c>
      <c r="G42" s="4"/>
      <c r="I42" s="12"/>
      <c r="J42" s="12"/>
      <c r="L42" s="12"/>
      <c r="M42" s="12"/>
      <c r="O42" s="14"/>
      <c r="P42" s="14"/>
      <c r="Q42" s="14"/>
      <c r="R42" s="14"/>
      <c r="S42" s="14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s="5" customFormat="1" ht="15" customHeight="1" x14ac:dyDescent="0.3">
      <c r="A43" s="4" t="s">
        <v>52</v>
      </c>
      <c r="B43" s="103">
        <f ca="1">IF('FIRE1110 raw'!B45="..","..",ROUND('FIRE1110 raw'!B45,0))</f>
        <v>7</v>
      </c>
      <c r="C43" s="103">
        <f ca="1">IF('FIRE1110 raw'!C45="..","..",ROUND('FIRE1110 raw'!C45,0))</f>
        <v>12</v>
      </c>
      <c r="D43" s="103">
        <f ca="1">IF('FIRE1110 raw'!D45="..","..",ROUND('FIRE1110 raw'!D45,0))</f>
        <v>0</v>
      </c>
      <c r="E43" s="103">
        <f ca="1">IF('FIRE1110 raw'!E45="..","..",ROUND('FIRE1110 raw'!E45,0))</f>
        <v>6</v>
      </c>
      <c r="F43" s="16">
        <f ca="1">IF('FIRE1110 raw'!F45="..","..",ROUND('FIRE1110 raw'!F45,0))</f>
        <v>25</v>
      </c>
      <c r="G43" s="4"/>
      <c r="I43" s="12"/>
      <c r="J43" s="12"/>
      <c r="L43" s="12"/>
      <c r="M43" s="12"/>
      <c r="O43" s="14"/>
      <c r="P43" s="14"/>
      <c r="Q43" s="14"/>
      <c r="R43" s="14"/>
      <c r="S43" s="14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s="5" customFormat="1" ht="15" customHeight="1" x14ac:dyDescent="0.3">
      <c r="A44" s="4" t="s">
        <v>54</v>
      </c>
      <c r="B44" s="103">
        <f ca="1">IF('FIRE1110 raw'!B46="..","..",ROUND('FIRE1110 raw'!B46,0))</f>
        <v>15</v>
      </c>
      <c r="C44" s="103">
        <f ca="1">IF('FIRE1110 raw'!C46="..","..",ROUND('FIRE1110 raw'!C46,0))</f>
        <v>20</v>
      </c>
      <c r="D44" s="103">
        <f ca="1">IF('FIRE1110 raw'!D46="..","..",ROUND('FIRE1110 raw'!D46,0))</f>
        <v>0</v>
      </c>
      <c r="E44" s="103">
        <f ca="1">IF('FIRE1110 raw'!E46="..","..",ROUND('FIRE1110 raw'!E46,0))</f>
        <v>12</v>
      </c>
      <c r="F44" s="16">
        <f ca="1">IF('FIRE1110 raw'!F46="..","..",ROUND('FIRE1110 raw'!F46,0))</f>
        <v>47</v>
      </c>
      <c r="G44" s="4"/>
      <c r="I44" s="12"/>
      <c r="J44" s="12"/>
      <c r="L44" s="12"/>
      <c r="M44" s="12"/>
      <c r="O44" s="14"/>
      <c r="P44" s="14"/>
      <c r="Q44" s="14"/>
      <c r="R44" s="14"/>
      <c r="S44" s="14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s="5" customFormat="1" ht="15" customHeight="1" x14ac:dyDescent="0.3">
      <c r="A45" s="4" t="s">
        <v>33</v>
      </c>
      <c r="B45" s="103">
        <f ca="1">IF('FIRE1110 raw'!B47="..","..",ROUND('FIRE1110 raw'!B47,0))</f>
        <v>0</v>
      </c>
      <c r="C45" s="103">
        <f ca="1">IF('FIRE1110 raw'!C47="..","..",ROUND('FIRE1110 raw'!C47,0))</f>
        <v>1</v>
      </c>
      <c r="D45" s="103">
        <f ca="1">IF('FIRE1110 raw'!D47="..","..",ROUND('FIRE1110 raw'!D47,0))</f>
        <v>0</v>
      </c>
      <c r="E45" s="103">
        <f ca="1">IF('FIRE1110 raw'!E47="..","..",ROUND('FIRE1110 raw'!E47,0))</f>
        <v>0</v>
      </c>
      <c r="F45" s="16">
        <f ca="1">IF('FIRE1110 raw'!F47="..","..",ROUND('FIRE1110 raw'!F47,0))</f>
        <v>1</v>
      </c>
      <c r="G45" s="4"/>
      <c r="I45" s="12"/>
      <c r="J45" s="12"/>
      <c r="L45" s="12"/>
      <c r="M45" s="12"/>
      <c r="O45" s="14"/>
      <c r="P45" s="14"/>
      <c r="Q45" s="14"/>
      <c r="R45" s="14"/>
      <c r="S45" s="14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s="5" customFormat="1" ht="15" customHeight="1" x14ac:dyDescent="0.3">
      <c r="A46" s="51" t="s">
        <v>8</v>
      </c>
      <c r="B46" s="16">
        <f ca="1">IF('FIRE1110 raw'!B48="..","..",ROUND('FIRE1110 raw'!B48,0))</f>
        <v>584</v>
      </c>
      <c r="C46" s="16">
        <f ca="1">IF('FIRE1110 raw'!C48="..","..",ROUND('FIRE1110 raw'!C48,0))</f>
        <v>43</v>
      </c>
      <c r="D46" s="16">
        <f ca="1">IF('FIRE1110 raw'!D48="..","..",ROUND('FIRE1110 raw'!D48,0))</f>
        <v>18</v>
      </c>
      <c r="E46" s="16">
        <f ca="1">IF('FIRE1110 raw'!E48="..","..",ROUND('FIRE1110 raw'!E48,0))</f>
        <v>265</v>
      </c>
      <c r="F46" s="16">
        <f ca="1">IF('FIRE1110 raw'!F48="..","..",ROUND('FIRE1110 raw'!F48,0))</f>
        <v>910</v>
      </c>
      <c r="G46" s="4"/>
      <c r="I46" s="12"/>
      <c r="J46" s="12"/>
      <c r="L46" s="12"/>
      <c r="M46" s="12"/>
      <c r="O46" s="14"/>
      <c r="P46" s="14"/>
      <c r="Q46" s="14"/>
      <c r="R46" s="14"/>
      <c r="S46" s="14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s="5" customFormat="1" ht="15" customHeight="1" x14ac:dyDescent="0.3">
      <c r="A47" s="105" t="s">
        <v>27</v>
      </c>
      <c r="B47" s="103">
        <f ca="1">IF('FIRE1110 raw'!B49="..","..",ROUND('FIRE1110 raw'!B49,0))</f>
        <v>71</v>
      </c>
      <c r="C47" s="103">
        <f ca="1">IF('FIRE1110 raw'!C49="..","..",ROUND('FIRE1110 raw'!C49,0))</f>
        <v>0</v>
      </c>
      <c r="D47" s="103">
        <f ca="1">IF('FIRE1110 raw'!D49="..","..",ROUND('FIRE1110 raw'!D49,0))</f>
        <v>0</v>
      </c>
      <c r="E47" s="103">
        <f ca="1">IF('FIRE1110 raw'!E49="..","..",ROUND('FIRE1110 raw'!E49,0))</f>
        <v>43</v>
      </c>
      <c r="F47" s="16">
        <f ca="1">IF('FIRE1110 raw'!F49="..","..",ROUND('FIRE1110 raw'!F49,0))</f>
        <v>114</v>
      </c>
      <c r="G47" s="4"/>
      <c r="I47" s="12"/>
      <c r="J47" s="12"/>
      <c r="L47" s="12"/>
      <c r="M47" s="12"/>
      <c r="O47" s="14"/>
      <c r="P47" s="14"/>
      <c r="Q47" s="14"/>
      <c r="R47" s="14"/>
      <c r="S47" s="14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s="5" customFormat="1" ht="15" customHeight="1" x14ac:dyDescent="0.3">
      <c r="A48" s="105" t="s">
        <v>38</v>
      </c>
      <c r="B48" s="103">
        <f ca="1">IF('FIRE1110 raw'!B50="..","..",ROUND('FIRE1110 raw'!B50,0))</f>
        <v>49</v>
      </c>
      <c r="C48" s="103">
        <f ca="1">IF('FIRE1110 raw'!C50="..","..",ROUND('FIRE1110 raw'!C50,0))</f>
        <v>11</v>
      </c>
      <c r="D48" s="103">
        <f ca="1">IF('FIRE1110 raw'!D50="..","..",ROUND('FIRE1110 raw'!D50,0))</f>
        <v>2</v>
      </c>
      <c r="E48" s="103">
        <f ca="1">IF('FIRE1110 raw'!E50="..","..",ROUND('FIRE1110 raw'!E50,0))</f>
        <v>48</v>
      </c>
      <c r="F48" s="16">
        <f ca="1">IF('FIRE1110 raw'!F50="..","..",ROUND('FIRE1110 raw'!F50,0))</f>
        <v>110</v>
      </c>
      <c r="G48" s="4"/>
      <c r="I48" s="12"/>
      <c r="J48" s="12"/>
      <c r="L48" s="12"/>
      <c r="M48" s="12"/>
      <c r="O48" s="14"/>
      <c r="P48" s="14"/>
      <c r="Q48" s="14"/>
      <c r="R48" s="14"/>
      <c r="S48" s="14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s="5" customFormat="1" ht="15" customHeight="1" x14ac:dyDescent="0.3">
      <c r="A49" s="105" t="s">
        <v>47</v>
      </c>
      <c r="B49" s="103">
        <f ca="1">IF('FIRE1110 raw'!B51="..","..",ROUND('FIRE1110 raw'!B51,0))</f>
        <v>30</v>
      </c>
      <c r="C49" s="103">
        <f ca="1">IF('FIRE1110 raw'!C51="..","..",ROUND('FIRE1110 raw'!C51,0))</f>
        <v>18</v>
      </c>
      <c r="D49" s="103">
        <f ca="1">IF('FIRE1110 raw'!D51="..","..",ROUND('FIRE1110 raw'!D51,0))</f>
        <v>1</v>
      </c>
      <c r="E49" s="103">
        <f ca="1">IF('FIRE1110 raw'!E51="..","..",ROUND('FIRE1110 raw'!E51,0))</f>
        <v>38</v>
      </c>
      <c r="F49" s="16">
        <f ca="1">IF('FIRE1110 raw'!F51="..","..",ROUND('FIRE1110 raw'!F51,0))</f>
        <v>87</v>
      </c>
      <c r="G49" s="4"/>
      <c r="I49" s="12"/>
      <c r="J49" s="12"/>
      <c r="L49" s="12"/>
      <c r="M49" s="12"/>
      <c r="O49" s="14"/>
      <c r="P49" s="14"/>
      <c r="Q49" s="14"/>
      <c r="R49" s="14"/>
      <c r="S49" s="14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s="5" customFormat="1" ht="15" customHeight="1" x14ac:dyDescent="0.3">
      <c r="A50" s="105" t="s">
        <v>51</v>
      </c>
      <c r="B50" s="103">
        <f ca="1">IF('FIRE1110 raw'!B52="..","..",ROUND('FIRE1110 raw'!B52,0))</f>
        <v>65</v>
      </c>
      <c r="C50" s="103">
        <f ca="1">IF('FIRE1110 raw'!C52="..","..",ROUND('FIRE1110 raw'!C52,0))</f>
        <v>0</v>
      </c>
      <c r="D50" s="103">
        <f ca="1">IF('FIRE1110 raw'!D52="..","..",ROUND('FIRE1110 raw'!D52,0))</f>
        <v>1</v>
      </c>
      <c r="E50" s="103">
        <f ca="1">IF('FIRE1110 raw'!E52="..","..",ROUND('FIRE1110 raw'!E52,0))</f>
        <v>15</v>
      </c>
      <c r="F50" s="16">
        <f ca="1">IF('FIRE1110 raw'!F52="..","..",ROUND('FIRE1110 raw'!F52,0))</f>
        <v>81</v>
      </c>
      <c r="G50" s="4"/>
      <c r="I50" s="12"/>
      <c r="J50" s="12"/>
      <c r="L50" s="12"/>
      <c r="M50" s="12"/>
      <c r="O50" s="14"/>
      <c r="P50" s="14"/>
      <c r="Q50" s="14"/>
      <c r="R50" s="14"/>
      <c r="S50" s="14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s="5" customFormat="1" ht="15" customHeight="1" x14ac:dyDescent="0.3">
      <c r="A51" s="105" t="s">
        <v>53</v>
      </c>
      <c r="B51" s="103">
        <f ca="1">IF('FIRE1110 raw'!B53="..","..",ROUND('FIRE1110 raw'!B53,0))</f>
        <v>88</v>
      </c>
      <c r="C51" s="103">
        <f ca="1">IF('FIRE1110 raw'!C53="..","..",ROUND('FIRE1110 raw'!C53,0))</f>
        <v>0</v>
      </c>
      <c r="D51" s="103">
        <f ca="1">IF('FIRE1110 raw'!D53="..","..",ROUND('FIRE1110 raw'!D53,0))</f>
        <v>5</v>
      </c>
      <c r="E51" s="103">
        <f ca="1">IF('FIRE1110 raw'!E53="..","..",ROUND('FIRE1110 raw'!E53,0))</f>
        <v>31</v>
      </c>
      <c r="F51" s="16">
        <f ca="1">IF('FIRE1110 raw'!F53="..","..",ROUND('FIRE1110 raw'!F53,0))</f>
        <v>124</v>
      </c>
      <c r="G51" s="4"/>
      <c r="I51" s="12"/>
      <c r="J51" s="12"/>
      <c r="L51" s="12"/>
      <c r="M51" s="12"/>
      <c r="O51" s="14"/>
      <c r="P51" s="14"/>
      <c r="Q51" s="14"/>
      <c r="R51" s="14"/>
      <c r="S51" s="14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s="5" customFormat="1" ht="15" customHeight="1" x14ac:dyDescent="0.3">
      <c r="A52" s="105" t="s">
        <v>55</v>
      </c>
      <c r="B52" s="103">
        <f ca="1">IF('FIRE1110 raw'!B54="..","..",ROUND('FIRE1110 raw'!B54,0))</f>
        <v>49</v>
      </c>
      <c r="C52" s="103">
        <f ca="1">IF('FIRE1110 raw'!C54="..","..",ROUND('FIRE1110 raw'!C54,0))</f>
        <v>14</v>
      </c>
      <c r="D52" s="103">
        <f ca="1">IF('FIRE1110 raw'!D54="..","..",ROUND('FIRE1110 raw'!D54,0))</f>
        <v>1</v>
      </c>
      <c r="E52" s="103">
        <f ca="1">IF('FIRE1110 raw'!E54="..","..",ROUND('FIRE1110 raw'!E54,0))</f>
        <v>17</v>
      </c>
      <c r="F52" s="16">
        <f ca="1">IF('FIRE1110 raw'!F54="..","..",ROUND('FIRE1110 raw'!F54,0))</f>
        <v>81</v>
      </c>
      <c r="G52" s="4"/>
      <c r="I52" s="12"/>
      <c r="J52" s="12"/>
      <c r="K52" s="4"/>
      <c r="L52" s="12"/>
      <c r="M52" s="12"/>
      <c r="O52" s="14"/>
      <c r="P52" s="14"/>
      <c r="Q52" s="14"/>
      <c r="R52" s="14"/>
      <c r="S52" s="14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s="5" customFormat="1" ht="15" customHeight="1" thickBot="1" x14ac:dyDescent="0.35">
      <c r="A53" s="17" t="s">
        <v>26</v>
      </c>
      <c r="B53" s="107">
        <f ca="1">IF('FIRE1110 raw'!B55="..","..",ROUND('FIRE1110 raw'!B55,0))</f>
        <v>232</v>
      </c>
      <c r="C53" s="107">
        <f ca="1">IF('FIRE1110 raw'!C55="..","..",ROUND('FIRE1110 raw'!C55,0))</f>
        <v>0</v>
      </c>
      <c r="D53" s="107">
        <f ca="1">IF('FIRE1110 raw'!D55="..","..",ROUND('FIRE1110 raw'!D55,0))</f>
        <v>8</v>
      </c>
      <c r="E53" s="107">
        <f ca="1">IF('FIRE1110 raw'!E55="..","..",ROUND('FIRE1110 raw'!E55,0))</f>
        <v>73</v>
      </c>
      <c r="F53" s="108">
        <f ca="1">IF('FIRE1110 raw'!F55="..","..",ROUND('FIRE1110 raw'!F55,0))</f>
        <v>313</v>
      </c>
      <c r="G53" s="4"/>
      <c r="I53" s="12"/>
      <c r="J53" s="12"/>
      <c r="K53" s="4"/>
      <c r="L53" s="12"/>
      <c r="M53" s="12"/>
      <c r="O53" s="14"/>
      <c r="P53" s="14"/>
      <c r="Q53" s="14"/>
      <c r="R53" s="14"/>
      <c r="S53" s="14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29.25" customHeight="1" x14ac:dyDescent="0.3">
      <c r="A54" s="102" t="s">
        <v>147</v>
      </c>
      <c r="B54" s="102"/>
      <c r="C54" s="102"/>
      <c r="D54" s="102"/>
      <c r="E54" s="102"/>
      <c r="F54" s="102"/>
      <c r="I54" s="12"/>
      <c r="J54" s="12"/>
      <c r="L54" s="12"/>
      <c r="M54" s="12"/>
      <c r="N54" s="12"/>
      <c r="O54" s="12"/>
      <c r="P54" s="12"/>
      <c r="Q54" s="12"/>
      <c r="R54" s="12"/>
      <c r="S54" s="12"/>
    </row>
    <row r="55" spans="1:31" s="5" customFormat="1" ht="30.45" customHeight="1" x14ac:dyDescent="0.3">
      <c r="A55" s="142" t="s">
        <v>101</v>
      </c>
      <c r="B55" s="102"/>
      <c r="C55" s="102"/>
      <c r="D55" s="102"/>
      <c r="E55" s="102"/>
      <c r="F55" s="102"/>
      <c r="G55" s="4"/>
      <c r="H55" s="4"/>
      <c r="I55" s="12"/>
      <c r="J55" s="12"/>
      <c r="K55" s="4"/>
      <c r="L55" s="12"/>
      <c r="M55" s="12"/>
      <c r="N55" s="12"/>
      <c r="O55" s="12"/>
      <c r="P55" s="12"/>
      <c r="Q55" s="12"/>
      <c r="R55" s="12"/>
      <c r="S55" s="12"/>
    </row>
    <row r="56" spans="1:31" s="5" customFormat="1" x14ac:dyDescent="0.3">
      <c r="A56" s="102" t="s">
        <v>102</v>
      </c>
      <c r="B56" s="102"/>
      <c r="C56" s="102"/>
      <c r="D56" s="102"/>
      <c r="E56" s="102"/>
      <c r="F56" s="102"/>
      <c r="G56" s="4"/>
      <c r="H56" s="4"/>
      <c r="I56" s="12"/>
      <c r="J56" s="12"/>
      <c r="K56" s="4"/>
      <c r="L56" s="12"/>
      <c r="M56" s="12"/>
      <c r="N56" s="12"/>
      <c r="O56" s="12"/>
      <c r="P56" s="12"/>
      <c r="Q56" s="12"/>
      <c r="R56" s="12"/>
      <c r="S56" s="12"/>
    </row>
    <row r="57" spans="1:31" s="5" customFormat="1" ht="27.75" customHeight="1" x14ac:dyDescent="0.3">
      <c r="A57" s="102" t="s">
        <v>6</v>
      </c>
      <c r="B57" s="102"/>
      <c r="C57" s="102"/>
      <c r="D57" s="102"/>
      <c r="E57" s="102"/>
      <c r="F57" s="102"/>
      <c r="K57" s="4"/>
    </row>
    <row r="58" spans="1:31" s="5" customFormat="1" ht="15" customHeight="1" x14ac:dyDescent="0.3">
      <c r="A58" s="140" t="s">
        <v>7</v>
      </c>
      <c r="B58" s="140"/>
      <c r="C58" s="102"/>
      <c r="D58" s="102"/>
      <c r="E58" s="102"/>
      <c r="F58" s="102"/>
      <c r="K58" s="4"/>
    </row>
    <row r="59" spans="1:31" s="5" customFormat="1" ht="21.75" customHeight="1" x14ac:dyDescent="0.3">
      <c r="A59" s="102" t="s">
        <v>103</v>
      </c>
      <c r="B59" s="102"/>
      <c r="C59" s="102"/>
      <c r="D59" s="102"/>
      <c r="E59" s="102"/>
      <c r="F59" s="102"/>
      <c r="K59" s="4"/>
    </row>
    <row r="60" spans="1:31" s="5" customFormat="1" ht="25.5" customHeight="1" x14ac:dyDescent="0.3">
      <c r="A60" s="102" t="s">
        <v>107</v>
      </c>
      <c r="B60" s="102"/>
      <c r="C60" s="102"/>
      <c r="D60" s="102"/>
      <c r="F60" s="138"/>
      <c r="K60" s="4"/>
    </row>
    <row r="61" spans="1:31" s="5" customFormat="1" ht="14.55" customHeight="1" x14ac:dyDescent="0.3">
      <c r="A61" s="143" t="s">
        <v>145</v>
      </c>
      <c r="B61" s="102"/>
      <c r="C61" s="102"/>
      <c r="D61" s="7"/>
      <c r="F61" s="138"/>
      <c r="K61" s="4"/>
    </row>
    <row r="62" spans="1:31" x14ac:dyDescent="0.3">
      <c r="A62" s="170" t="s">
        <v>166</v>
      </c>
      <c r="B62" s="102"/>
      <c r="C62" s="102"/>
      <c r="D62" s="102"/>
      <c r="E62" s="102"/>
      <c r="F62" s="102"/>
    </row>
    <row r="63" spans="1:31" x14ac:dyDescent="0.3">
      <c r="A63" s="102"/>
      <c r="B63" s="102"/>
      <c r="C63" s="102"/>
      <c r="D63" s="102"/>
      <c r="E63" s="102"/>
      <c r="F63" s="102"/>
    </row>
    <row r="64" spans="1:31" x14ac:dyDescent="0.3">
      <c r="A64" s="102"/>
      <c r="B64" s="102"/>
      <c r="C64" s="102"/>
      <c r="D64" s="102"/>
      <c r="E64" s="102"/>
      <c r="F64" s="102"/>
    </row>
    <row r="65" spans="1:10" x14ac:dyDescent="0.3">
      <c r="A65" s="102"/>
      <c r="B65" s="102"/>
      <c r="C65" s="102"/>
      <c r="D65" s="102"/>
      <c r="E65" s="102"/>
      <c r="F65" s="102"/>
    </row>
    <row r="68" spans="1:10" x14ac:dyDescent="0.3">
      <c r="I68" s="4" t="s">
        <v>100</v>
      </c>
      <c r="J68" s="5"/>
    </row>
    <row r="69" spans="1:10" x14ac:dyDescent="0.3">
      <c r="I69" s="4" t="s">
        <v>76</v>
      </c>
    </row>
    <row r="70" spans="1:10" x14ac:dyDescent="0.3">
      <c r="I70" s="4" t="s">
        <v>77</v>
      </c>
    </row>
    <row r="71" spans="1:10" x14ac:dyDescent="0.3">
      <c r="I71" s="4" t="s">
        <v>78</v>
      </c>
    </row>
    <row r="72" spans="1:10" x14ac:dyDescent="0.3">
      <c r="I72" s="4" t="s">
        <v>79</v>
      </c>
    </row>
    <row r="73" spans="1:10" x14ac:dyDescent="0.3">
      <c r="I73" s="4" t="s">
        <v>72</v>
      </c>
    </row>
    <row r="74" spans="1:10" x14ac:dyDescent="0.3">
      <c r="I74" s="4" t="s">
        <v>57</v>
      </c>
    </row>
    <row r="75" spans="1:10" x14ac:dyDescent="0.3">
      <c r="I75" s="4" t="s">
        <v>106</v>
      </c>
    </row>
    <row r="76" spans="1:10" x14ac:dyDescent="0.3">
      <c r="I76" s="4" t="s">
        <v>109</v>
      </c>
    </row>
    <row r="77" spans="1:10" x14ac:dyDescent="0.3">
      <c r="I77" s="4" t="s">
        <v>143</v>
      </c>
    </row>
    <row r="78" spans="1:10" x14ac:dyDescent="0.3">
      <c r="I78" s="4" t="s">
        <v>150</v>
      </c>
    </row>
    <row r="79" spans="1:10" x14ac:dyDescent="0.3">
      <c r="I79" s="4" t="s">
        <v>171</v>
      </c>
    </row>
  </sheetData>
  <dataValidations count="1">
    <dataValidation type="list" allowBlank="1" showInputMessage="1" showErrorMessage="1" sqref="A3" xr:uid="{00000000-0002-0000-0A00-000000000000}">
      <formula1>$I$68:$I$79</formula1>
    </dataValidation>
  </dataValidations>
  <hyperlinks>
    <hyperlink ref="A58" r:id="rId1" xr:uid="{00000000-0004-0000-0A00-000000000000}"/>
    <hyperlink ref="A61" r:id="rId2" xr:uid="{00000000-0004-0000-0A00-000001000000}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2:F22"/>
  <sheetViews>
    <sheetView workbookViewId="0">
      <selection activeCell="A23" sqref="A23"/>
    </sheetView>
  </sheetViews>
  <sheetFormatPr defaultRowHeight="14.4" x14ac:dyDescent="0.3"/>
  <sheetData>
    <row r="2" spans="1:6" x14ac:dyDescent="0.3">
      <c r="B2" s="106"/>
      <c r="C2" s="106"/>
    </row>
    <row r="5" spans="1:6" x14ac:dyDescent="0.3">
      <c r="B5" s="109"/>
      <c r="C5" s="109"/>
      <c r="D5" s="110"/>
      <c r="E5" s="109"/>
    </row>
    <row r="6" spans="1:6" x14ac:dyDescent="0.3">
      <c r="B6" s="109"/>
      <c r="C6" s="109"/>
      <c r="D6" s="110"/>
      <c r="E6" s="109"/>
    </row>
    <row r="7" spans="1:6" x14ac:dyDescent="0.3">
      <c r="B7" s="109"/>
      <c r="C7" s="109"/>
      <c r="D7" s="110"/>
      <c r="E7" s="109"/>
    </row>
    <row r="8" spans="1:6" x14ac:dyDescent="0.3">
      <c r="B8" s="109"/>
      <c r="C8" s="109"/>
      <c r="D8" s="110"/>
      <c r="E8" s="109"/>
    </row>
    <row r="9" spans="1:6" x14ac:dyDescent="0.3">
      <c r="B9" s="109"/>
      <c r="C9" s="109"/>
      <c r="D9" s="110"/>
      <c r="E9" s="109"/>
    </row>
    <row r="10" spans="1:6" x14ac:dyDescent="0.3">
      <c r="B10" s="109"/>
      <c r="C10" s="109"/>
      <c r="D10" s="110"/>
      <c r="E10" s="109"/>
    </row>
    <row r="11" spans="1:6" x14ac:dyDescent="0.3">
      <c r="B11" s="109"/>
      <c r="C11" s="109"/>
      <c r="D11" s="110"/>
      <c r="E11" s="109"/>
    </row>
    <row r="12" spans="1:6" x14ac:dyDescent="0.3">
      <c r="B12" s="109"/>
      <c r="C12" s="109"/>
      <c r="D12" s="110"/>
      <c r="E12" s="109"/>
    </row>
    <row r="13" spans="1:6" x14ac:dyDescent="0.3">
      <c r="A13">
        <v>2010</v>
      </c>
      <c r="B13" s="109" t="s">
        <v>100</v>
      </c>
      <c r="C13" s="110">
        <f>'(2009-10)'!G3</f>
        <v>3778</v>
      </c>
      <c r="D13" s="110">
        <v>55655</v>
      </c>
      <c r="E13" s="111">
        <f>C13/D13</f>
        <v>6.7882490342287299E-2</v>
      </c>
    </row>
    <row r="14" spans="1:6" x14ac:dyDescent="0.3">
      <c r="A14">
        <v>2011</v>
      </c>
      <c r="B14" s="109" t="s">
        <v>76</v>
      </c>
      <c r="C14" s="110">
        <f>'(2010-11)'!G3</f>
        <v>3936</v>
      </c>
      <c r="D14" s="110">
        <v>54264</v>
      </c>
      <c r="E14" s="111">
        <f t="shared" ref="E14:E21" si="0">C14/D14</f>
        <v>7.2534276868642195E-2</v>
      </c>
      <c r="F14" s="118">
        <f>E14-E13</f>
        <v>4.6517865263548952E-3</v>
      </c>
    </row>
    <row r="15" spans="1:6" x14ac:dyDescent="0.3">
      <c r="A15">
        <v>2012</v>
      </c>
      <c r="B15" s="109" t="s">
        <v>77</v>
      </c>
      <c r="C15" s="110">
        <f>'(2011-12)'!G3</f>
        <v>4230</v>
      </c>
      <c r="D15" s="110">
        <v>52071</v>
      </c>
      <c r="E15" s="111">
        <f t="shared" si="0"/>
        <v>8.1235236504004146E-2</v>
      </c>
      <c r="F15" s="118">
        <f t="shared" ref="F15:F21" si="1">E15-E14</f>
        <v>8.7009596353619517E-3</v>
      </c>
    </row>
    <row r="16" spans="1:6" x14ac:dyDescent="0.3">
      <c r="A16">
        <v>2013</v>
      </c>
      <c r="B16" s="115" t="s">
        <v>78</v>
      </c>
      <c r="C16" s="116">
        <f>'(2012-13)'!G3</f>
        <v>3847</v>
      </c>
      <c r="D16" s="116">
        <v>50463</v>
      </c>
      <c r="E16" s="117">
        <f t="shared" si="0"/>
        <v>7.6234072488754134E-2</v>
      </c>
      <c r="F16" s="118">
        <f t="shared" si="1"/>
        <v>-5.001164015250012E-3</v>
      </c>
    </row>
    <row r="17" spans="1:6" x14ac:dyDescent="0.3">
      <c r="A17">
        <v>2014</v>
      </c>
      <c r="B17" s="109" t="s">
        <v>79</v>
      </c>
      <c r="C17" s="110">
        <f>'(2013-14)'!G3</f>
        <v>4228</v>
      </c>
      <c r="D17" s="110">
        <v>48742</v>
      </c>
      <c r="E17" s="111">
        <f t="shared" si="0"/>
        <v>8.6742439784990355E-2</v>
      </c>
      <c r="F17" s="118">
        <f t="shared" si="1"/>
        <v>1.0508367296236221E-2</v>
      </c>
    </row>
    <row r="18" spans="1:6" x14ac:dyDescent="0.3">
      <c r="A18">
        <v>2015</v>
      </c>
      <c r="B18" s="109" t="s">
        <v>72</v>
      </c>
      <c r="C18" s="110">
        <f>'(2014-15)'!G3</f>
        <v>4213</v>
      </c>
      <c r="D18" s="110">
        <v>47094</v>
      </c>
      <c r="E18" s="111">
        <f t="shared" si="0"/>
        <v>8.9459379114112197E-2</v>
      </c>
      <c r="F18" s="118">
        <f t="shared" si="1"/>
        <v>2.7169393291218424E-3</v>
      </c>
    </row>
    <row r="19" spans="1:6" x14ac:dyDescent="0.3">
      <c r="A19">
        <v>2016</v>
      </c>
      <c r="B19" s="109" t="s">
        <v>57</v>
      </c>
      <c r="C19" s="110">
        <f>'(2015-16)'!G3</f>
        <v>4333</v>
      </c>
      <c r="D19" s="110">
        <v>45393</v>
      </c>
      <c r="E19" s="111">
        <f t="shared" si="0"/>
        <v>9.5455246403630511E-2</v>
      </c>
      <c r="F19" s="118">
        <f t="shared" si="1"/>
        <v>5.995867289518314E-3</v>
      </c>
    </row>
    <row r="20" spans="1:6" x14ac:dyDescent="0.3">
      <c r="A20">
        <v>2017</v>
      </c>
      <c r="B20" s="115" t="s">
        <v>106</v>
      </c>
      <c r="C20" s="116">
        <f>'(2016-17)'!G3</f>
        <v>4424.9989999999998</v>
      </c>
      <c r="D20" s="116">
        <v>44226</v>
      </c>
      <c r="E20" s="117">
        <f t="shared" si="0"/>
        <v>0.10005424410979966</v>
      </c>
      <c r="F20" s="118">
        <f t="shared" si="1"/>
        <v>4.5989977061691445E-3</v>
      </c>
    </row>
    <row r="21" spans="1:6" x14ac:dyDescent="0.3">
      <c r="A21">
        <v>2018</v>
      </c>
      <c r="B21" s="112" t="s">
        <v>109</v>
      </c>
      <c r="C21" s="113">
        <f>'(2017-18)'!G3</f>
        <v>3988</v>
      </c>
      <c r="D21" s="113">
        <v>44025</v>
      </c>
      <c r="E21" s="114">
        <f t="shared" si="0"/>
        <v>9.0584894946053374E-2</v>
      </c>
      <c r="F21" s="118">
        <f t="shared" si="1"/>
        <v>-9.4693491637462823E-3</v>
      </c>
    </row>
    <row r="22" spans="1:6" x14ac:dyDescent="0.3">
      <c r="A22" t="s">
        <v>151</v>
      </c>
      <c r="B22" s="109"/>
      <c r="C22" s="109"/>
      <c r="D22" s="109"/>
      <c r="E22" s="10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2"/>
  </sheetPr>
  <dimension ref="A1:I63"/>
  <sheetViews>
    <sheetView showGridLines="0" zoomScale="85" zoomScaleNormal="100" workbookViewId="0">
      <pane xSplit="2" ySplit="2" topLeftCell="C3" activePane="bottomRight" state="frozen"/>
      <selection activeCell="B1" sqref="B1"/>
      <selection pane="topRight" activeCell="C1" sqref="C1"/>
      <selection pane="bottomLeft" activeCell="B4" sqref="B4"/>
      <selection pane="bottomRight" activeCell="C3" sqref="C3"/>
    </sheetView>
  </sheetViews>
  <sheetFormatPr defaultRowHeight="13.2" x14ac:dyDescent="0.3"/>
  <cols>
    <col min="1" max="1" width="3.5546875" style="75" hidden="1" customWidth="1"/>
    <col min="2" max="2" width="27.5546875" style="75" bestFit="1" customWidth="1"/>
    <col min="3" max="3" width="20.21875" style="75" customWidth="1"/>
    <col min="4" max="4" width="21.77734375" style="75" customWidth="1"/>
    <col min="5" max="5" width="18.77734375" style="75" customWidth="1"/>
    <col min="6" max="6" width="21.44140625" style="75" customWidth="1"/>
    <col min="7" max="7" width="26.5546875" style="75" customWidth="1"/>
    <col min="8" max="256" width="9.21875" style="75"/>
    <col min="257" max="257" width="0" style="75" hidden="1" customWidth="1"/>
    <col min="258" max="258" width="27.5546875" style="75" bestFit="1" customWidth="1"/>
    <col min="259" max="259" width="20.21875" style="75" customWidth="1"/>
    <col min="260" max="260" width="21.77734375" style="75" customWidth="1"/>
    <col min="261" max="261" width="18.77734375" style="75" customWidth="1"/>
    <col min="262" max="262" width="21.44140625" style="75" customWidth="1"/>
    <col min="263" max="263" width="26.5546875" style="75" customWidth="1"/>
    <col min="264" max="512" width="9.21875" style="75"/>
    <col min="513" max="513" width="0" style="75" hidden="1" customWidth="1"/>
    <col min="514" max="514" width="27.5546875" style="75" bestFit="1" customWidth="1"/>
    <col min="515" max="515" width="20.21875" style="75" customWidth="1"/>
    <col min="516" max="516" width="21.77734375" style="75" customWidth="1"/>
    <col min="517" max="517" width="18.77734375" style="75" customWidth="1"/>
    <col min="518" max="518" width="21.44140625" style="75" customWidth="1"/>
    <col min="519" max="519" width="26.5546875" style="75" customWidth="1"/>
    <col min="520" max="768" width="9.21875" style="75"/>
    <col min="769" max="769" width="0" style="75" hidden="1" customWidth="1"/>
    <col min="770" max="770" width="27.5546875" style="75" bestFit="1" customWidth="1"/>
    <col min="771" max="771" width="20.21875" style="75" customWidth="1"/>
    <col min="772" max="772" width="21.77734375" style="75" customWidth="1"/>
    <col min="773" max="773" width="18.77734375" style="75" customWidth="1"/>
    <col min="774" max="774" width="21.44140625" style="75" customWidth="1"/>
    <col min="775" max="775" width="26.5546875" style="75" customWidth="1"/>
    <col min="776" max="1024" width="9.21875" style="75"/>
    <col min="1025" max="1025" width="0" style="75" hidden="1" customWidth="1"/>
    <col min="1026" max="1026" width="27.5546875" style="75" bestFit="1" customWidth="1"/>
    <col min="1027" max="1027" width="20.21875" style="75" customWidth="1"/>
    <col min="1028" max="1028" width="21.77734375" style="75" customWidth="1"/>
    <col min="1029" max="1029" width="18.77734375" style="75" customWidth="1"/>
    <col min="1030" max="1030" width="21.44140625" style="75" customWidth="1"/>
    <col min="1031" max="1031" width="26.5546875" style="75" customWidth="1"/>
    <col min="1032" max="1280" width="9.21875" style="75"/>
    <col min="1281" max="1281" width="0" style="75" hidden="1" customWidth="1"/>
    <col min="1282" max="1282" width="27.5546875" style="75" bestFit="1" customWidth="1"/>
    <col min="1283" max="1283" width="20.21875" style="75" customWidth="1"/>
    <col min="1284" max="1284" width="21.77734375" style="75" customWidth="1"/>
    <col min="1285" max="1285" width="18.77734375" style="75" customWidth="1"/>
    <col min="1286" max="1286" width="21.44140625" style="75" customWidth="1"/>
    <col min="1287" max="1287" width="26.5546875" style="75" customWidth="1"/>
    <col min="1288" max="1536" width="9.21875" style="75"/>
    <col min="1537" max="1537" width="0" style="75" hidden="1" customWidth="1"/>
    <col min="1538" max="1538" width="27.5546875" style="75" bestFit="1" customWidth="1"/>
    <col min="1539" max="1539" width="20.21875" style="75" customWidth="1"/>
    <col min="1540" max="1540" width="21.77734375" style="75" customWidth="1"/>
    <col min="1541" max="1541" width="18.77734375" style="75" customWidth="1"/>
    <col min="1542" max="1542" width="21.44140625" style="75" customWidth="1"/>
    <col min="1543" max="1543" width="26.5546875" style="75" customWidth="1"/>
    <col min="1544" max="1792" width="9.21875" style="75"/>
    <col min="1793" max="1793" width="0" style="75" hidden="1" customWidth="1"/>
    <col min="1794" max="1794" width="27.5546875" style="75" bestFit="1" customWidth="1"/>
    <col min="1795" max="1795" width="20.21875" style="75" customWidth="1"/>
    <col min="1796" max="1796" width="21.77734375" style="75" customWidth="1"/>
    <col min="1797" max="1797" width="18.77734375" style="75" customWidth="1"/>
    <col min="1798" max="1798" width="21.44140625" style="75" customWidth="1"/>
    <col min="1799" max="1799" width="26.5546875" style="75" customWidth="1"/>
    <col min="1800" max="2048" width="9.21875" style="75"/>
    <col min="2049" max="2049" width="0" style="75" hidden="1" customWidth="1"/>
    <col min="2050" max="2050" width="27.5546875" style="75" bestFit="1" customWidth="1"/>
    <col min="2051" max="2051" width="20.21875" style="75" customWidth="1"/>
    <col min="2052" max="2052" width="21.77734375" style="75" customWidth="1"/>
    <col min="2053" max="2053" width="18.77734375" style="75" customWidth="1"/>
    <col min="2054" max="2054" width="21.44140625" style="75" customWidth="1"/>
    <col min="2055" max="2055" width="26.5546875" style="75" customWidth="1"/>
    <col min="2056" max="2304" width="9.21875" style="75"/>
    <col min="2305" max="2305" width="0" style="75" hidden="1" customWidth="1"/>
    <col min="2306" max="2306" width="27.5546875" style="75" bestFit="1" customWidth="1"/>
    <col min="2307" max="2307" width="20.21875" style="75" customWidth="1"/>
    <col min="2308" max="2308" width="21.77734375" style="75" customWidth="1"/>
    <col min="2309" max="2309" width="18.77734375" style="75" customWidth="1"/>
    <col min="2310" max="2310" width="21.44140625" style="75" customWidth="1"/>
    <col min="2311" max="2311" width="26.5546875" style="75" customWidth="1"/>
    <col min="2312" max="2560" width="9.21875" style="75"/>
    <col min="2561" max="2561" width="0" style="75" hidden="1" customWidth="1"/>
    <col min="2562" max="2562" width="27.5546875" style="75" bestFit="1" customWidth="1"/>
    <col min="2563" max="2563" width="20.21875" style="75" customWidth="1"/>
    <col min="2564" max="2564" width="21.77734375" style="75" customWidth="1"/>
    <col min="2565" max="2565" width="18.77734375" style="75" customWidth="1"/>
    <col min="2566" max="2566" width="21.44140625" style="75" customWidth="1"/>
    <col min="2567" max="2567" width="26.5546875" style="75" customWidth="1"/>
    <col min="2568" max="2816" width="9.21875" style="75"/>
    <col min="2817" max="2817" width="0" style="75" hidden="1" customWidth="1"/>
    <col min="2818" max="2818" width="27.5546875" style="75" bestFit="1" customWidth="1"/>
    <col min="2819" max="2819" width="20.21875" style="75" customWidth="1"/>
    <col min="2820" max="2820" width="21.77734375" style="75" customWidth="1"/>
    <col min="2821" max="2821" width="18.77734375" style="75" customWidth="1"/>
    <col min="2822" max="2822" width="21.44140625" style="75" customWidth="1"/>
    <col min="2823" max="2823" width="26.5546875" style="75" customWidth="1"/>
    <col min="2824" max="3072" width="9.21875" style="75"/>
    <col min="3073" max="3073" width="0" style="75" hidden="1" customWidth="1"/>
    <col min="3074" max="3074" width="27.5546875" style="75" bestFit="1" customWidth="1"/>
    <col min="3075" max="3075" width="20.21875" style="75" customWidth="1"/>
    <col min="3076" max="3076" width="21.77734375" style="75" customWidth="1"/>
    <col min="3077" max="3077" width="18.77734375" style="75" customWidth="1"/>
    <col min="3078" max="3078" width="21.44140625" style="75" customWidth="1"/>
    <col min="3079" max="3079" width="26.5546875" style="75" customWidth="1"/>
    <col min="3080" max="3328" width="9.21875" style="75"/>
    <col min="3329" max="3329" width="0" style="75" hidden="1" customWidth="1"/>
    <col min="3330" max="3330" width="27.5546875" style="75" bestFit="1" customWidth="1"/>
    <col min="3331" max="3331" width="20.21875" style="75" customWidth="1"/>
    <col min="3332" max="3332" width="21.77734375" style="75" customWidth="1"/>
    <col min="3333" max="3333" width="18.77734375" style="75" customWidth="1"/>
    <col min="3334" max="3334" width="21.44140625" style="75" customWidth="1"/>
    <col min="3335" max="3335" width="26.5546875" style="75" customWidth="1"/>
    <col min="3336" max="3584" width="9.21875" style="75"/>
    <col min="3585" max="3585" width="0" style="75" hidden="1" customWidth="1"/>
    <col min="3586" max="3586" width="27.5546875" style="75" bestFit="1" customWidth="1"/>
    <col min="3587" max="3587" width="20.21875" style="75" customWidth="1"/>
    <col min="3588" max="3588" width="21.77734375" style="75" customWidth="1"/>
    <col min="3589" max="3589" width="18.77734375" style="75" customWidth="1"/>
    <col min="3590" max="3590" width="21.44140625" style="75" customWidth="1"/>
    <col min="3591" max="3591" width="26.5546875" style="75" customWidth="1"/>
    <col min="3592" max="3840" width="9.21875" style="75"/>
    <col min="3841" max="3841" width="0" style="75" hidden="1" customWidth="1"/>
    <col min="3842" max="3842" width="27.5546875" style="75" bestFit="1" customWidth="1"/>
    <col min="3843" max="3843" width="20.21875" style="75" customWidth="1"/>
    <col min="3844" max="3844" width="21.77734375" style="75" customWidth="1"/>
    <col min="3845" max="3845" width="18.77734375" style="75" customWidth="1"/>
    <col min="3846" max="3846" width="21.44140625" style="75" customWidth="1"/>
    <col min="3847" max="3847" width="26.5546875" style="75" customWidth="1"/>
    <col min="3848" max="4096" width="9.21875" style="75"/>
    <col min="4097" max="4097" width="0" style="75" hidden="1" customWidth="1"/>
    <col min="4098" max="4098" width="27.5546875" style="75" bestFit="1" customWidth="1"/>
    <col min="4099" max="4099" width="20.21875" style="75" customWidth="1"/>
    <col min="4100" max="4100" width="21.77734375" style="75" customWidth="1"/>
    <col min="4101" max="4101" width="18.77734375" style="75" customWidth="1"/>
    <col min="4102" max="4102" width="21.44140625" style="75" customWidth="1"/>
    <col min="4103" max="4103" width="26.5546875" style="75" customWidth="1"/>
    <col min="4104" max="4352" width="9.21875" style="75"/>
    <col min="4353" max="4353" width="0" style="75" hidden="1" customWidth="1"/>
    <col min="4354" max="4354" width="27.5546875" style="75" bestFit="1" customWidth="1"/>
    <col min="4355" max="4355" width="20.21875" style="75" customWidth="1"/>
    <col min="4356" max="4356" width="21.77734375" style="75" customWidth="1"/>
    <col min="4357" max="4357" width="18.77734375" style="75" customWidth="1"/>
    <col min="4358" max="4358" width="21.44140625" style="75" customWidth="1"/>
    <col min="4359" max="4359" width="26.5546875" style="75" customWidth="1"/>
    <col min="4360" max="4608" width="9.21875" style="75"/>
    <col min="4609" max="4609" width="0" style="75" hidden="1" customWidth="1"/>
    <col min="4610" max="4610" width="27.5546875" style="75" bestFit="1" customWidth="1"/>
    <col min="4611" max="4611" width="20.21875" style="75" customWidth="1"/>
    <col min="4612" max="4612" width="21.77734375" style="75" customWidth="1"/>
    <col min="4613" max="4613" width="18.77734375" style="75" customWidth="1"/>
    <col min="4614" max="4614" width="21.44140625" style="75" customWidth="1"/>
    <col min="4615" max="4615" width="26.5546875" style="75" customWidth="1"/>
    <col min="4616" max="4864" width="9.21875" style="75"/>
    <col min="4865" max="4865" width="0" style="75" hidden="1" customWidth="1"/>
    <col min="4866" max="4866" width="27.5546875" style="75" bestFit="1" customWidth="1"/>
    <col min="4867" max="4867" width="20.21875" style="75" customWidth="1"/>
    <col min="4868" max="4868" width="21.77734375" style="75" customWidth="1"/>
    <col min="4869" max="4869" width="18.77734375" style="75" customWidth="1"/>
    <col min="4870" max="4870" width="21.44140625" style="75" customWidth="1"/>
    <col min="4871" max="4871" width="26.5546875" style="75" customWidth="1"/>
    <col min="4872" max="5120" width="9.21875" style="75"/>
    <col min="5121" max="5121" width="0" style="75" hidden="1" customWidth="1"/>
    <col min="5122" max="5122" width="27.5546875" style="75" bestFit="1" customWidth="1"/>
    <col min="5123" max="5123" width="20.21875" style="75" customWidth="1"/>
    <col min="5124" max="5124" width="21.77734375" style="75" customWidth="1"/>
    <col min="5125" max="5125" width="18.77734375" style="75" customWidth="1"/>
    <col min="5126" max="5126" width="21.44140625" style="75" customWidth="1"/>
    <col min="5127" max="5127" width="26.5546875" style="75" customWidth="1"/>
    <col min="5128" max="5376" width="9.21875" style="75"/>
    <col min="5377" max="5377" width="0" style="75" hidden="1" customWidth="1"/>
    <col min="5378" max="5378" width="27.5546875" style="75" bestFit="1" customWidth="1"/>
    <col min="5379" max="5379" width="20.21875" style="75" customWidth="1"/>
    <col min="5380" max="5380" width="21.77734375" style="75" customWidth="1"/>
    <col min="5381" max="5381" width="18.77734375" style="75" customWidth="1"/>
    <col min="5382" max="5382" width="21.44140625" style="75" customWidth="1"/>
    <col min="5383" max="5383" width="26.5546875" style="75" customWidth="1"/>
    <col min="5384" max="5632" width="9.21875" style="75"/>
    <col min="5633" max="5633" width="0" style="75" hidden="1" customWidth="1"/>
    <col min="5634" max="5634" width="27.5546875" style="75" bestFit="1" customWidth="1"/>
    <col min="5635" max="5635" width="20.21875" style="75" customWidth="1"/>
    <col min="5636" max="5636" width="21.77734375" style="75" customWidth="1"/>
    <col min="5637" max="5637" width="18.77734375" style="75" customWidth="1"/>
    <col min="5638" max="5638" width="21.44140625" style="75" customWidth="1"/>
    <col min="5639" max="5639" width="26.5546875" style="75" customWidth="1"/>
    <col min="5640" max="5888" width="9.21875" style="75"/>
    <col min="5889" max="5889" width="0" style="75" hidden="1" customWidth="1"/>
    <col min="5890" max="5890" width="27.5546875" style="75" bestFit="1" customWidth="1"/>
    <col min="5891" max="5891" width="20.21875" style="75" customWidth="1"/>
    <col min="5892" max="5892" width="21.77734375" style="75" customWidth="1"/>
    <col min="5893" max="5893" width="18.77734375" style="75" customWidth="1"/>
    <col min="5894" max="5894" width="21.44140625" style="75" customWidth="1"/>
    <col min="5895" max="5895" width="26.5546875" style="75" customWidth="1"/>
    <col min="5896" max="6144" width="9.21875" style="75"/>
    <col min="6145" max="6145" width="0" style="75" hidden="1" customWidth="1"/>
    <col min="6146" max="6146" width="27.5546875" style="75" bestFit="1" customWidth="1"/>
    <col min="6147" max="6147" width="20.21875" style="75" customWidth="1"/>
    <col min="6148" max="6148" width="21.77734375" style="75" customWidth="1"/>
    <col min="6149" max="6149" width="18.77734375" style="75" customWidth="1"/>
    <col min="6150" max="6150" width="21.44140625" style="75" customWidth="1"/>
    <col min="6151" max="6151" width="26.5546875" style="75" customWidth="1"/>
    <col min="6152" max="6400" width="9.21875" style="75"/>
    <col min="6401" max="6401" width="0" style="75" hidden="1" customWidth="1"/>
    <col min="6402" max="6402" width="27.5546875" style="75" bestFit="1" customWidth="1"/>
    <col min="6403" max="6403" width="20.21875" style="75" customWidth="1"/>
    <col min="6404" max="6404" width="21.77734375" style="75" customWidth="1"/>
    <col min="6405" max="6405" width="18.77734375" style="75" customWidth="1"/>
    <col min="6406" max="6406" width="21.44140625" style="75" customWidth="1"/>
    <col min="6407" max="6407" width="26.5546875" style="75" customWidth="1"/>
    <col min="6408" max="6656" width="9.21875" style="75"/>
    <col min="6657" max="6657" width="0" style="75" hidden="1" customWidth="1"/>
    <col min="6658" max="6658" width="27.5546875" style="75" bestFit="1" customWidth="1"/>
    <col min="6659" max="6659" width="20.21875" style="75" customWidth="1"/>
    <col min="6660" max="6660" width="21.77734375" style="75" customWidth="1"/>
    <col min="6661" max="6661" width="18.77734375" style="75" customWidth="1"/>
    <col min="6662" max="6662" width="21.44140625" style="75" customWidth="1"/>
    <col min="6663" max="6663" width="26.5546875" style="75" customWidth="1"/>
    <col min="6664" max="6912" width="9.21875" style="75"/>
    <col min="6913" max="6913" width="0" style="75" hidden="1" customWidth="1"/>
    <col min="6914" max="6914" width="27.5546875" style="75" bestFit="1" customWidth="1"/>
    <col min="6915" max="6915" width="20.21875" style="75" customWidth="1"/>
    <col min="6916" max="6916" width="21.77734375" style="75" customWidth="1"/>
    <col min="6917" max="6917" width="18.77734375" style="75" customWidth="1"/>
    <col min="6918" max="6918" width="21.44140625" style="75" customWidth="1"/>
    <col min="6919" max="6919" width="26.5546875" style="75" customWidth="1"/>
    <col min="6920" max="7168" width="9.21875" style="75"/>
    <col min="7169" max="7169" width="0" style="75" hidden="1" customWidth="1"/>
    <col min="7170" max="7170" width="27.5546875" style="75" bestFit="1" customWidth="1"/>
    <col min="7171" max="7171" width="20.21875" style="75" customWidth="1"/>
    <col min="7172" max="7172" width="21.77734375" style="75" customWidth="1"/>
    <col min="7173" max="7173" width="18.77734375" style="75" customWidth="1"/>
    <col min="7174" max="7174" width="21.44140625" style="75" customWidth="1"/>
    <col min="7175" max="7175" width="26.5546875" style="75" customWidth="1"/>
    <col min="7176" max="7424" width="9.21875" style="75"/>
    <col min="7425" max="7425" width="0" style="75" hidden="1" customWidth="1"/>
    <col min="7426" max="7426" width="27.5546875" style="75" bestFit="1" customWidth="1"/>
    <col min="7427" max="7427" width="20.21875" style="75" customWidth="1"/>
    <col min="7428" max="7428" width="21.77734375" style="75" customWidth="1"/>
    <col min="7429" max="7429" width="18.77734375" style="75" customWidth="1"/>
    <col min="7430" max="7430" width="21.44140625" style="75" customWidth="1"/>
    <col min="7431" max="7431" width="26.5546875" style="75" customWidth="1"/>
    <col min="7432" max="7680" width="9.21875" style="75"/>
    <col min="7681" max="7681" width="0" style="75" hidden="1" customWidth="1"/>
    <col min="7682" max="7682" width="27.5546875" style="75" bestFit="1" customWidth="1"/>
    <col min="7683" max="7683" width="20.21875" style="75" customWidth="1"/>
    <col min="7684" max="7684" width="21.77734375" style="75" customWidth="1"/>
    <col min="7685" max="7685" width="18.77734375" style="75" customWidth="1"/>
    <col min="7686" max="7686" width="21.44140625" style="75" customWidth="1"/>
    <col min="7687" max="7687" width="26.5546875" style="75" customWidth="1"/>
    <col min="7688" max="7936" width="9.21875" style="75"/>
    <col min="7937" max="7937" width="0" style="75" hidden="1" customWidth="1"/>
    <col min="7938" max="7938" width="27.5546875" style="75" bestFit="1" customWidth="1"/>
    <col min="7939" max="7939" width="20.21875" style="75" customWidth="1"/>
    <col min="7940" max="7940" width="21.77734375" style="75" customWidth="1"/>
    <col min="7941" max="7941" width="18.77734375" style="75" customWidth="1"/>
    <col min="7942" max="7942" width="21.44140625" style="75" customWidth="1"/>
    <col min="7943" max="7943" width="26.5546875" style="75" customWidth="1"/>
    <col min="7944" max="8192" width="9.21875" style="75"/>
    <col min="8193" max="8193" width="0" style="75" hidden="1" customWidth="1"/>
    <col min="8194" max="8194" width="27.5546875" style="75" bestFit="1" customWidth="1"/>
    <col min="8195" max="8195" width="20.21875" style="75" customWidth="1"/>
    <col min="8196" max="8196" width="21.77734375" style="75" customWidth="1"/>
    <col min="8197" max="8197" width="18.77734375" style="75" customWidth="1"/>
    <col min="8198" max="8198" width="21.44140625" style="75" customWidth="1"/>
    <col min="8199" max="8199" width="26.5546875" style="75" customWidth="1"/>
    <col min="8200" max="8448" width="9.21875" style="75"/>
    <col min="8449" max="8449" width="0" style="75" hidden="1" customWidth="1"/>
    <col min="8450" max="8450" width="27.5546875" style="75" bestFit="1" customWidth="1"/>
    <col min="8451" max="8451" width="20.21875" style="75" customWidth="1"/>
    <col min="8452" max="8452" width="21.77734375" style="75" customWidth="1"/>
    <col min="8453" max="8453" width="18.77734375" style="75" customWidth="1"/>
    <col min="8454" max="8454" width="21.44140625" style="75" customWidth="1"/>
    <col min="8455" max="8455" width="26.5546875" style="75" customWidth="1"/>
    <col min="8456" max="8704" width="9.21875" style="75"/>
    <col min="8705" max="8705" width="0" style="75" hidden="1" customWidth="1"/>
    <col min="8706" max="8706" width="27.5546875" style="75" bestFit="1" customWidth="1"/>
    <col min="8707" max="8707" width="20.21875" style="75" customWidth="1"/>
    <col min="8708" max="8708" width="21.77734375" style="75" customWidth="1"/>
    <col min="8709" max="8709" width="18.77734375" style="75" customWidth="1"/>
    <col min="8710" max="8710" width="21.44140625" style="75" customWidth="1"/>
    <col min="8711" max="8711" width="26.5546875" style="75" customWidth="1"/>
    <col min="8712" max="8960" width="9.21875" style="75"/>
    <col min="8961" max="8961" width="0" style="75" hidden="1" customWidth="1"/>
    <col min="8962" max="8962" width="27.5546875" style="75" bestFit="1" customWidth="1"/>
    <col min="8963" max="8963" width="20.21875" style="75" customWidth="1"/>
    <col min="8964" max="8964" width="21.77734375" style="75" customWidth="1"/>
    <col min="8965" max="8965" width="18.77734375" style="75" customWidth="1"/>
    <col min="8966" max="8966" width="21.44140625" style="75" customWidth="1"/>
    <col min="8967" max="8967" width="26.5546875" style="75" customWidth="1"/>
    <col min="8968" max="9216" width="9.21875" style="75"/>
    <col min="9217" max="9217" width="0" style="75" hidden="1" customWidth="1"/>
    <col min="9218" max="9218" width="27.5546875" style="75" bestFit="1" customWidth="1"/>
    <col min="9219" max="9219" width="20.21875" style="75" customWidth="1"/>
    <col min="9220" max="9220" width="21.77734375" style="75" customWidth="1"/>
    <col min="9221" max="9221" width="18.77734375" style="75" customWidth="1"/>
    <col min="9222" max="9222" width="21.44140625" style="75" customWidth="1"/>
    <col min="9223" max="9223" width="26.5546875" style="75" customWidth="1"/>
    <col min="9224" max="9472" width="9.21875" style="75"/>
    <col min="9473" max="9473" width="0" style="75" hidden="1" customWidth="1"/>
    <col min="9474" max="9474" width="27.5546875" style="75" bestFit="1" customWidth="1"/>
    <col min="9475" max="9475" width="20.21875" style="75" customWidth="1"/>
    <col min="9476" max="9476" width="21.77734375" style="75" customWidth="1"/>
    <col min="9477" max="9477" width="18.77734375" style="75" customWidth="1"/>
    <col min="9478" max="9478" width="21.44140625" style="75" customWidth="1"/>
    <col min="9479" max="9479" width="26.5546875" style="75" customWidth="1"/>
    <col min="9480" max="9728" width="9.21875" style="75"/>
    <col min="9729" max="9729" width="0" style="75" hidden="1" customWidth="1"/>
    <col min="9730" max="9730" width="27.5546875" style="75" bestFit="1" customWidth="1"/>
    <col min="9731" max="9731" width="20.21875" style="75" customWidth="1"/>
    <col min="9732" max="9732" width="21.77734375" style="75" customWidth="1"/>
    <col min="9733" max="9733" width="18.77734375" style="75" customWidth="1"/>
    <col min="9734" max="9734" width="21.44140625" style="75" customWidth="1"/>
    <col min="9735" max="9735" width="26.5546875" style="75" customWidth="1"/>
    <col min="9736" max="9984" width="9.21875" style="75"/>
    <col min="9985" max="9985" width="0" style="75" hidden="1" customWidth="1"/>
    <col min="9986" max="9986" width="27.5546875" style="75" bestFit="1" customWidth="1"/>
    <col min="9987" max="9987" width="20.21875" style="75" customWidth="1"/>
    <col min="9988" max="9988" width="21.77734375" style="75" customWidth="1"/>
    <col min="9989" max="9989" width="18.77734375" style="75" customWidth="1"/>
    <col min="9990" max="9990" width="21.44140625" style="75" customWidth="1"/>
    <col min="9991" max="9991" width="26.5546875" style="75" customWidth="1"/>
    <col min="9992" max="10240" width="9.21875" style="75"/>
    <col min="10241" max="10241" width="0" style="75" hidden="1" customWidth="1"/>
    <col min="10242" max="10242" width="27.5546875" style="75" bestFit="1" customWidth="1"/>
    <col min="10243" max="10243" width="20.21875" style="75" customWidth="1"/>
    <col min="10244" max="10244" width="21.77734375" style="75" customWidth="1"/>
    <col min="10245" max="10245" width="18.77734375" style="75" customWidth="1"/>
    <col min="10246" max="10246" width="21.44140625" style="75" customWidth="1"/>
    <col min="10247" max="10247" width="26.5546875" style="75" customWidth="1"/>
    <col min="10248" max="10496" width="9.21875" style="75"/>
    <col min="10497" max="10497" width="0" style="75" hidden="1" customWidth="1"/>
    <col min="10498" max="10498" width="27.5546875" style="75" bestFit="1" customWidth="1"/>
    <col min="10499" max="10499" width="20.21875" style="75" customWidth="1"/>
    <col min="10500" max="10500" width="21.77734375" style="75" customWidth="1"/>
    <col min="10501" max="10501" width="18.77734375" style="75" customWidth="1"/>
    <col min="10502" max="10502" width="21.44140625" style="75" customWidth="1"/>
    <col min="10503" max="10503" width="26.5546875" style="75" customWidth="1"/>
    <col min="10504" max="10752" width="9.21875" style="75"/>
    <col min="10753" max="10753" width="0" style="75" hidden="1" customWidth="1"/>
    <col min="10754" max="10754" width="27.5546875" style="75" bestFit="1" customWidth="1"/>
    <col min="10755" max="10755" width="20.21875" style="75" customWidth="1"/>
    <col min="10756" max="10756" width="21.77734375" style="75" customWidth="1"/>
    <col min="10757" max="10757" width="18.77734375" style="75" customWidth="1"/>
    <col min="10758" max="10758" width="21.44140625" style="75" customWidth="1"/>
    <col min="10759" max="10759" width="26.5546875" style="75" customWidth="1"/>
    <col min="10760" max="11008" width="9.21875" style="75"/>
    <col min="11009" max="11009" width="0" style="75" hidden="1" customWidth="1"/>
    <col min="11010" max="11010" width="27.5546875" style="75" bestFit="1" customWidth="1"/>
    <col min="11011" max="11011" width="20.21875" style="75" customWidth="1"/>
    <col min="11012" max="11012" width="21.77734375" style="75" customWidth="1"/>
    <col min="11013" max="11013" width="18.77734375" style="75" customWidth="1"/>
    <col min="11014" max="11014" width="21.44140625" style="75" customWidth="1"/>
    <col min="11015" max="11015" width="26.5546875" style="75" customWidth="1"/>
    <col min="11016" max="11264" width="9.21875" style="75"/>
    <col min="11265" max="11265" width="0" style="75" hidden="1" customWidth="1"/>
    <col min="11266" max="11266" width="27.5546875" style="75" bestFit="1" customWidth="1"/>
    <col min="11267" max="11267" width="20.21875" style="75" customWidth="1"/>
    <col min="11268" max="11268" width="21.77734375" style="75" customWidth="1"/>
    <col min="11269" max="11269" width="18.77734375" style="75" customWidth="1"/>
    <col min="11270" max="11270" width="21.44140625" style="75" customWidth="1"/>
    <col min="11271" max="11271" width="26.5546875" style="75" customWidth="1"/>
    <col min="11272" max="11520" width="9.21875" style="75"/>
    <col min="11521" max="11521" width="0" style="75" hidden="1" customWidth="1"/>
    <col min="11522" max="11522" width="27.5546875" style="75" bestFit="1" customWidth="1"/>
    <col min="11523" max="11523" width="20.21875" style="75" customWidth="1"/>
    <col min="11524" max="11524" width="21.77734375" style="75" customWidth="1"/>
    <col min="11525" max="11525" width="18.77734375" style="75" customWidth="1"/>
    <col min="11526" max="11526" width="21.44140625" style="75" customWidth="1"/>
    <col min="11527" max="11527" width="26.5546875" style="75" customWidth="1"/>
    <col min="11528" max="11776" width="9.21875" style="75"/>
    <col min="11777" max="11777" width="0" style="75" hidden="1" customWidth="1"/>
    <col min="11778" max="11778" width="27.5546875" style="75" bestFit="1" customWidth="1"/>
    <col min="11779" max="11779" width="20.21875" style="75" customWidth="1"/>
    <col min="11780" max="11780" width="21.77734375" style="75" customWidth="1"/>
    <col min="11781" max="11781" width="18.77734375" style="75" customWidth="1"/>
    <col min="11782" max="11782" width="21.44140625" style="75" customWidth="1"/>
    <col min="11783" max="11783" width="26.5546875" style="75" customWidth="1"/>
    <col min="11784" max="12032" width="9.21875" style="75"/>
    <col min="12033" max="12033" width="0" style="75" hidden="1" customWidth="1"/>
    <col min="12034" max="12034" width="27.5546875" style="75" bestFit="1" customWidth="1"/>
    <col min="12035" max="12035" width="20.21875" style="75" customWidth="1"/>
    <col min="12036" max="12036" width="21.77734375" style="75" customWidth="1"/>
    <col min="12037" max="12037" width="18.77734375" style="75" customWidth="1"/>
    <col min="12038" max="12038" width="21.44140625" style="75" customWidth="1"/>
    <col min="12039" max="12039" width="26.5546875" style="75" customWidth="1"/>
    <col min="12040" max="12288" width="9.21875" style="75"/>
    <col min="12289" max="12289" width="0" style="75" hidden="1" customWidth="1"/>
    <col min="12290" max="12290" width="27.5546875" style="75" bestFit="1" customWidth="1"/>
    <col min="12291" max="12291" width="20.21875" style="75" customWidth="1"/>
    <col min="12292" max="12292" width="21.77734375" style="75" customWidth="1"/>
    <col min="12293" max="12293" width="18.77734375" style="75" customWidth="1"/>
    <col min="12294" max="12294" width="21.44140625" style="75" customWidth="1"/>
    <col min="12295" max="12295" width="26.5546875" style="75" customWidth="1"/>
    <col min="12296" max="12544" width="9.21875" style="75"/>
    <col min="12545" max="12545" width="0" style="75" hidden="1" customWidth="1"/>
    <col min="12546" max="12546" width="27.5546875" style="75" bestFit="1" customWidth="1"/>
    <col min="12547" max="12547" width="20.21875" style="75" customWidth="1"/>
    <col min="12548" max="12548" width="21.77734375" style="75" customWidth="1"/>
    <col min="12549" max="12549" width="18.77734375" style="75" customWidth="1"/>
    <col min="12550" max="12550" width="21.44140625" style="75" customWidth="1"/>
    <col min="12551" max="12551" width="26.5546875" style="75" customWidth="1"/>
    <col min="12552" max="12800" width="9.21875" style="75"/>
    <col min="12801" max="12801" width="0" style="75" hidden="1" customWidth="1"/>
    <col min="12802" max="12802" width="27.5546875" style="75" bestFit="1" customWidth="1"/>
    <col min="12803" max="12803" width="20.21875" style="75" customWidth="1"/>
    <col min="12804" max="12804" width="21.77734375" style="75" customWidth="1"/>
    <col min="12805" max="12805" width="18.77734375" style="75" customWidth="1"/>
    <col min="12806" max="12806" width="21.44140625" style="75" customWidth="1"/>
    <col min="12807" max="12807" width="26.5546875" style="75" customWidth="1"/>
    <col min="12808" max="13056" width="9.21875" style="75"/>
    <col min="13057" max="13057" width="0" style="75" hidden="1" customWidth="1"/>
    <col min="13058" max="13058" width="27.5546875" style="75" bestFit="1" customWidth="1"/>
    <col min="13059" max="13059" width="20.21875" style="75" customWidth="1"/>
    <col min="13060" max="13060" width="21.77734375" style="75" customWidth="1"/>
    <col min="13061" max="13061" width="18.77734375" style="75" customWidth="1"/>
    <col min="13062" max="13062" width="21.44140625" style="75" customWidth="1"/>
    <col min="13063" max="13063" width="26.5546875" style="75" customWidth="1"/>
    <col min="13064" max="13312" width="9.21875" style="75"/>
    <col min="13313" max="13313" width="0" style="75" hidden="1" customWidth="1"/>
    <col min="13314" max="13314" width="27.5546875" style="75" bestFit="1" customWidth="1"/>
    <col min="13315" max="13315" width="20.21875" style="75" customWidth="1"/>
    <col min="13316" max="13316" width="21.77734375" style="75" customWidth="1"/>
    <col min="13317" max="13317" width="18.77734375" style="75" customWidth="1"/>
    <col min="13318" max="13318" width="21.44140625" style="75" customWidth="1"/>
    <col min="13319" max="13319" width="26.5546875" style="75" customWidth="1"/>
    <col min="13320" max="13568" width="9.21875" style="75"/>
    <col min="13569" max="13569" width="0" style="75" hidden="1" customWidth="1"/>
    <col min="13570" max="13570" width="27.5546875" style="75" bestFit="1" customWidth="1"/>
    <col min="13571" max="13571" width="20.21875" style="75" customWidth="1"/>
    <col min="13572" max="13572" width="21.77734375" style="75" customWidth="1"/>
    <col min="13573" max="13573" width="18.77734375" style="75" customWidth="1"/>
    <col min="13574" max="13574" width="21.44140625" style="75" customWidth="1"/>
    <col min="13575" max="13575" width="26.5546875" style="75" customWidth="1"/>
    <col min="13576" max="13824" width="9.21875" style="75"/>
    <col min="13825" max="13825" width="0" style="75" hidden="1" customWidth="1"/>
    <col min="13826" max="13826" width="27.5546875" style="75" bestFit="1" customWidth="1"/>
    <col min="13827" max="13827" width="20.21875" style="75" customWidth="1"/>
    <col min="13828" max="13828" width="21.77734375" style="75" customWidth="1"/>
    <col min="13829" max="13829" width="18.77734375" style="75" customWidth="1"/>
    <col min="13830" max="13830" width="21.44140625" style="75" customWidth="1"/>
    <col min="13831" max="13831" width="26.5546875" style="75" customWidth="1"/>
    <col min="13832" max="14080" width="9.21875" style="75"/>
    <col min="14081" max="14081" width="0" style="75" hidden="1" customWidth="1"/>
    <col min="14082" max="14082" width="27.5546875" style="75" bestFit="1" customWidth="1"/>
    <col min="14083" max="14083" width="20.21875" style="75" customWidth="1"/>
    <col min="14084" max="14084" width="21.77734375" style="75" customWidth="1"/>
    <col min="14085" max="14085" width="18.77734375" style="75" customWidth="1"/>
    <col min="14086" max="14086" width="21.44140625" style="75" customWidth="1"/>
    <col min="14087" max="14087" width="26.5546875" style="75" customWidth="1"/>
    <col min="14088" max="14336" width="9.21875" style="75"/>
    <col min="14337" max="14337" width="0" style="75" hidden="1" customWidth="1"/>
    <col min="14338" max="14338" width="27.5546875" style="75" bestFit="1" customWidth="1"/>
    <col min="14339" max="14339" width="20.21875" style="75" customWidth="1"/>
    <col min="14340" max="14340" width="21.77734375" style="75" customWidth="1"/>
    <col min="14341" max="14341" width="18.77734375" style="75" customWidth="1"/>
    <col min="14342" max="14342" width="21.44140625" style="75" customWidth="1"/>
    <col min="14343" max="14343" width="26.5546875" style="75" customWidth="1"/>
    <col min="14344" max="14592" width="9.21875" style="75"/>
    <col min="14593" max="14593" width="0" style="75" hidden="1" customWidth="1"/>
    <col min="14594" max="14594" width="27.5546875" style="75" bestFit="1" customWidth="1"/>
    <col min="14595" max="14595" width="20.21875" style="75" customWidth="1"/>
    <col min="14596" max="14596" width="21.77734375" style="75" customWidth="1"/>
    <col min="14597" max="14597" width="18.77734375" style="75" customWidth="1"/>
    <col min="14598" max="14598" width="21.44140625" style="75" customWidth="1"/>
    <col min="14599" max="14599" width="26.5546875" style="75" customWidth="1"/>
    <col min="14600" max="14848" width="9.21875" style="75"/>
    <col min="14849" max="14849" width="0" style="75" hidden="1" customWidth="1"/>
    <col min="14850" max="14850" width="27.5546875" style="75" bestFit="1" customWidth="1"/>
    <col min="14851" max="14851" width="20.21875" style="75" customWidth="1"/>
    <col min="14852" max="14852" width="21.77734375" style="75" customWidth="1"/>
    <col min="14853" max="14853" width="18.77734375" style="75" customWidth="1"/>
    <col min="14854" max="14854" width="21.44140625" style="75" customWidth="1"/>
    <col min="14855" max="14855" width="26.5546875" style="75" customWidth="1"/>
    <col min="14856" max="15104" width="9.21875" style="75"/>
    <col min="15105" max="15105" width="0" style="75" hidden="1" customWidth="1"/>
    <col min="15106" max="15106" width="27.5546875" style="75" bestFit="1" customWidth="1"/>
    <col min="15107" max="15107" width="20.21875" style="75" customWidth="1"/>
    <col min="15108" max="15108" width="21.77734375" style="75" customWidth="1"/>
    <col min="15109" max="15109" width="18.77734375" style="75" customWidth="1"/>
    <col min="15110" max="15110" width="21.44140625" style="75" customWidth="1"/>
    <col min="15111" max="15111" width="26.5546875" style="75" customWidth="1"/>
    <col min="15112" max="15360" width="9.21875" style="75"/>
    <col min="15361" max="15361" width="0" style="75" hidden="1" customWidth="1"/>
    <col min="15362" max="15362" width="27.5546875" style="75" bestFit="1" customWidth="1"/>
    <col min="15363" max="15363" width="20.21875" style="75" customWidth="1"/>
    <col min="15364" max="15364" width="21.77734375" style="75" customWidth="1"/>
    <col min="15365" max="15365" width="18.77734375" style="75" customWidth="1"/>
    <col min="15366" max="15366" width="21.44140625" style="75" customWidth="1"/>
    <col min="15367" max="15367" width="26.5546875" style="75" customWidth="1"/>
    <col min="15368" max="15616" width="9.21875" style="75"/>
    <col min="15617" max="15617" width="0" style="75" hidden="1" customWidth="1"/>
    <col min="15618" max="15618" width="27.5546875" style="75" bestFit="1" customWidth="1"/>
    <col min="15619" max="15619" width="20.21875" style="75" customWidth="1"/>
    <col min="15620" max="15620" width="21.77734375" style="75" customWidth="1"/>
    <col min="15621" max="15621" width="18.77734375" style="75" customWidth="1"/>
    <col min="15622" max="15622" width="21.44140625" style="75" customWidth="1"/>
    <col min="15623" max="15623" width="26.5546875" style="75" customWidth="1"/>
    <col min="15624" max="15872" width="9.21875" style="75"/>
    <col min="15873" max="15873" width="0" style="75" hidden="1" customWidth="1"/>
    <col min="15874" max="15874" width="27.5546875" style="75" bestFit="1" customWidth="1"/>
    <col min="15875" max="15875" width="20.21875" style="75" customWidth="1"/>
    <col min="15876" max="15876" width="21.77734375" style="75" customWidth="1"/>
    <col min="15877" max="15877" width="18.77734375" style="75" customWidth="1"/>
    <col min="15878" max="15878" width="21.44140625" style="75" customWidth="1"/>
    <col min="15879" max="15879" width="26.5546875" style="75" customWidth="1"/>
    <col min="15880" max="16128" width="9.21875" style="75"/>
    <col min="16129" max="16129" width="0" style="75" hidden="1" customWidth="1"/>
    <col min="16130" max="16130" width="27.5546875" style="75" bestFit="1" customWidth="1"/>
    <col min="16131" max="16131" width="20.21875" style="75" customWidth="1"/>
    <col min="16132" max="16132" width="21.77734375" style="75" customWidth="1"/>
    <col min="16133" max="16133" width="18.77734375" style="75" customWidth="1"/>
    <col min="16134" max="16134" width="21.44140625" style="75" customWidth="1"/>
    <col min="16135" max="16135" width="26.5546875" style="75" customWidth="1"/>
    <col min="16136" max="16384" width="9.21875" style="75"/>
  </cols>
  <sheetData>
    <row r="1" spans="1:7" s="54" customFormat="1" ht="41.25" customHeight="1" x14ac:dyDescent="0.3">
      <c r="B1" s="175" t="s">
        <v>73</v>
      </c>
      <c r="C1" s="175"/>
      <c r="D1" s="175"/>
      <c r="E1" s="175"/>
      <c r="F1" s="175"/>
      <c r="G1" s="176"/>
    </row>
    <row r="2" spans="1:7" s="55" customFormat="1" ht="28.5" customHeight="1" x14ac:dyDescent="0.3">
      <c r="C2" s="56" t="s">
        <v>1</v>
      </c>
      <c r="D2" s="56" t="s">
        <v>59</v>
      </c>
      <c r="E2" s="56" t="s">
        <v>60</v>
      </c>
      <c r="F2" s="57" t="s">
        <v>61</v>
      </c>
      <c r="G2" s="58" t="s">
        <v>5</v>
      </c>
    </row>
    <row r="3" spans="1:7" s="55" customFormat="1" ht="28.5" customHeight="1" x14ac:dyDescent="0.3">
      <c r="B3" s="59" t="s">
        <v>0</v>
      </c>
      <c r="C3" s="60">
        <v>1338</v>
      </c>
      <c r="D3" s="60">
        <v>1345</v>
      </c>
      <c r="E3" s="60">
        <v>124</v>
      </c>
      <c r="F3" s="60">
        <v>1129</v>
      </c>
      <c r="G3" s="60">
        <v>3936</v>
      </c>
    </row>
    <row r="4" spans="1:7" s="59" customFormat="1" ht="25.5" customHeight="1" x14ac:dyDescent="0.3">
      <c r="A4" s="61"/>
      <c r="B4" s="59" t="s">
        <v>62</v>
      </c>
      <c r="C4" s="62">
        <v>731</v>
      </c>
      <c r="D4" s="62">
        <v>1315</v>
      </c>
      <c r="E4" s="62">
        <v>91</v>
      </c>
      <c r="F4" s="62">
        <v>657</v>
      </c>
      <c r="G4" s="60">
        <v>2794</v>
      </c>
    </row>
    <row r="5" spans="1:7" s="64" customFormat="1" ht="12.75" customHeight="1" x14ac:dyDescent="0.3">
      <c r="A5" s="63">
        <v>51</v>
      </c>
      <c r="B5" s="64" t="s">
        <v>10</v>
      </c>
      <c r="C5" s="65">
        <v>17</v>
      </c>
      <c r="D5" s="65">
        <v>12</v>
      </c>
      <c r="E5" s="65">
        <v>2</v>
      </c>
      <c r="F5" s="65">
        <v>15</v>
      </c>
      <c r="G5" s="60">
        <v>46</v>
      </c>
    </row>
    <row r="6" spans="1:7" s="64" customFormat="1" ht="12.75" customHeight="1" x14ac:dyDescent="0.3">
      <c r="A6" s="63">
        <v>52</v>
      </c>
      <c r="B6" s="64" t="s">
        <v>11</v>
      </c>
      <c r="C6" s="65">
        <v>13</v>
      </c>
      <c r="D6" s="65">
        <v>14</v>
      </c>
      <c r="E6" s="65">
        <v>1</v>
      </c>
      <c r="F6" s="65">
        <v>14</v>
      </c>
      <c r="G6" s="60">
        <v>42</v>
      </c>
    </row>
    <row r="7" spans="1:7" s="64" customFormat="1" ht="12.75" customHeight="1" x14ac:dyDescent="0.3">
      <c r="A7" s="63">
        <v>86</v>
      </c>
      <c r="B7" s="64" t="s">
        <v>12</v>
      </c>
      <c r="C7" s="65">
        <v>16</v>
      </c>
      <c r="D7" s="65">
        <v>15</v>
      </c>
      <c r="E7" s="65">
        <v>2</v>
      </c>
      <c r="F7" s="65">
        <v>18</v>
      </c>
      <c r="G7" s="60">
        <v>51</v>
      </c>
    </row>
    <row r="8" spans="1:7" s="64" customFormat="1" ht="13.8" x14ac:dyDescent="0.3">
      <c r="A8" s="63">
        <v>53</v>
      </c>
      <c r="B8" s="64" t="s">
        <v>13</v>
      </c>
      <c r="C8" s="65">
        <v>14</v>
      </c>
      <c r="D8" s="65">
        <v>31</v>
      </c>
      <c r="E8" s="65">
        <v>2</v>
      </c>
      <c r="F8" s="65">
        <v>16</v>
      </c>
      <c r="G8" s="60">
        <v>63</v>
      </c>
    </row>
    <row r="9" spans="1:7" s="64" customFormat="1" ht="12.75" customHeight="1" x14ac:dyDescent="0.3">
      <c r="A9" s="63">
        <v>54</v>
      </c>
      <c r="B9" s="64" t="s">
        <v>14</v>
      </c>
      <c r="C9" s="65">
        <v>6</v>
      </c>
      <c r="D9" s="65">
        <v>45</v>
      </c>
      <c r="E9" s="65">
        <v>1</v>
      </c>
      <c r="F9" s="65">
        <v>24</v>
      </c>
      <c r="G9" s="60">
        <v>76</v>
      </c>
    </row>
    <row r="10" spans="1:7" s="64" customFormat="1" ht="12.75" customHeight="1" x14ac:dyDescent="0.3">
      <c r="A10" s="63">
        <v>55</v>
      </c>
      <c r="B10" s="64" t="s">
        <v>15</v>
      </c>
      <c r="C10" s="65">
        <v>32</v>
      </c>
      <c r="D10" s="65">
        <v>11</v>
      </c>
      <c r="E10" s="65">
        <v>2</v>
      </c>
      <c r="F10" s="65">
        <v>31</v>
      </c>
      <c r="G10" s="60">
        <v>76</v>
      </c>
    </row>
    <row r="11" spans="1:7" s="64" customFormat="1" ht="13.5" customHeight="1" x14ac:dyDescent="0.3">
      <c r="A11" s="63">
        <v>56</v>
      </c>
      <c r="B11" s="64" t="s">
        <v>16</v>
      </c>
      <c r="C11" s="65">
        <v>42</v>
      </c>
      <c r="D11" s="65">
        <v>7</v>
      </c>
      <c r="E11" s="65">
        <v>8</v>
      </c>
      <c r="F11" s="65">
        <v>14</v>
      </c>
      <c r="G11" s="60">
        <v>71</v>
      </c>
    </row>
    <row r="12" spans="1:7" s="64" customFormat="1" ht="13.5" customHeight="1" x14ac:dyDescent="0.3">
      <c r="A12" s="63">
        <v>57</v>
      </c>
      <c r="B12" s="64" t="s">
        <v>17</v>
      </c>
      <c r="C12" s="65">
        <v>7</v>
      </c>
      <c r="D12" s="65">
        <v>20</v>
      </c>
      <c r="E12" s="65">
        <v>2</v>
      </c>
      <c r="F12" s="65">
        <v>9</v>
      </c>
      <c r="G12" s="60">
        <v>38</v>
      </c>
    </row>
    <row r="13" spans="1:7" s="64" customFormat="1" ht="12.75" customHeight="1" x14ac:dyDescent="0.3">
      <c r="A13" s="63">
        <v>59</v>
      </c>
      <c r="B13" s="64" t="s">
        <v>18</v>
      </c>
      <c r="C13" s="65">
        <v>7</v>
      </c>
      <c r="D13" s="65">
        <v>34</v>
      </c>
      <c r="E13" s="65">
        <v>5</v>
      </c>
      <c r="F13" s="65">
        <v>15</v>
      </c>
      <c r="G13" s="60">
        <v>61</v>
      </c>
    </row>
    <row r="14" spans="1:7" s="64" customFormat="1" ht="12.75" customHeight="1" x14ac:dyDescent="0.3">
      <c r="A14" s="63">
        <v>60</v>
      </c>
      <c r="B14" s="64" t="s">
        <v>19</v>
      </c>
      <c r="C14" s="65">
        <v>28</v>
      </c>
      <c r="D14" s="65">
        <v>43</v>
      </c>
      <c r="E14" s="65">
        <v>3</v>
      </c>
      <c r="F14" s="65">
        <v>17</v>
      </c>
      <c r="G14" s="60">
        <v>91</v>
      </c>
    </row>
    <row r="15" spans="1:7" s="64" customFormat="1" ht="12.75" customHeight="1" x14ac:dyDescent="0.3">
      <c r="A15" s="63">
        <v>61</v>
      </c>
      <c r="B15" s="66" t="s">
        <v>63</v>
      </c>
      <c r="C15" s="65">
        <v>12</v>
      </c>
      <c r="D15" s="65">
        <v>89</v>
      </c>
      <c r="E15" s="65">
        <v>5</v>
      </c>
      <c r="F15" s="65">
        <v>20</v>
      </c>
      <c r="G15" s="60">
        <v>126</v>
      </c>
    </row>
    <row r="16" spans="1:7" s="64" customFormat="1" ht="12.75" customHeight="1" x14ac:dyDescent="0.3">
      <c r="A16" s="63">
        <v>62</v>
      </c>
      <c r="B16" s="64" t="s">
        <v>105</v>
      </c>
      <c r="C16" s="65">
        <f>C62+C63</f>
        <v>23</v>
      </c>
      <c r="D16" s="65">
        <f t="shared" ref="D16:G16" si="0">D62+D63</f>
        <v>67</v>
      </c>
      <c r="E16" s="65">
        <f t="shared" si="0"/>
        <v>3</v>
      </c>
      <c r="F16" s="65">
        <f t="shared" si="0"/>
        <v>22</v>
      </c>
      <c r="G16" s="65">
        <f t="shared" si="0"/>
        <v>115</v>
      </c>
    </row>
    <row r="17" spans="1:7" s="64" customFormat="1" ht="12.75" customHeight="1" x14ac:dyDescent="0.3">
      <c r="A17" s="63">
        <v>58</v>
      </c>
      <c r="B17" s="64" t="s">
        <v>22</v>
      </c>
      <c r="C17" s="65">
        <v>17</v>
      </c>
      <c r="D17" s="65">
        <v>17</v>
      </c>
      <c r="E17" s="65">
        <v>7</v>
      </c>
      <c r="F17" s="65">
        <v>20</v>
      </c>
      <c r="G17" s="60">
        <v>61</v>
      </c>
    </row>
    <row r="18" spans="1:7" s="64" customFormat="1" ht="12.75" customHeight="1" x14ac:dyDescent="0.3">
      <c r="A18" s="63">
        <v>63</v>
      </c>
      <c r="B18" s="64" t="s">
        <v>23</v>
      </c>
      <c r="C18" s="65">
        <v>10</v>
      </c>
      <c r="D18" s="65">
        <v>19</v>
      </c>
      <c r="E18" s="65">
        <v>1</v>
      </c>
      <c r="F18" s="65">
        <v>19</v>
      </c>
      <c r="G18" s="60">
        <v>49</v>
      </c>
    </row>
    <row r="19" spans="1:7" s="64" customFormat="1" ht="12.75" customHeight="1" x14ac:dyDescent="0.3">
      <c r="A19" s="63">
        <v>64</v>
      </c>
      <c r="B19" s="64" t="s">
        <v>24</v>
      </c>
      <c r="C19" s="65">
        <v>35</v>
      </c>
      <c r="D19" s="65">
        <v>26</v>
      </c>
      <c r="E19" s="65">
        <v>1</v>
      </c>
      <c r="F19" s="65">
        <v>32</v>
      </c>
      <c r="G19" s="60">
        <v>94</v>
      </c>
    </row>
    <row r="20" spans="1:7" s="64" customFormat="1" ht="12.75" customHeight="1" x14ac:dyDescent="0.3">
      <c r="A20" s="63">
        <v>65</v>
      </c>
      <c r="B20" s="64" t="s">
        <v>25</v>
      </c>
      <c r="C20" s="65">
        <v>8</v>
      </c>
      <c r="D20" s="65">
        <v>26</v>
      </c>
      <c r="E20" s="65">
        <v>2</v>
      </c>
      <c r="F20" s="65">
        <v>9</v>
      </c>
      <c r="G20" s="60">
        <v>45</v>
      </c>
    </row>
    <row r="21" spans="1:7" s="64" customFormat="1" ht="12.75" customHeight="1" x14ac:dyDescent="0.3">
      <c r="A21" s="63">
        <v>67</v>
      </c>
      <c r="B21" s="64" t="s">
        <v>28</v>
      </c>
      <c r="C21" s="65">
        <v>30</v>
      </c>
      <c r="D21" s="65">
        <v>56</v>
      </c>
      <c r="E21" s="65">
        <v>3</v>
      </c>
      <c r="F21" s="65">
        <v>36</v>
      </c>
      <c r="G21" s="60">
        <v>125</v>
      </c>
    </row>
    <row r="22" spans="1:7" s="64" customFormat="1" ht="12.75" customHeight="1" x14ac:dyDescent="0.3">
      <c r="A22" s="63">
        <v>68</v>
      </c>
      <c r="B22" s="64" t="s">
        <v>64</v>
      </c>
      <c r="C22" s="65">
        <v>25</v>
      </c>
      <c r="D22" s="65">
        <v>42</v>
      </c>
      <c r="E22" s="65">
        <v>2</v>
      </c>
      <c r="F22" s="65">
        <v>16</v>
      </c>
      <c r="G22" s="60">
        <v>85</v>
      </c>
    </row>
    <row r="23" spans="1:7" s="64" customFormat="1" ht="12.75" customHeight="1" x14ac:dyDescent="0.3">
      <c r="A23" s="63">
        <v>69</v>
      </c>
      <c r="B23" s="64" t="s">
        <v>30</v>
      </c>
      <c r="C23" s="65">
        <v>36</v>
      </c>
      <c r="D23" s="65">
        <v>32</v>
      </c>
      <c r="E23" s="65">
        <v>3</v>
      </c>
      <c r="F23" s="65">
        <v>14</v>
      </c>
      <c r="G23" s="60">
        <v>85</v>
      </c>
    </row>
    <row r="24" spans="1:7" s="64" customFormat="1" ht="12.75" customHeight="1" x14ac:dyDescent="0.3">
      <c r="A24" s="63">
        <v>70</v>
      </c>
      <c r="B24" s="64" t="s">
        <v>31</v>
      </c>
      <c r="C24" s="65">
        <v>20</v>
      </c>
      <c r="D24" s="65">
        <v>27</v>
      </c>
      <c r="E24" s="65">
        <v>1</v>
      </c>
      <c r="F24" s="65">
        <v>30</v>
      </c>
      <c r="G24" s="60">
        <v>78</v>
      </c>
    </row>
    <row r="25" spans="1:7" s="64" customFormat="1" ht="12.75" customHeight="1" x14ac:dyDescent="0.3">
      <c r="A25" s="63">
        <v>71</v>
      </c>
      <c r="B25" s="64" t="s">
        <v>65</v>
      </c>
      <c r="C25" s="65">
        <v>0</v>
      </c>
      <c r="D25" s="65">
        <v>4</v>
      </c>
      <c r="E25" s="65">
        <v>2</v>
      </c>
      <c r="F25" s="65">
        <v>4</v>
      </c>
      <c r="G25" s="60">
        <v>10</v>
      </c>
    </row>
    <row r="26" spans="1:7" s="64" customFormat="1" ht="12.75" customHeight="1" x14ac:dyDescent="0.3">
      <c r="A26" s="63">
        <v>73</v>
      </c>
      <c r="B26" s="64" t="s">
        <v>34</v>
      </c>
      <c r="C26" s="65">
        <v>37</v>
      </c>
      <c r="D26" s="65">
        <v>93</v>
      </c>
      <c r="E26" s="65">
        <v>0</v>
      </c>
      <c r="F26" s="65">
        <v>39</v>
      </c>
      <c r="G26" s="60">
        <v>169</v>
      </c>
    </row>
    <row r="27" spans="1:7" s="64" customFormat="1" ht="12.75" customHeight="1" x14ac:dyDescent="0.3">
      <c r="A27" s="63">
        <v>74</v>
      </c>
      <c r="B27" s="64" t="s">
        <v>35</v>
      </c>
      <c r="C27" s="65">
        <v>40</v>
      </c>
      <c r="D27" s="65">
        <v>52</v>
      </c>
      <c r="E27" s="65">
        <v>4</v>
      </c>
      <c r="F27" s="65">
        <v>26</v>
      </c>
      <c r="G27" s="60">
        <v>122</v>
      </c>
    </row>
    <row r="28" spans="1:7" s="64" customFormat="1" ht="12.75" customHeight="1" x14ac:dyDescent="0.3">
      <c r="A28" s="63">
        <v>75</v>
      </c>
      <c r="B28" s="64" t="s">
        <v>36</v>
      </c>
      <c r="C28" s="65">
        <v>33</v>
      </c>
      <c r="D28" s="65">
        <v>23</v>
      </c>
      <c r="E28" s="65">
        <v>0</v>
      </c>
      <c r="F28" s="65">
        <v>15</v>
      </c>
      <c r="G28" s="60">
        <v>71</v>
      </c>
    </row>
    <row r="29" spans="1:7" s="64" customFormat="1" ht="12.75" customHeight="1" x14ac:dyDescent="0.3">
      <c r="A29" s="63">
        <v>76</v>
      </c>
      <c r="B29" s="64" t="s">
        <v>37</v>
      </c>
      <c r="C29" s="65">
        <v>11</v>
      </c>
      <c r="D29" s="65">
        <v>81</v>
      </c>
      <c r="E29" s="65">
        <v>1</v>
      </c>
      <c r="F29" s="65">
        <v>8</v>
      </c>
      <c r="G29" s="60">
        <v>101</v>
      </c>
    </row>
    <row r="30" spans="1:7" s="64" customFormat="1" ht="12.75" customHeight="1" x14ac:dyDescent="0.3">
      <c r="A30" s="63">
        <v>79</v>
      </c>
      <c r="B30" s="64" t="s">
        <v>39</v>
      </c>
      <c r="C30" s="65">
        <v>9</v>
      </c>
      <c r="D30" s="65">
        <v>43</v>
      </c>
      <c r="E30" s="65">
        <v>1</v>
      </c>
      <c r="F30" s="65">
        <v>13</v>
      </c>
      <c r="G30" s="60">
        <v>66</v>
      </c>
    </row>
    <row r="31" spans="1:7" s="64" customFormat="1" ht="12.75" customHeight="1" x14ac:dyDescent="0.3">
      <c r="A31" s="63"/>
      <c r="B31" s="95" t="s">
        <v>40</v>
      </c>
      <c r="C31" s="96" t="s">
        <v>75</v>
      </c>
      <c r="D31" s="96" t="s">
        <v>75</v>
      </c>
      <c r="E31" s="96" t="s">
        <v>75</v>
      </c>
      <c r="F31" s="96" t="s">
        <v>75</v>
      </c>
      <c r="G31" s="97" t="s">
        <v>75</v>
      </c>
    </row>
    <row r="32" spans="1:7" s="64" customFormat="1" ht="12.75" customHeight="1" x14ac:dyDescent="0.3">
      <c r="A32" s="63">
        <v>80</v>
      </c>
      <c r="B32" s="64" t="s">
        <v>41</v>
      </c>
      <c r="C32" s="65">
        <v>9</v>
      </c>
      <c r="D32" s="65">
        <v>42</v>
      </c>
      <c r="E32" s="65">
        <v>3</v>
      </c>
      <c r="F32" s="65">
        <v>12</v>
      </c>
      <c r="G32" s="60">
        <v>66</v>
      </c>
    </row>
    <row r="33" spans="1:9" s="64" customFormat="1" ht="13.5" customHeight="1" x14ac:dyDescent="0.3">
      <c r="A33" s="63">
        <v>81</v>
      </c>
      <c r="B33" s="64" t="s">
        <v>42</v>
      </c>
      <c r="C33" s="65">
        <v>14</v>
      </c>
      <c r="D33" s="65">
        <v>42</v>
      </c>
      <c r="E33" s="65">
        <v>2</v>
      </c>
      <c r="F33" s="65">
        <v>17</v>
      </c>
      <c r="G33" s="60">
        <v>75</v>
      </c>
    </row>
    <row r="34" spans="1:9" s="64" customFormat="1" ht="13.5" customHeight="1" x14ac:dyDescent="0.3">
      <c r="A34" s="63">
        <v>83</v>
      </c>
      <c r="B34" s="64" t="s">
        <v>43</v>
      </c>
      <c r="C34" s="65">
        <v>12</v>
      </c>
      <c r="D34" s="65">
        <v>24</v>
      </c>
      <c r="E34" s="65">
        <v>9</v>
      </c>
      <c r="F34" s="65">
        <v>7</v>
      </c>
      <c r="G34" s="60">
        <v>52</v>
      </c>
    </row>
    <row r="35" spans="1:9" s="64" customFormat="1" ht="14.25" customHeight="1" x14ac:dyDescent="0.3">
      <c r="A35" s="63">
        <v>84</v>
      </c>
      <c r="B35" s="64" t="s">
        <v>44</v>
      </c>
      <c r="C35" s="65">
        <v>24</v>
      </c>
      <c r="D35" s="65">
        <v>30</v>
      </c>
      <c r="E35" s="65">
        <v>4</v>
      </c>
      <c r="F35" s="65">
        <v>19</v>
      </c>
      <c r="G35" s="60">
        <v>77</v>
      </c>
    </row>
    <row r="36" spans="1:9" s="64" customFormat="1" ht="12.75" customHeight="1" x14ac:dyDescent="0.3">
      <c r="A36" s="63">
        <v>85</v>
      </c>
      <c r="B36" s="64" t="s">
        <v>45</v>
      </c>
      <c r="C36" s="65">
        <v>14</v>
      </c>
      <c r="D36" s="65">
        <v>53</v>
      </c>
      <c r="E36" s="65">
        <v>1</v>
      </c>
      <c r="F36" s="65">
        <v>6</v>
      </c>
      <c r="G36" s="60">
        <v>74</v>
      </c>
    </row>
    <row r="37" spans="1:9" s="64" customFormat="1" ht="12.75" customHeight="1" x14ac:dyDescent="0.3">
      <c r="A37" s="63">
        <v>87</v>
      </c>
      <c r="B37" s="64" t="s">
        <v>46</v>
      </c>
      <c r="C37" s="65">
        <v>10</v>
      </c>
      <c r="D37" s="65">
        <v>28</v>
      </c>
      <c r="E37" s="65">
        <v>2</v>
      </c>
      <c r="F37" s="65">
        <v>11</v>
      </c>
      <c r="G37" s="60">
        <v>51</v>
      </c>
      <c r="I37" s="67"/>
    </row>
    <row r="38" spans="1:9" s="64" customFormat="1" ht="12.75" customHeight="1" x14ac:dyDescent="0.3">
      <c r="A38" s="63">
        <v>90</v>
      </c>
      <c r="B38" s="64" t="s">
        <v>48</v>
      </c>
      <c r="C38" s="65">
        <v>29</v>
      </c>
      <c r="D38" s="65">
        <v>46</v>
      </c>
      <c r="E38" s="65">
        <v>0</v>
      </c>
      <c r="F38" s="65">
        <v>34</v>
      </c>
      <c r="G38" s="60">
        <v>109</v>
      </c>
    </row>
    <row r="39" spans="1:9" s="64" customFormat="1" ht="12.75" customHeight="1" x14ac:dyDescent="0.3">
      <c r="A39" s="63">
        <v>91</v>
      </c>
      <c r="B39" s="64" t="s">
        <v>49</v>
      </c>
      <c r="C39" s="65">
        <v>12</v>
      </c>
      <c r="D39" s="65">
        <v>39</v>
      </c>
      <c r="E39" s="65">
        <v>2</v>
      </c>
      <c r="F39" s="65">
        <v>12</v>
      </c>
      <c r="G39" s="60">
        <v>65</v>
      </c>
    </row>
    <row r="40" spans="1:9" s="64" customFormat="1" ht="12.75" customHeight="1" x14ac:dyDescent="0.3">
      <c r="A40" s="63">
        <v>92</v>
      </c>
      <c r="B40" s="64" t="s">
        <v>50</v>
      </c>
      <c r="C40" s="65">
        <v>37</v>
      </c>
      <c r="D40" s="65">
        <v>9</v>
      </c>
      <c r="E40" s="65">
        <v>1</v>
      </c>
      <c r="F40" s="65">
        <v>15</v>
      </c>
      <c r="G40" s="60">
        <v>62</v>
      </c>
    </row>
    <row r="41" spans="1:9" s="64" customFormat="1" ht="12.75" customHeight="1" x14ac:dyDescent="0.3">
      <c r="A41" s="63">
        <v>94</v>
      </c>
      <c r="B41" s="64" t="s">
        <v>52</v>
      </c>
      <c r="C41" s="65">
        <v>14</v>
      </c>
      <c r="D41" s="65">
        <v>22</v>
      </c>
      <c r="E41" s="65">
        <v>3</v>
      </c>
      <c r="F41" s="65">
        <v>14</v>
      </c>
      <c r="G41" s="60">
        <v>53</v>
      </c>
    </row>
    <row r="42" spans="1:9" s="64" customFormat="1" ht="12.75" customHeight="1" x14ac:dyDescent="0.3">
      <c r="A42" s="63">
        <v>96</v>
      </c>
      <c r="B42" s="64" t="s">
        <v>54</v>
      </c>
      <c r="C42" s="65">
        <v>27</v>
      </c>
      <c r="D42" s="65">
        <v>46</v>
      </c>
      <c r="E42" s="65">
        <v>0</v>
      </c>
      <c r="F42" s="65">
        <v>14</v>
      </c>
      <c r="G42" s="60">
        <v>87</v>
      </c>
      <c r="H42" s="67"/>
    </row>
    <row r="43" spans="1:9" s="64" customFormat="1" ht="12.75" customHeight="1" x14ac:dyDescent="0.3">
      <c r="A43" s="63">
        <v>72</v>
      </c>
      <c r="B43" s="64" t="s">
        <v>33</v>
      </c>
      <c r="C43" s="65">
        <v>1</v>
      </c>
      <c r="D43" s="65">
        <v>5</v>
      </c>
      <c r="E43" s="65">
        <v>0</v>
      </c>
      <c r="F43" s="65">
        <v>0</v>
      </c>
      <c r="G43" s="60">
        <v>6</v>
      </c>
    </row>
    <row r="44" spans="1:9" s="59" customFormat="1" ht="25.5" customHeight="1" x14ac:dyDescent="0.3">
      <c r="B44" s="59" t="s">
        <v>66</v>
      </c>
      <c r="C44" s="62">
        <v>607</v>
      </c>
      <c r="D44" s="62">
        <v>30</v>
      </c>
      <c r="E44" s="62">
        <v>33</v>
      </c>
      <c r="F44" s="62">
        <v>472</v>
      </c>
      <c r="G44" s="60">
        <v>1142</v>
      </c>
    </row>
    <row r="45" spans="1:9" s="64" customFormat="1" ht="12.75" customHeight="1" x14ac:dyDescent="0.3">
      <c r="A45" s="63">
        <v>66</v>
      </c>
      <c r="B45" s="64" t="s">
        <v>27</v>
      </c>
      <c r="C45" s="65">
        <v>100</v>
      </c>
      <c r="D45" s="68">
        <v>3</v>
      </c>
      <c r="E45" s="68">
        <v>1</v>
      </c>
      <c r="F45" s="68">
        <v>46</v>
      </c>
      <c r="G45" s="60">
        <v>150</v>
      </c>
    </row>
    <row r="46" spans="1:9" s="64" customFormat="1" ht="14.25" customHeight="1" x14ac:dyDescent="0.3">
      <c r="A46" s="63">
        <v>78</v>
      </c>
      <c r="B46" s="64" t="s">
        <v>38</v>
      </c>
      <c r="C46" s="65">
        <v>39</v>
      </c>
      <c r="D46" s="68">
        <v>0</v>
      </c>
      <c r="E46" s="68">
        <v>0</v>
      </c>
      <c r="F46" s="68">
        <v>68</v>
      </c>
      <c r="G46" s="60">
        <v>107</v>
      </c>
    </row>
    <row r="47" spans="1:9" s="64" customFormat="1" ht="12.75" customHeight="1" x14ac:dyDescent="0.3">
      <c r="A47" s="63">
        <v>89</v>
      </c>
      <c r="B47" s="64" t="s">
        <v>47</v>
      </c>
      <c r="C47" s="65">
        <v>34</v>
      </c>
      <c r="D47" s="68">
        <v>14</v>
      </c>
      <c r="E47" s="68">
        <v>0</v>
      </c>
      <c r="F47" s="68">
        <v>23</v>
      </c>
      <c r="G47" s="60">
        <v>71</v>
      </c>
    </row>
    <row r="48" spans="1:9" s="64" customFormat="1" ht="12.75" customHeight="1" x14ac:dyDescent="0.3">
      <c r="A48" s="63">
        <v>93</v>
      </c>
      <c r="B48" s="64" t="s">
        <v>67</v>
      </c>
      <c r="C48" s="65">
        <v>44</v>
      </c>
      <c r="D48" s="68">
        <v>0</v>
      </c>
      <c r="E48" s="68">
        <v>18</v>
      </c>
      <c r="F48" s="68">
        <v>33</v>
      </c>
      <c r="G48" s="60">
        <v>95</v>
      </c>
    </row>
    <row r="49" spans="1:9" s="64" customFormat="1" ht="12.75" customHeight="1" x14ac:dyDescent="0.3">
      <c r="A49" s="63">
        <v>95</v>
      </c>
      <c r="B49" s="64" t="s">
        <v>53</v>
      </c>
      <c r="C49" s="65">
        <v>96</v>
      </c>
      <c r="D49" s="68">
        <v>0</v>
      </c>
      <c r="E49" s="68">
        <v>3</v>
      </c>
      <c r="F49" s="68">
        <v>100</v>
      </c>
      <c r="G49" s="60">
        <v>199</v>
      </c>
    </row>
    <row r="50" spans="1:9" s="64" customFormat="1" ht="12.75" customHeight="1" x14ac:dyDescent="0.3">
      <c r="A50" s="63">
        <v>97</v>
      </c>
      <c r="B50" s="64" t="s">
        <v>55</v>
      </c>
      <c r="C50" s="65">
        <v>65</v>
      </c>
      <c r="D50" s="68">
        <v>13</v>
      </c>
      <c r="E50" s="68">
        <v>3</v>
      </c>
      <c r="F50" s="68">
        <v>79</v>
      </c>
      <c r="G50" s="60">
        <v>160</v>
      </c>
    </row>
    <row r="51" spans="1:9" s="73" customFormat="1" ht="12.75" customHeight="1" x14ac:dyDescent="0.3">
      <c r="A51" s="63">
        <v>77</v>
      </c>
      <c r="B51" s="69" t="s">
        <v>26</v>
      </c>
      <c r="C51" s="70">
        <v>229</v>
      </c>
      <c r="D51" s="70">
        <v>0</v>
      </c>
      <c r="E51" s="71">
        <v>8</v>
      </c>
      <c r="F51" s="71">
        <v>123</v>
      </c>
      <c r="G51" s="72">
        <v>360</v>
      </c>
    </row>
    <row r="52" spans="1:9" s="64" customFormat="1" ht="10.5" customHeight="1" x14ac:dyDescent="0.3">
      <c r="A52" s="63"/>
      <c r="C52" s="74"/>
      <c r="D52" s="74"/>
      <c r="E52" s="74"/>
      <c r="F52" s="74"/>
      <c r="G52" s="74"/>
      <c r="I52" s="75"/>
    </row>
    <row r="53" spans="1:9" s="64" customFormat="1" ht="13.5" customHeight="1" x14ac:dyDescent="0.3">
      <c r="A53" s="63"/>
      <c r="B53" s="64" t="s">
        <v>68</v>
      </c>
      <c r="H53" s="75"/>
      <c r="I53" s="75"/>
    </row>
    <row r="54" spans="1:9" s="64" customFormat="1" ht="13.5" customHeight="1" x14ac:dyDescent="0.3">
      <c r="A54" s="63"/>
      <c r="H54" s="75"/>
      <c r="I54" s="75"/>
    </row>
    <row r="55" spans="1:9" s="64" customFormat="1" x14ac:dyDescent="0.3">
      <c r="A55" s="63"/>
      <c r="B55" s="76" t="s">
        <v>69</v>
      </c>
      <c r="H55" s="75"/>
      <c r="I55" s="75"/>
    </row>
    <row r="56" spans="1:9" x14ac:dyDescent="0.3">
      <c r="A56" s="63"/>
      <c r="F56" s="77"/>
      <c r="G56" s="77"/>
    </row>
    <row r="57" spans="1:9" x14ac:dyDescent="0.3">
      <c r="A57" s="63"/>
    </row>
    <row r="58" spans="1:9" x14ac:dyDescent="0.3">
      <c r="A58" s="63"/>
    </row>
    <row r="59" spans="1:9" x14ac:dyDescent="0.3">
      <c r="A59" s="63"/>
      <c r="E59" s="78"/>
    </row>
    <row r="62" spans="1:9" ht="13.8" x14ac:dyDescent="0.3">
      <c r="B62" s="64" t="s">
        <v>21</v>
      </c>
      <c r="C62" s="65">
        <v>13</v>
      </c>
      <c r="D62" s="65">
        <v>28</v>
      </c>
      <c r="E62" s="65">
        <v>3</v>
      </c>
      <c r="F62" s="65">
        <v>16</v>
      </c>
      <c r="G62" s="60">
        <v>60</v>
      </c>
    </row>
    <row r="63" spans="1:9" ht="13.8" x14ac:dyDescent="0.3">
      <c r="B63" s="64" t="s">
        <v>56</v>
      </c>
      <c r="C63" s="65">
        <v>10</v>
      </c>
      <c r="D63" s="65">
        <v>39</v>
      </c>
      <c r="E63" s="65">
        <v>0</v>
      </c>
      <c r="F63" s="65">
        <v>6</v>
      </c>
      <c r="G63" s="60">
        <v>55</v>
      </c>
    </row>
  </sheetData>
  <mergeCells count="1">
    <mergeCell ref="B1:G1"/>
  </mergeCells>
  <printOptions horizontalCentered="1" verticalCentered="1"/>
  <pageMargins left="0.2" right="0.34" top="0.32" bottom="0.25" header="0.51181102362204722" footer="0.51181102362204722"/>
  <pageSetup paperSize="9" scale="65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22"/>
  </sheetPr>
  <dimension ref="A1:I63"/>
  <sheetViews>
    <sheetView showGridLines="0" zoomScale="85" zoomScaleNormal="100" workbookViewId="0">
      <pane xSplit="2" ySplit="2" topLeftCell="C3" activePane="bottomRight" state="frozen"/>
      <selection activeCell="B1" sqref="B1"/>
      <selection pane="topRight" activeCell="C1" sqref="C1"/>
      <selection pane="bottomLeft" activeCell="B4" sqref="B4"/>
      <selection pane="bottomRight" activeCell="C3" sqref="C3"/>
    </sheetView>
  </sheetViews>
  <sheetFormatPr defaultRowHeight="13.2" x14ac:dyDescent="0.3"/>
  <cols>
    <col min="1" max="1" width="3.5546875" style="75" customWidth="1"/>
    <col min="2" max="2" width="27.5546875" style="75" bestFit="1" customWidth="1"/>
    <col min="3" max="3" width="20.21875" style="75" customWidth="1"/>
    <col min="4" max="4" width="21.77734375" style="75" customWidth="1"/>
    <col min="5" max="5" width="18.77734375" style="75" customWidth="1"/>
    <col min="6" max="6" width="21.44140625" style="75" customWidth="1"/>
    <col min="7" max="7" width="26.5546875" style="75" customWidth="1"/>
    <col min="8" max="255" width="9.21875" style="75"/>
    <col min="256" max="256" width="0" style="75" hidden="1" customWidth="1"/>
    <col min="257" max="257" width="3.44140625" style="75" customWidth="1"/>
    <col min="258" max="258" width="27.5546875" style="75" bestFit="1" customWidth="1"/>
    <col min="259" max="259" width="20.21875" style="75" customWidth="1"/>
    <col min="260" max="260" width="21.77734375" style="75" customWidth="1"/>
    <col min="261" max="261" width="18.77734375" style="75" customWidth="1"/>
    <col min="262" max="262" width="21.44140625" style="75" customWidth="1"/>
    <col min="263" max="263" width="26.5546875" style="75" customWidth="1"/>
    <col min="264" max="511" width="9.21875" style="75"/>
    <col min="512" max="512" width="0" style="75" hidden="1" customWidth="1"/>
    <col min="513" max="513" width="3.44140625" style="75" customWidth="1"/>
    <col min="514" max="514" width="27.5546875" style="75" bestFit="1" customWidth="1"/>
    <col min="515" max="515" width="20.21875" style="75" customWidth="1"/>
    <col min="516" max="516" width="21.77734375" style="75" customWidth="1"/>
    <col min="517" max="517" width="18.77734375" style="75" customWidth="1"/>
    <col min="518" max="518" width="21.44140625" style="75" customWidth="1"/>
    <col min="519" max="519" width="26.5546875" style="75" customWidth="1"/>
    <col min="520" max="767" width="9.21875" style="75"/>
    <col min="768" max="768" width="0" style="75" hidden="1" customWidth="1"/>
    <col min="769" max="769" width="3.44140625" style="75" customWidth="1"/>
    <col min="770" max="770" width="27.5546875" style="75" bestFit="1" customWidth="1"/>
    <col min="771" max="771" width="20.21875" style="75" customWidth="1"/>
    <col min="772" max="772" width="21.77734375" style="75" customWidth="1"/>
    <col min="773" max="773" width="18.77734375" style="75" customWidth="1"/>
    <col min="774" max="774" width="21.44140625" style="75" customWidth="1"/>
    <col min="775" max="775" width="26.5546875" style="75" customWidth="1"/>
    <col min="776" max="1023" width="9.21875" style="75"/>
    <col min="1024" max="1024" width="0" style="75" hidden="1" customWidth="1"/>
    <col min="1025" max="1025" width="3.44140625" style="75" customWidth="1"/>
    <col min="1026" max="1026" width="27.5546875" style="75" bestFit="1" customWidth="1"/>
    <col min="1027" max="1027" width="20.21875" style="75" customWidth="1"/>
    <col min="1028" max="1028" width="21.77734375" style="75" customWidth="1"/>
    <col min="1029" max="1029" width="18.77734375" style="75" customWidth="1"/>
    <col min="1030" max="1030" width="21.44140625" style="75" customWidth="1"/>
    <col min="1031" max="1031" width="26.5546875" style="75" customWidth="1"/>
    <col min="1032" max="1279" width="9.21875" style="75"/>
    <col min="1280" max="1280" width="0" style="75" hidden="1" customWidth="1"/>
    <col min="1281" max="1281" width="3.44140625" style="75" customWidth="1"/>
    <col min="1282" max="1282" width="27.5546875" style="75" bestFit="1" customWidth="1"/>
    <col min="1283" max="1283" width="20.21875" style="75" customWidth="1"/>
    <col min="1284" max="1284" width="21.77734375" style="75" customWidth="1"/>
    <col min="1285" max="1285" width="18.77734375" style="75" customWidth="1"/>
    <col min="1286" max="1286" width="21.44140625" style="75" customWidth="1"/>
    <col min="1287" max="1287" width="26.5546875" style="75" customWidth="1"/>
    <col min="1288" max="1535" width="9.21875" style="75"/>
    <col min="1536" max="1536" width="0" style="75" hidden="1" customWidth="1"/>
    <col min="1537" max="1537" width="3.44140625" style="75" customWidth="1"/>
    <col min="1538" max="1538" width="27.5546875" style="75" bestFit="1" customWidth="1"/>
    <col min="1539" max="1539" width="20.21875" style="75" customWidth="1"/>
    <col min="1540" max="1540" width="21.77734375" style="75" customWidth="1"/>
    <col min="1541" max="1541" width="18.77734375" style="75" customWidth="1"/>
    <col min="1542" max="1542" width="21.44140625" style="75" customWidth="1"/>
    <col min="1543" max="1543" width="26.5546875" style="75" customWidth="1"/>
    <col min="1544" max="1791" width="9.21875" style="75"/>
    <col min="1792" max="1792" width="0" style="75" hidden="1" customWidth="1"/>
    <col min="1793" max="1793" width="3.44140625" style="75" customWidth="1"/>
    <col min="1794" max="1794" width="27.5546875" style="75" bestFit="1" customWidth="1"/>
    <col min="1795" max="1795" width="20.21875" style="75" customWidth="1"/>
    <col min="1796" max="1796" width="21.77734375" style="75" customWidth="1"/>
    <col min="1797" max="1797" width="18.77734375" style="75" customWidth="1"/>
    <col min="1798" max="1798" width="21.44140625" style="75" customWidth="1"/>
    <col min="1799" max="1799" width="26.5546875" style="75" customWidth="1"/>
    <col min="1800" max="2047" width="9.21875" style="75"/>
    <col min="2048" max="2048" width="0" style="75" hidden="1" customWidth="1"/>
    <col min="2049" max="2049" width="3.44140625" style="75" customWidth="1"/>
    <col min="2050" max="2050" width="27.5546875" style="75" bestFit="1" customWidth="1"/>
    <col min="2051" max="2051" width="20.21875" style="75" customWidth="1"/>
    <col min="2052" max="2052" width="21.77734375" style="75" customWidth="1"/>
    <col min="2053" max="2053" width="18.77734375" style="75" customWidth="1"/>
    <col min="2054" max="2054" width="21.44140625" style="75" customWidth="1"/>
    <col min="2055" max="2055" width="26.5546875" style="75" customWidth="1"/>
    <col min="2056" max="2303" width="9.21875" style="75"/>
    <col min="2304" max="2304" width="0" style="75" hidden="1" customWidth="1"/>
    <col min="2305" max="2305" width="3.44140625" style="75" customWidth="1"/>
    <col min="2306" max="2306" width="27.5546875" style="75" bestFit="1" customWidth="1"/>
    <col min="2307" max="2307" width="20.21875" style="75" customWidth="1"/>
    <col min="2308" max="2308" width="21.77734375" style="75" customWidth="1"/>
    <col min="2309" max="2309" width="18.77734375" style="75" customWidth="1"/>
    <col min="2310" max="2310" width="21.44140625" style="75" customWidth="1"/>
    <col min="2311" max="2311" width="26.5546875" style="75" customWidth="1"/>
    <col min="2312" max="2559" width="9.21875" style="75"/>
    <col min="2560" max="2560" width="0" style="75" hidden="1" customWidth="1"/>
    <col min="2561" max="2561" width="3.44140625" style="75" customWidth="1"/>
    <col min="2562" max="2562" width="27.5546875" style="75" bestFit="1" customWidth="1"/>
    <col min="2563" max="2563" width="20.21875" style="75" customWidth="1"/>
    <col min="2564" max="2564" width="21.77734375" style="75" customWidth="1"/>
    <col min="2565" max="2565" width="18.77734375" style="75" customWidth="1"/>
    <col min="2566" max="2566" width="21.44140625" style="75" customWidth="1"/>
    <col min="2567" max="2567" width="26.5546875" style="75" customWidth="1"/>
    <col min="2568" max="2815" width="9.21875" style="75"/>
    <col min="2816" max="2816" width="0" style="75" hidden="1" customWidth="1"/>
    <col min="2817" max="2817" width="3.44140625" style="75" customWidth="1"/>
    <col min="2818" max="2818" width="27.5546875" style="75" bestFit="1" customWidth="1"/>
    <col min="2819" max="2819" width="20.21875" style="75" customWidth="1"/>
    <col min="2820" max="2820" width="21.77734375" style="75" customWidth="1"/>
    <col min="2821" max="2821" width="18.77734375" style="75" customWidth="1"/>
    <col min="2822" max="2822" width="21.44140625" style="75" customWidth="1"/>
    <col min="2823" max="2823" width="26.5546875" style="75" customWidth="1"/>
    <col min="2824" max="3071" width="9.21875" style="75"/>
    <col min="3072" max="3072" width="0" style="75" hidden="1" customWidth="1"/>
    <col min="3073" max="3073" width="3.44140625" style="75" customWidth="1"/>
    <col min="3074" max="3074" width="27.5546875" style="75" bestFit="1" customWidth="1"/>
    <col min="3075" max="3075" width="20.21875" style="75" customWidth="1"/>
    <col min="3076" max="3076" width="21.77734375" style="75" customWidth="1"/>
    <col min="3077" max="3077" width="18.77734375" style="75" customWidth="1"/>
    <col min="3078" max="3078" width="21.44140625" style="75" customWidth="1"/>
    <col min="3079" max="3079" width="26.5546875" style="75" customWidth="1"/>
    <col min="3080" max="3327" width="9.21875" style="75"/>
    <col min="3328" max="3328" width="0" style="75" hidden="1" customWidth="1"/>
    <col min="3329" max="3329" width="3.44140625" style="75" customWidth="1"/>
    <col min="3330" max="3330" width="27.5546875" style="75" bestFit="1" customWidth="1"/>
    <col min="3331" max="3331" width="20.21875" style="75" customWidth="1"/>
    <col min="3332" max="3332" width="21.77734375" style="75" customWidth="1"/>
    <col min="3333" max="3333" width="18.77734375" style="75" customWidth="1"/>
    <col min="3334" max="3334" width="21.44140625" style="75" customWidth="1"/>
    <col min="3335" max="3335" width="26.5546875" style="75" customWidth="1"/>
    <col min="3336" max="3583" width="9.21875" style="75"/>
    <col min="3584" max="3584" width="0" style="75" hidden="1" customWidth="1"/>
    <col min="3585" max="3585" width="3.44140625" style="75" customWidth="1"/>
    <col min="3586" max="3586" width="27.5546875" style="75" bestFit="1" customWidth="1"/>
    <col min="3587" max="3587" width="20.21875" style="75" customWidth="1"/>
    <col min="3588" max="3588" width="21.77734375" style="75" customWidth="1"/>
    <col min="3589" max="3589" width="18.77734375" style="75" customWidth="1"/>
    <col min="3590" max="3590" width="21.44140625" style="75" customWidth="1"/>
    <col min="3591" max="3591" width="26.5546875" style="75" customWidth="1"/>
    <col min="3592" max="3839" width="9.21875" style="75"/>
    <col min="3840" max="3840" width="0" style="75" hidden="1" customWidth="1"/>
    <col min="3841" max="3841" width="3.44140625" style="75" customWidth="1"/>
    <col min="3842" max="3842" width="27.5546875" style="75" bestFit="1" customWidth="1"/>
    <col min="3843" max="3843" width="20.21875" style="75" customWidth="1"/>
    <col min="3844" max="3844" width="21.77734375" style="75" customWidth="1"/>
    <col min="3845" max="3845" width="18.77734375" style="75" customWidth="1"/>
    <col min="3846" max="3846" width="21.44140625" style="75" customWidth="1"/>
    <col min="3847" max="3847" width="26.5546875" style="75" customWidth="1"/>
    <col min="3848" max="4095" width="9.21875" style="75"/>
    <col min="4096" max="4096" width="0" style="75" hidden="1" customWidth="1"/>
    <col min="4097" max="4097" width="3.44140625" style="75" customWidth="1"/>
    <col min="4098" max="4098" width="27.5546875" style="75" bestFit="1" customWidth="1"/>
    <col min="4099" max="4099" width="20.21875" style="75" customWidth="1"/>
    <col min="4100" max="4100" width="21.77734375" style="75" customWidth="1"/>
    <col min="4101" max="4101" width="18.77734375" style="75" customWidth="1"/>
    <col min="4102" max="4102" width="21.44140625" style="75" customWidth="1"/>
    <col min="4103" max="4103" width="26.5546875" style="75" customWidth="1"/>
    <col min="4104" max="4351" width="9.21875" style="75"/>
    <col min="4352" max="4352" width="0" style="75" hidden="1" customWidth="1"/>
    <col min="4353" max="4353" width="3.44140625" style="75" customWidth="1"/>
    <col min="4354" max="4354" width="27.5546875" style="75" bestFit="1" customWidth="1"/>
    <col min="4355" max="4355" width="20.21875" style="75" customWidth="1"/>
    <col min="4356" max="4356" width="21.77734375" style="75" customWidth="1"/>
    <col min="4357" max="4357" width="18.77734375" style="75" customWidth="1"/>
    <col min="4358" max="4358" width="21.44140625" style="75" customWidth="1"/>
    <col min="4359" max="4359" width="26.5546875" style="75" customWidth="1"/>
    <col min="4360" max="4607" width="9.21875" style="75"/>
    <col min="4608" max="4608" width="0" style="75" hidden="1" customWidth="1"/>
    <col min="4609" max="4609" width="3.44140625" style="75" customWidth="1"/>
    <col min="4610" max="4610" width="27.5546875" style="75" bestFit="1" customWidth="1"/>
    <col min="4611" max="4611" width="20.21875" style="75" customWidth="1"/>
    <col min="4612" max="4612" width="21.77734375" style="75" customWidth="1"/>
    <col min="4613" max="4613" width="18.77734375" style="75" customWidth="1"/>
    <col min="4614" max="4614" width="21.44140625" style="75" customWidth="1"/>
    <col min="4615" max="4615" width="26.5546875" style="75" customWidth="1"/>
    <col min="4616" max="4863" width="9.21875" style="75"/>
    <col min="4864" max="4864" width="0" style="75" hidden="1" customWidth="1"/>
    <col min="4865" max="4865" width="3.44140625" style="75" customWidth="1"/>
    <col min="4866" max="4866" width="27.5546875" style="75" bestFit="1" customWidth="1"/>
    <col min="4867" max="4867" width="20.21875" style="75" customWidth="1"/>
    <col min="4868" max="4868" width="21.77734375" style="75" customWidth="1"/>
    <col min="4869" max="4869" width="18.77734375" style="75" customWidth="1"/>
    <col min="4870" max="4870" width="21.44140625" style="75" customWidth="1"/>
    <col min="4871" max="4871" width="26.5546875" style="75" customWidth="1"/>
    <col min="4872" max="5119" width="9.21875" style="75"/>
    <col min="5120" max="5120" width="0" style="75" hidden="1" customWidth="1"/>
    <col min="5121" max="5121" width="3.44140625" style="75" customWidth="1"/>
    <col min="5122" max="5122" width="27.5546875" style="75" bestFit="1" customWidth="1"/>
    <col min="5123" max="5123" width="20.21875" style="75" customWidth="1"/>
    <col min="5124" max="5124" width="21.77734375" style="75" customWidth="1"/>
    <col min="5125" max="5125" width="18.77734375" style="75" customWidth="1"/>
    <col min="5126" max="5126" width="21.44140625" style="75" customWidth="1"/>
    <col min="5127" max="5127" width="26.5546875" style="75" customWidth="1"/>
    <col min="5128" max="5375" width="9.21875" style="75"/>
    <col min="5376" max="5376" width="0" style="75" hidden="1" customWidth="1"/>
    <col min="5377" max="5377" width="3.44140625" style="75" customWidth="1"/>
    <col min="5378" max="5378" width="27.5546875" style="75" bestFit="1" customWidth="1"/>
    <col min="5379" max="5379" width="20.21875" style="75" customWidth="1"/>
    <col min="5380" max="5380" width="21.77734375" style="75" customWidth="1"/>
    <col min="5381" max="5381" width="18.77734375" style="75" customWidth="1"/>
    <col min="5382" max="5382" width="21.44140625" style="75" customWidth="1"/>
    <col min="5383" max="5383" width="26.5546875" style="75" customWidth="1"/>
    <col min="5384" max="5631" width="9.21875" style="75"/>
    <col min="5632" max="5632" width="0" style="75" hidden="1" customWidth="1"/>
    <col min="5633" max="5633" width="3.44140625" style="75" customWidth="1"/>
    <col min="5634" max="5634" width="27.5546875" style="75" bestFit="1" customWidth="1"/>
    <col min="5635" max="5635" width="20.21875" style="75" customWidth="1"/>
    <col min="5636" max="5636" width="21.77734375" style="75" customWidth="1"/>
    <col min="5637" max="5637" width="18.77734375" style="75" customWidth="1"/>
    <col min="5638" max="5638" width="21.44140625" style="75" customWidth="1"/>
    <col min="5639" max="5639" width="26.5546875" style="75" customWidth="1"/>
    <col min="5640" max="5887" width="9.21875" style="75"/>
    <col min="5888" max="5888" width="0" style="75" hidden="1" customWidth="1"/>
    <col min="5889" max="5889" width="3.44140625" style="75" customWidth="1"/>
    <col min="5890" max="5890" width="27.5546875" style="75" bestFit="1" customWidth="1"/>
    <col min="5891" max="5891" width="20.21875" style="75" customWidth="1"/>
    <col min="5892" max="5892" width="21.77734375" style="75" customWidth="1"/>
    <col min="5893" max="5893" width="18.77734375" style="75" customWidth="1"/>
    <col min="5894" max="5894" width="21.44140625" style="75" customWidth="1"/>
    <col min="5895" max="5895" width="26.5546875" style="75" customWidth="1"/>
    <col min="5896" max="6143" width="9.21875" style="75"/>
    <col min="6144" max="6144" width="0" style="75" hidden="1" customWidth="1"/>
    <col min="6145" max="6145" width="3.44140625" style="75" customWidth="1"/>
    <col min="6146" max="6146" width="27.5546875" style="75" bestFit="1" customWidth="1"/>
    <col min="6147" max="6147" width="20.21875" style="75" customWidth="1"/>
    <col min="6148" max="6148" width="21.77734375" style="75" customWidth="1"/>
    <col min="6149" max="6149" width="18.77734375" style="75" customWidth="1"/>
    <col min="6150" max="6150" width="21.44140625" style="75" customWidth="1"/>
    <col min="6151" max="6151" width="26.5546875" style="75" customWidth="1"/>
    <col min="6152" max="6399" width="9.21875" style="75"/>
    <col min="6400" max="6400" width="0" style="75" hidden="1" customWidth="1"/>
    <col min="6401" max="6401" width="3.44140625" style="75" customWidth="1"/>
    <col min="6402" max="6402" width="27.5546875" style="75" bestFit="1" customWidth="1"/>
    <col min="6403" max="6403" width="20.21875" style="75" customWidth="1"/>
    <col min="6404" max="6404" width="21.77734375" style="75" customWidth="1"/>
    <col min="6405" max="6405" width="18.77734375" style="75" customWidth="1"/>
    <col min="6406" max="6406" width="21.44140625" style="75" customWidth="1"/>
    <col min="6407" max="6407" width="26.5546875" style="75" customWidth="1"/>
    <col min="6408" max="6655" width="9.21875" style="75"/>
    <col min="6656" max="6656" width="0" style="75" hidden="1" customWidth="1"/>
    <col min="6657" max="6657" width="3.44140625" style="75" customWidth="1"/>
    <col min="6658" max="6658" width="27.5546875" style="75" bestFit="1" customWidth="1"/>
    <col min="6659" max="6659" width="20.21875" style="75" customWidth="1"/>
    <col min="6660" max="6660" width="21.77734375" style="75" customWidth="1"/>
    <col min="6661" max="6661" width="18.77734375" style="75" customWidth="1"/>
    <col min="6662" max="6662" width="21.44140625" style="75" customWidth="1"/>
    <col min="6663" max="6663" width="26.5546875" style="75" customWidth="1"/>
    <col min="6664" max="6911" width="9.21875" style="75"/>
    <col min="6912" max="6912" width="0" style="75" hidden="1" customWidth="1"/>
    <col min="6913" max="6913" width="3.44140625" style="75" customWidth="1"/>
    <col min="6914" max="6914" width="27.5546875" style="75" bestFit="1" customWidth="1"/>
    <col min="6915" max="6915" width="20.21875" style="75" customWidth="1"/>
    <col min="6916" max="6916" width="21.77734375" style="75" customWidth="1"/>
    <col min="6917" max="6917" width="18.77734375" style="75" customWidth="1"/>
    <col min="6918" max="6918" width="21.44140625" style="75" customWidth="1"/>
    <col min="6919" max="6919" width="26.5546875" style="75" customWidth="1"/>
    <col min="6920" max="7167" width="9.21875" style="75"/>
    <col min="7168" max="7168" width="0" style="75" hidden="1" customWidth="1"/>
    <col min="7169" max="7169" width="3.44140625" style="75" customWidth="1"/>
    <col min="7170" max="7170" width="27.5546875" style="75" bestFit="1" customWidth="1"/>
    <col min="7171" max="7171" width="20.21875" style="75" customWidth="1"/>
    <col min="7172" max="7172" width="21.77734375" style="75" customWidth="1"/>
    <col min="7173" max="7173" width="18.77734375" style="75" customWidth="1"/>
    <col min="7174" max="7174" width="21.44140625" style="75" customWidth="1"/>
    <col min="7175" max="7175" width="26.5546875" style="75" customWidth="1"/>
    <col min="7176" max="7423" width="9.21875" style="75"/>
    <col min="7424" max="7424" width="0" style="75" hidden="1" customWidth="1"/>
    <col min="7425" max="7425" width="3.44140625" style="75" customWidth="1"/>
    <col min="7426" max="7426" width="27.5546875" style="75" bestFit="1" customWidth="1"/>
    <col min="7427" max="7427" width="20.21875" style="75" customWidth="1"/>
    <col min="7428" max="7428" width="21.77734375" style="75" customWidth="1"/>
    <col min="7429" max="7429" width="18.77734375" style="75" customWidth="1"/>
    <col min="7430" max="7430" width="21.44140625" style="75" customWidth="1"/>
    <col min="7431" max="7431" width="26.5546875" style="75" customWidth="1"/>
    <col min="7432" max="7679" width="9.21875" style="75"/>
    <col min="7680" max="7680" width="0" style="75" hidden="1" customWidth="1"/>
    <col min="7681" max="7681" width="3.44140625" style="75" customWidth="1"/>
    <col min="7682" max="7682" width="27.5546875" style="75" bestFit="1" customWidth="1"/>
    <col min="7683" max="7683" width="20.21875" style="75" customWidth="1"/>
    <col min="7684" max="7684" width="21.77734375" style="75" customWidth="1"/>
    <col min="7685" max="7685" width="18.77734375" style="75" customWidth="1"/>
    <col min="7686" max="7686" width="21.44140625" style="75" customWidth="1"/>
    <col min="7687" max="7687" width="26.5546875" style="75" customWidth="1"/>
    <col min="7688" max="7935" width="9.21875" style="75"/>
    <col min="7936" max="7936" width="0" style="75" hidden="1" customWidth="1"/>
    <col min="7937" max="7937" width="3.44140625" style="75" customWidth="1"/>
    <col min="7938" max="7938" width="27.5546875" style="75" bestFit="1" customWidth="1"/>
    <col min="7939" max="7939" width="20.21875" style="75" customWidth="1"/>
    <col min="7940" max="7940" width="21.77734375" style="75" customWidth="1"/>
    <col min="7941" max="7941" width="18.77734375" style="75" customWidth="1"/>
    <col min="7942" max="7942" width="21.44140625" style="75" customWidth="1"/>
    <col min="7943" max="7943" width="26.5546875" style="75" customWidth="1"/>
    <col min="7944" max="8191" width="9.21875" style="75"/>
    <col min="8192" max="8192" width="0" style="75" hidden="1" customWidth="1"/>
    <col min="8193" max="8193" width="3.44140625" style="75" customWidth="1"/>
    <col min="8194" max="8194" width="27.5546875" style="75" bestFit="1" customWidth="1"/>
    <col min="8195" max="8195" width="20.21875" style="75" customWidth="1"/>
    <col min="8196" max="8196" width="21.77734375" style="75" customWidth="1"/>
    <col min="8197" max="8197" width="18.77734375" style="75" customWidth="1"/>
    <col min="8198" max="8198" width="21.44140625" style="75" customWidth="1"/>
    <col min="8199" max="8199" width="26.5546875" style="75" customWidth="1"/>
    <col min="8200" max="8447" width="9.21875" style="75"/>
    <col min="8448" max="8448" width="0" style="75" hidden="1" customWidth="1"/>
    <col min="8449" max="8449" width="3.44140625" style="75" customWidth="1"/>
    <col min="8450" max="8450" width="27.5546875" style="75" bestFit="1" customWidth="1"/>
    <col min="8451" max="8451" width="20.21875" style="75" customWidth="1"/>
    <col min="8452" max="8452" width="21.77734375" style="75" customWidth="1"/>
    <col min="8453" max="8453" width="18.77734375" style="75" customWidth="1"/>
    <col min="8454" max="8454" width="21.44140625" style="75" customWidth="1"/>
    <col min="8455" max="8455" width="26.5546875" style="75" customWidth="1"/>
    <col min="8456" max="8703" width="9.21875" style="75"/>
    <col min="8704" max="8704" width="0" style="75" hidden="1" customWidth="1"/>
    <col min="8705" max="8705" width="3.44140625" style="75" customWidth="1"/>
    <col min="8706" max="8706" width="27.5546875" style="75" bestFit="1" customWidth="1"/>
    <col min="8707" max="8707" width="20.21875" style="75" customWidth="1"/>
    <col min="8708" max="8708" width="21.77734375" style="75" customWidth="1"/>
    <col min="8709" max="8709" width="18.77734375" style="75" customWidth="1"/>
    <col min="8710" max="8710" width="21.44140625" style="75" customWidth="1"/>
    <col min="8711" max="8711" width="26.5546875" style="75" customWidth="1"/>
    <col min="8712" max="8959" width="9.21875" style="75"/>
    <col min="8960" max="8960" width="0" style="75" hidden="1" customWidth="1"/>
    <col min="8961" max="8961" width="3.44140625" style="75" customWidth="1"/>
    <col min="8962" max="8962" width="27.5546875" style="75" bestFit="1" customWidth="1"/>
    <col min="8963" max="8963" width="20.21875" style="75" customWidth="1"/>
    <col min="8964" max="8964" width="21.77734375" style="75" customWidth="1"/>
    <col min="8965" max="8965" width="18.77734375" style="75" customWidth="1"/>
    <col min="8966" max="8966" width="21.44140625" style="75" customWidth="1"/>
    <col min="8967" max="8967" width="26.5546875" style="75" customWidth="1"/>
    <col min="8968" max="9215" width="9.21875" style="75"/>
    <col min="9216" max="9216" width="0" style="75" hidden="1" customWidth="1"/>
    <col min="9217" max="9217" width="3.44140625" style="75" customWidth="1"/>
    <col min="9218" max="9218" width="27.5546875" style="75" bestFit="1" customWidth="1"/>
    <col min="9219" max="9219" width="20.21875" style="75" customWidth="1"/>
    <col min="9220" max="9220" width="21.77734375" style="75" customWidth="1"/>
    <col min="9221" max="9221" width="18.77734375" style="75" customWidth="1"/>
    <col min="9222" max="9222" width="21.44140625" style="75" customWidth="1"/>
    <col min="9223" max="9223" width="26.5546875" style="75" customWidth="1"/>
    <col min="9224" max="9471" width="9.21875" style="75"/>
    <col min="9472" max="9472" width="0" style="75" hidden="1" customWidth="1"/>
    <col min="9473" max="9473" width="3.44140625" style="75" customWidth="1"/>
    <col min="9474" max="9474" width="27.5546875" style="75" bestFit="1" customWidth="1"/>
    <col min="9475" max="9475" width="20.21875" style="75" customWidth="1"/>
    <col min="9476" max="9476" width="21.77734375" style="75" customWidth="1"/>
    <col min="9477" max="9477" width="18.77734375" style="75" customWidth="1"/>
    <col min="9478" max="9478" width="21.44140625" style="75" customWidth="1"/>
    <col min="9479" max="9479" width="26.5546875" style="75" customWidth="1"/>
    <col min="9480" max="9727" width="9.21875" style="75"/>
    <col min="9728" max="9728" width="0" style="75" hidden="1" customWidth="1"/>
    <col min="9729" max="9729" width="3.44140625" style="75" customWidth="1"/>
    <col min="9730" max="9730" width="27.5546875" style="75" bestFit="1" customWidth="1"/>
    <col min="9731" max="9731" width="20.21875" style="75" customWidth="1"/>
    <col min="9732" max="9732" width="21.77734375" style="75" customWidth="1"/>
    <col min="9733" max="9733" width="18.77734375" style="75" customWidth="1"/>
    <col min="9734" max="9734" width="21.44140625" style="75" customWidth="1"/>
    <col min="9735" max="9735" width="26.5546875" style="75" customWidth="1"/>
    <col min="9736" max="9983" width="9.21875" style="75"/>
    <col min="9984" max="9984" width="0" style="75" hidden="1" customWidth="1"/>
    <col min="9985" max="9985" width="3.44140625" style="75" customWidth="1"/>
    <col min="9986" max="9986" width="27.5546875" style="75" bestFit="1" customWidth="1"/>
    <col min="9987" max="9987" width="20.21875" style="75" customWidth="1"/>
    <col min="9988" max="9988" width="21.77734375" style="75" customWidth="1"/>
    <col min="9989" max="9989" width="18.77734375" style="75" customWidth="1"/>
    <col min="9990" max="9990" width="21.44140625" style="75" customWidth="1"/>
    <col min="9991" max="9991" width="26.5546875" style="75" customWidth="1"/>
    <col min="9992" max="10239" width="9.21875" style="75"/>
    <col min="10240" max="10240" width="0" style="75" hidden="1" customWidth="1"/>
    <col min="10241" max="10241" width="3.44140625" style="75" customWidth="1"/>
    <col min="10242" max="10242" width="27.5546875" style="75" bestFit="1" customWidth="1"/>
    <col min="10243" max="10243" width="20.21875" style="75" customWidth="1"/>
    <col min="10244" max="10244" width="21.77734375" style="75" customWidth="1"/>
    <col min="10245" max="10245" width="18.77734375" style="75" customWidth="1"/>
    <col min="10246" max="10246" width="21.44140625" style="75" customWidth="1"/>
    <col min="10247" max="10247" width="26.5546875" style="75" customWidth="1"/>
    <col min="10248" max="10495" width="9.21875" style="75"/>
    <col min="10496" max="10496" width="0" style="75" hidden="1" customWidth="1"/>
    <col min="10497" max="10497" width="3.44140625" style="75" customWidth="1"/>
    <col min="10498" max="10498" width="27.5546875" style="75" bestFit="1" customWidth="1"/>
    <col min="10499" max="10499" width="20.21875" style="75" customWidth="1"/>
    <col min="10500" max="10500" width="21.77734375" style="75" customWidth="1"/>
    <col min="10501" max="10501" width="18.77734375" style="75" customWidth="1"/>
    <col min="10502" max="10502" width="21.44140625" style="75" customWidth="1"/>
    <col min="10503" max="10503" width="26.5546875" style="75" customWidth="1"/>
    <col min="10504" max="10751" width="9.21875" style="75"/>
    <col min="10752" max="10752" width="0" style="75" hidden="1" customWidth="1"/>
    <col min="10753" max="10753" width="3.44140625" style="75" customWidth="1"/>
    <col min="10754" max="10754" width="27.5546875" style="75" bestFit="1" customWidth="1"/>
    <col min="10755" max="10755" width="20.21875" style="75" customWidth="1"/>
    <col min="10756" max="10756" width="21.77734375" style="75" customWidth="1"/>
    <col min="10757" max="10757" width="18.77734375" style="75" customWidth="1"/>
    <col min="10758" max="10758" width="21.44140625" style="75" customWidth="1"/>
    <col min="10759" max="10759" width="26.5546875" style="75" customWidth="1"/>
    <col min="10760" max="11007" width="9.21875" style="75"/>
    <col min="11008" max="11008" width="0" style="75" hidden="1" customWidth="1"/>
    <col min="11009" max="11009" width="3.44140625" style="75" customWidth="1"/>
    <col min="11010" max="11010" width="27.5546875" style="75" bestFit="1" customWidth="1"/>
    <col min="11011" max="11011" width="20.21875" style="75" customWidth="1"/>
    <col min="11012" max="11012" width="21.77734375" style="75" customWidth="1"/>
    <col min="11013" max="11013" width="18.77734375" style="75" customWidth="1"/>
    <col min="11014" max="11014" width="21.44140625" style="75" customWidth="1"/>
    <col min="11015" max="11015" width="26.5546875" style="75" customWidth="1"/>
    <col min="11016" max="11263" width="9.21875" style="75"/>
    <col min="11264" max="11264" width="0" style="75" hidden="1" customWidth="1"/>
    <col min="11265" max="11265" width="3.44140625" style="75" customWidth="1"/>
    <col min="11266" max="11266" width="27.5546875" style="75" bestFit="1" customWidth="1"/>
    <col min="11267" max="11267" width="20.21875" style="75" customWidth="1"/>
    <col min="11268" max="11268" width="21.77734375" style="75" customWidth="1"/>
    <col min="11269" max="11269" width="18.77734375" style="75" customWidth="1"/>
    <col min="11270" max="11270" width="21.44140625" style="75" customWidth="1"/>
    <col min="11271" max="11271" width="26.5546875" style="75" customWidth="1"/>
    <col min="11272" max="11519" width="9.21875" style="75"/>
    <col min="11520" max="11520" width="0" style="75" hidden="1" customWidth="1"/>
    <col min="11521" max="11521" width="3.44140625" style="75" customWidth="1"/>
    <col min="11522" max="11522" width="27.5546875" style="75" bestFit="1" customWidth="1"/>
    <col min="11523" max="11523" width="20.21875" style="75" customWidth="1"/>
    <col min="11524" max="11524" width="21.77734375" style="75" customWidth="1"/>
    <col min="11525" max="11525" width="18.77734375" style="75" customWidth="1"/>
    <col min="11526" max="11526" width="21.44140625" style="75" customWidth="1"/>
    <col min="11527" max="11527" width="26.5546875" style="75" customWidth="1"/>
    <col min="11528" max="11775" width="9.21875" style="75"/>
    <col min="11776" max="11776" width="0" style="75" hidden="1" customWidth="1"/>
    <col min="11777" max="11777" width="3.44140625" style="75" customWidth="1"/>
    <col min="11778" max="11778" width="27.5546875" style="75" bestFit="1" customWidth="1"/>
    <col min="11779" max="11779" width="20.21875" style="75" customWidth="1"/>
    <col min="11780" max="11780" width="21.77734375" style="75" customWidth="1"/>
    <col min="11781" max="11781" width="18.77734375" style="75" customWidth="1"/>
    <col min="11782" max="11782" width="21.44140625" style="75" customWidth="1"/>
    <col min="11783" max="11783" width="26.5546875" style="75" customWidth="1"/>
    <col min="11784" max="12031" width="9.21875" style="75"/>
    <col min="12032" max="12032" width="0" style="75" hidden="1" customWidth="1"/>
    <col min="12033" max="12033" width="3.44140625" style="75" customWidth="1"/>
    <col min="12034" max="12034" width="27.5546875" style="75" bestFit="1" customWidth="1"/>
    <col min="12035" max="12035" width="20.21875" style="75" customWidth="1"/>
    <col min="12036" max="12036" width="21.77734375" style="75" customWidth="1"/>
    <col min="12037" max="12037" width="18.77734375" style="75" customWidth="1"/>
    <col min="12038" max="12038" width="21.44140625" style="75" customWidth="1"/>
    <col min="12039" max="12039" width="26.5546875" style="75" customWidth="1"/>
    <col min="12040" max="12287" width="9.21875" style="75"/>
    <col min="12288" max="12288" width="0" style="75" hidden="1" customWidth="1"/>
    <col min="12289" max="12289" width="3.44140625" style="75" customWidth="1"/>
    <col min="12290" max="12290" width="27.5546875" style="75" bestFit="1" customWidth="1"/>
    <col min="12291" max="12291" width="20.21875" style="75" customWidth="1"/>
    <col min="12292" max="12292" width="21.77734375" style="75" customWidth="1"/>
    <col min="12293" max="12293" width="18.77734375" style="75" customWidth="1"/>
    <col min="12294" max="12294" width="21.44140625" style="75" customWidth="1"/>
    <col min="12295" max="12295" width="26.5546875" style="75" customWidth="1"/>
    <col min="12296" max="12543" width="9.21875" style="75"/>
    <col min="12544" max="12544" width="0" style="75" hidden="1" customWidth="1"/>
    <col min="12545" max="12545" width="3.44140625" style="75" customWidth="1"/>
    <col min="12546" max="12546" width="27.5546875" style="75" bestFit="1" customWidth="1"/>
    <col min="12547" max="12547" width="20.21875" style="75" customWidth="1"/>
    <col min="12548" max="12548" width="21.77734375" style="75" customWidth="1"/>
    <col min="12549" max="12549" width="18.77734375" style="75" customWidth="1"/>
    <col min="12550" max="12550" width="21.44140625" style="75" customWidth="1"/>
    <col min="12551" max="12551" width="26.5546875" style="75" customWidth="1"/>
    <col min="12552" max="12799" width="9.21875" style="75"/>
    <col min="12800" max="12800" width="0" style="75" hidden="1" customWidth="1"/>
    <col min="12801" max="12801" width="3.44140625" style="75" customWidth="1"/>
    <col min="12802" max="12802" width="27.5546875" style="75" bestFit="1" customWidth="1"/>
    <col min="12803" max="12803" width="20.21875" style="75" customWidth="1"/>
    <col min="12804" max="12804" width="21.77734375" style="75" customWidth="1"/>
    <col min="12805" max="12805" width="18.77734375" style="75" customWidth="1"/>
    <col min="12806" max="12806" width="21.44140625" style="75" customWidth="1"/>
    <col min="12807" max="12807" width="26.5546875" style="75" customWidth="1"/>
    <col min="12808" max="13055" width="9.21875" style="75"/>
    <col min="13056" max="13056" width="0" style="75" hidden="1" customWidth="1"/>
    <col min="13057" max="13057" width="3.44140625" style="75" customWidth="1"/>
    <col min="13058" max="13058" width="27.5546875" style="75" bestFit="1" customWidth="1"/>
    <col min="13059" max="13059" width="20.21875" style="75" customWidth="1"/>
    <col min="13060" max="13060" width="21.77734375" style="75" customWidth="1"/>
    <col min="13061" max="13061" width="18.77734375" style="75" customWidth="1"/>
    <col min="13062" max="13062" width="21.44140625" style="75" customWidth="1"/>
    <col min="13063" max="13063" width="26.5546875" style="75" customWidth="1"/>
    <col min="13064" max="13311" width="9.21875" style="75"/>
    <col min="13312" max="13312" width="0" style="75" hidden="1" customWidth="1"/>
    <col min="13313" max="13313" width="3.44140625" style="75" customWidth="1"/>
    <col min="13314" max="13314" width="27.5546875" style="75" bestFit="1" customWidth="1"/>
    <col min="13315" max="13315" width="20.21875" style="75" customWidth="1"/>
    <col min="13316" max="13316" width="21.77734375" style="75" customWidth="1"/>
    <col min="13317" max="13317" width="18.77734375" style="75" customWidth="1"/>
    <col min="13318" max="13318" width="21.44140625" style="75" customWidth="1"/>
    <col min="13319" max="13319" width="26.5546875" style="75" customWidth="1"/>
    <col min="13320" max="13567" width="9.21875" style="75"/>
    <col min="13568" max="13568" width="0" style="75" hidden="1" customWidth="1"/>
    <col min="13569" max="13569" width="3.44140625" style="75" customWidth="1"/>
    <col min="13570" max="13570" width="27.5546875" style="75" bestFit="1" customWidth="1"/>
    <col min="13571" max="13571" width="20.21875" style="75" customWidth="1"/>
    <col min="13572" max="13572" width="21.77734375" style="75" customWidth="1"/>
    <col min="13573" max="13573" width="18.77734375" style="75" customWidth="1"/>
    <col min="13574" max="13574" width="21.44140625" style="75" customWidth="1"/>
    <col min="13575" max="13575" width="26.5546875" style="75" customWidth="1"/>
    <col min="13576" max="13823" width="9.21875" style="75"/>
    <col min="13824" max="13824" width="0" style="75" hidden="1" customWidth="1"/>
    <col min="13825" max="13825" width="3.44140625" style="75" customWidth="1"/>
    <col min="13826" max="13826" width="27.5546875" style="75" bestFit="1" customWidth="1"/>
    <col min="13827" max="13827" width="20.21875" style="75" customWidth="1"/>
    <col min="13828" max="13828" width="21.77734375" style="75" customWidth="1"/>
    <col min="13829" max="13829" width="18.77734375" style="75" customWidth="1"/>
    <col min="13830" max="13830" width="21.44140625" style="75" customWidth="1"/>
    <col min="13831" max="13831" width="26.5546875" style="75" customWidth="1"/>
    <col min="13832" max="14079" width="9.21875" style="75"/>
    <col min="14080" max="14080" width="0" style="75" hidden="1" customWidth="1"/>
    <col min="14081" max="14081" width="3.44140625" style="75" customWidth="1"/>
    <col min="14082" max="14082" width="27.5546875" style="75" bestFit="1" customWidth="1"/>
    <col min="14083" max="14083" width="20.21875" style="75" customWidth="1"/>
    <col min="14084" max="14084" width="21.77734375" style="75" customWidth="1"/>
    <col min="14085" max="14085" width="18.77734375" style="75" customWidth="1"/>
    <col min="14086" max="14086" width="21.44140625" style="75" customWidth="1"/>
    <col min="14087" max="14087" width="26.5546875" style="75" customWidth="1"/>
    <col min="14088" max="14335" width="9.21875" style="75"/>
    <col min="14336" max="14336" width="0" style="75" hidden="1" customWidth="1"/>
    <col min="14337" max="14337" width="3.44140625" style="75" customWidth="1"/>
    <col min="14338" max="14338" width="27.5546875" style="75" bestFit="1" customWidth="1"/>
    <col min="14339" max="14339" width="20.21875" style="75" customWidth="1"/>
    <col min="14340" max="14340" width="21.77734375" style="75" customWidth="1"/>
    <col min="14341" max="14341" width="18.77734375" style="75" customWidth="1"/>
    <col min="14342" max="14342" width="21.44140625" style="75" customWidth="1"/>
    <col min="14343" max="14343" width="26.5546875" style="75" customWidth="1"/>
    <col min="14344" max="14591" width="9.21875" style="75"/>
    <col min="14592" max="14592" width="0" style="75" hidden="1" customWidth="1"/>
    <col min="14593" max="14593" width="3.44140625" style="75" customWidth="1"/>
    <col min="14594" max="14594" width="27.5546875" style="75" bestFit="1" customWidth="1"/>
    <col min="14595" max="14595" width="20.21875" style="75" customWidth="1"/>
    <col min="14596" max="14596" width="21.77734375" style="75" customWidth="1"/>
    <col min="14597" max="14597" width="18.77734375" style="75" customWidth="1"/>
    <col min="14598" max="14598" width="21.44140625" style="75" customWidth="1"/>
    <col min="14599" max="14599" width="26.5546875" style="75" customWidth="1"/>
    <col min="14600" max="14847" width="9.21875" style="75"/>
    <col min="14848" max="14848" width="0" style="75" hidden="1" customWidth="1"/>
    <col min="14849" max="14849" width="3.44140625" style="75" customWidth="1"/>
    <col min="14850" max="14850" width="27.5546875" style="75" bestFit="1" customWidth="1"/>
    <col min="14851" max="14851" width="20.21875" style="75" customWidth="1"/>
    <col min="14852" max="14852" width="21.77734375" style="75" customWidth="1"/>
    <col min="14853" max="14853" width="18.77734375" style="75" customWidth="1"/>
    <col min="14854" max="14854" width="21.44140625" style="75" customWidth="1"/>
    <col min="14855" max="14855" width="26.5546875" style="75" customWidth="1"/>
    <col min="14856" max="15103" width="9.21875" style="75"/>
    <col min="15104" max="15104" width="0" style="75" hidden="1" customWidth="1"/>
    <col min="15105" max="15105" width="3.44140625" style="75" customWidth="1"/>
    <col min="15106" max="15106" width="27.5546875" style="75" bestFit="1" customWidth="1"/>
    <col min="15107" max="15107" width="20.21875" style="75" customWidth="1"/>
    <col min="15108" max="15108" width="21.77734375" style="75" customWidth="1"/>
    <col min="15109" max="15109" width="18.77734375" style="75" customWidth="1"/>
    <col min="15110" max="15110" width="21.44140625" style="75" customWidth="1"/>
    <col min="15111" max="15111" width="26.5546875" style="75" customWidth="1"/>
    <col min="15112" max="15359" width="9.21875" style="75"/>
    <col min="15360" max="15360" width="0" style="75" hidden="1" customWidth="1"/>
    <col min="15361" max="15361" width="3.44140625" style="75" customWidth="1"/>
    <col min="15362" max="15362" width="27.5546875" style="75" bestFit="1" customWidth="1"/>
    <col min="15363" max="15363" width="20.21875" style="75" customWidth="1"/>
    <col min="15364" max="15364" width="21.77734375" style="75" customWidth="1"/>
    <col min="15365" max="15365" width="18.77734375" style="75" customWidth="1"/>
    <col min="15366" max="15366" width="21.44140625" style="75" customWidth="1"/>
    <col min="15367" max="15367" width="26.5546875" style="75" customWidth="1"/>
    <col min="15368" max="15615" width="9.21875" style="75"/>
    <col min="15616" max="15616" width="0" style="75" hidden="1" customWidth="1"/>
    <col min="15617" max="15617" width="3.44140625" style="75" customWidth="1"/>
    <col min="15618" max="15618" width="27.5546875" style="75" bestFit="1" customWidth="1"/>
    <col min="15619" max="15619" width="20.21875" style="75" customWidth="1"/>
    <col min="15620" max="15620" width="21.77734375" style="75" customWidth="1"/>
    <col min="15621" max="15621" width="18.77734375" style="75" customWidth="1"/>
    <col min="15622" max="15622" width="21.44140625" style="75" customWidth="1"/>
    <col min="15623" max="15623" width="26.5546875" style="75" customWidth="1"/>
    <col min="15624" max="15871" width="9.21875" style="75"/>
    <col min="15872" max="15872" width="0" style="75" hidden="1" customWidth="1"/>
    <col min="15873" max="15873" width="3.44140625" style="75" customWidth="1"/>
    <col min="15874" max="15874" width="27.5546875" style="75" bestFit="1" customWidth="1"/>
    <col min="15875" max="15875" width="20.21875" style="75" customWidth="1"/>
    <col min="15876" max="15876" width="21.77734375" style="75" customWidth="1"/>
    <col min="15877" max="15877" width="18.77734375" style="75" customWidth="1"/>
    <col min="15878" max="15878" width="21.44140625" style="75" customWidth="1"/>
    <col min="15879" max="15879" width="26.5546875" style="75" customWidth="1"/>
    <col min="15880" max="16127" width="9.21875" style="75"/>
    <col min="16128" max="16128" width="0" style="75" hidden="1" customWidth="1"/>
    <col min="16129" max="16129" width="3.44140625" style="75" customWidth="1"/>
    <col min="16130" max="16130" width="27.5546875" style="75" bestFit="1" customWidth="1"/>
    <col min="16131" max="16131" width="20.21875" style="75" customWidth="1"/>
    <col min="16132" max="16132" width="21.77734375" style="75" customWidth="1"/>
    <col min="16133" max="16133" width="18.77734375" style="75" customWidth="1"/>
    <col min="16134" max="16134" width="21.44140625" style="75" customWidth="1"/>
    <col min="16135" max="16135" width="26.5546875" style="75" customWidth="1"/>
    <col min="16136" max="16384" width="9.21875" style="75"/>
  </cols>
  <sheetData>
    <row r="1" spans="1:7" s="54" customFormat="1" ht="41.25" customHeight="1" x14ac:dyDescent="0.3">
      <c r="B1" s="177" t="s">
        <v>96</v>
      </c>
      <c r="C1" s="177"/>
      <c r="D1" s="177"/>
      <c r="E1" s="177"/>
      <c r="F1" s="177"/>
      <c r="G1" s="178"/>
    </row>
    <row r="2" spans="1:7" s="55" customFormat="1" ht="28.5" customHeight="1" x14ac:dyDescent="0.3">
      <c r="C2" s="56" t="s">
        <v>1</v>
      </c>
      <c r="D2" s="56" t="s">
        <v>59</v>
      </c>
      <c r="E2" s="56" t="s">
        <v>60</v>
      </c>
      <c r="F2" s="56" t="s">
        <v>61</v>
      </c>
      <c r="G2" s="83" t="s">
        <v>5</v>
      </c>
    </row>
    <row r="3" spans="1:7" s="55" customFormat="1" ht="28.5" customHeight="1" x14ac:dyDescent="0.3">
      <c r="B3" s="59" t="s">
        <v>0</v>
      </c>
      <c r="C3" s="60">
        <v>1320</v>
      </c>
      <c r="D3" s="60">
        <v>1461</v>
      </c>
      <c r="E3" s="60">
        <v>124</v>
      </c>
      <c r="F3" s="60">
        <v>1325</v>
      </c>
      <c r="G3" s="60">
        <v>4230</v>
      </c>
    </row>
    <row r="4" spans="1:7" s="59" customFormat="1" ht="25.5" customHeight="1" x14ac:dyDescent="0.3">
      <c r="A4" s="61"/>
      <c r="B4" s="59" t="s">
        <v>62</v>
      </c>
      <c r="C4" s="62">
        <v>646</v>
      </c>
      <c r="D4" s="62">
        <v>1430</v>
      </c>
      <c r="E4" s="62">
        <v>111</v>
      </c>
      <c r="F4" s="62">
        <v>817</v>
      </c>
      <c r="G4" s="60">
        <v>3004</v>
      </c>
    </row>
    <row r="5" spans="1:7" s="64" customFormat="1" ht="12.75" customHeight="1" x14ac:dyDescent="0.3">
      <c r="A5" s="63">
        <v>51</v>
      </c>
      <c r="B5" s="64" t="s">
        <v>10</v>
      </c>
      <c r="C5" s="65">
        <v>17</v>
      </c>
      <c r="D5" s="65">
        <v>18</v>
      </c>
      <c r="E5" s="65">
        <v>0</v>
      </c>
      <c r="F5" s="65">
        <v>25</v>
      </c>
      <c r="G5" s="60">
        <v>60</v>
      </c>
    </row>
    <row r="6" spans="1:7" s="64" customFormat="1" ht="12.75" customHeight="1" x14ac:dyDescent="0.3">
      <c r="A6" s="63">
        <v>52</v>
      </c>
      <c r="B6" s="64" t="s">
        <v>11</v>
      </c>
      <c r="C6" s="65">
        <v>8</v>
      </c>
      <c r="D6" s="65">
        <v>12</v>
      </c>
      <c r="E6" s="65">
        <v>0</v>
      </c>
      <c r="F6" s="65">
        <v>8</v>
      </c>
      <c r="G6" s="60">
        <v>28</v>
      </c>
    </row>
    <row r="7" spans="1:7" s="64" customFormat="1" ht="12.75" customHeight="1" x14ac:dyDescent="0.3">
      <c r="A7" s="63">
        <v>86</v>
      </c>
      <c r="B7" s="64" t="s">
        <v>12</v>
      </c>
      <c r="C7" s="65">
        <v>10</v>
      </c>
      <c r="D7" s="65">
        <v>10</v>
      </c>
      <c r="E7" s="65">
        <v>6</v>
      </c>
      <c r="F7" s="65">
        <v>6</v>
      </c>
      <c r="G7" s="60">
        <v>32</v>
      </c>
    </row>
    <row r="8" spans="1:7" s="64" customFormat="1" ht="13.8" x14ac:dyDescent="0.3">
      <c r="A8" s="63">
        <v>53</v>
      </c>
      <c r="B8" s="64" t="s">
        <v>13</v>
      </c>
      <c r="C8" s="65">
        <v>12</v>
      </c>
      <c r="D8" s="65">
        <v>13</v>
      </c>
      <c r="E8" s="65">
        <v>2</v>
      </c>
      <c r="F8" s="65">
        <v>9</v>
      </c>
      <c r="G8" s="60">
        <v>36</v>
      </c>
    </row>
    <row r="9" spans="1:7" s="64" customFormat="1" ht="12.75" customHeight="1" x14ac:dyDescent="0.3">
      <c r="A9" s="63">
        <v>54</v>
      </c>
      <c r="B9" s="64" t="s">
        <v>14</v>
      </c>
      <c r="C9" s="65">
        <v>9</v>
      </c>
      <c r="D9" s="65">
        <v>35</v>
      </c>
      <c r="E9" s="65">
        <v>18</v>
      </c>
      <c r="F9" s="65">
        <v>25</v>
      </c>
      <c r="G9" s="60">
        <v>87</v>
      </c>
    </row>
    <row r="10" spans="1:7" s="64" customFormat="1" ht="12.75" customHeight="1" x14ac:dyDescent="0.3">
      <c r="A10" s="63">
        <v>55</v>
      </c>
      <c r="B10" s="64" t="s">
        <v>15</v>
      </c>
      <c r="C10" s="65">
        <v>31</v>
      </c>
      <c r="D10" s="65">
        <v>22</v>
      </c>
      <c r="E10" s="65">
        <v>1</v>
      </c>
      <c r="F10" s="65">
        <v>38</v>
      </c>
      <c r="G10" s="60">
        <v>92</v>
      </c>
    </row>
    <row r="11" spans="1:7" s="64" customFormat="1" ht="13.5" customHeight="1" x14ac:dyDescent="0.3">
      <c r="A11" s="63">
        <v>56</v>
      </c>
      <c r="B11" s="64" t="s">
        <v>16</v>
      </c>
      <c r="C11" s="65">
        <v>25</v>
      </c>
      <c r="D11" s="65">
        <v>12</v>
      </c>
      <c r="E11" s="65">
        <v>4</v>
      </c>
      <c r="F11" s="65">
        <v>17</v>
      </c>
      <c r="G11" s="60">
        <v>58</v>
      </c>
    </row>
    <row r="12" spans="1:7" s="64" customFormat="1" ht="13.5" customHeight="1" x14ac:dyDescent="0.3">
      <c r="A12" s="63">
        <v>57</v>
      </c>
      <c r="B12" s="64" t="s">
        <v>17</v>
      </c>
      <c r="C12" s="65">
        <v>4</v>
      </c>
      <c r="D12" s="65">
        <v>20</v>
      </c>
      <c r="E12" s="65">
        <v>0</v>
      </c>
      <c r="F12" s="65">
        <v>4</v>
      </c>
      <c r="G12" s="60">
        <v>28</v>
      </c>
    </row>
    <row r="13" spans="1:7" s="64" customFormat="1" ht="12.75" customHeight="1" x14ac:dyDescent="0.3">
      <c r="A13" s="63">
        <v>59</v>
      </c>
      <c r="B13" s="64" t="s">
        <v>18</v>
      </c>
      <c r="C13" s="65">
        <v>19</v>
      </c>
      <c r="D13" s="65">
        <v>37</v>
      </c>
      <c r="E13" s="65">
        <v>3</v>
      </c>
      <c r="F13" s="65">
        <v>17</v>
      </c>
      <c r="G13" s="60">
        <v>76</v>
      </c>
    </row>
    <row r="14" spans="1:7" s="64" customFormat="1" ht="12.75" customHeight="1" x14ac:dyDescent="0.3">
      <c r="A14" s="63">
        <v>60</v>
      </c>
      <c r="B14" s="64" t="s">
        <v>19</v>
      </c>
      <c r="C14" s="65">
        <v>27</v>
      </c>
      <c r="D14" s="65">
        <v>42</v>
      </c>
      <c r="E14" s="65">
        <v>7</v>
      </c>
      <c r="F14" s="65">
        <v>57</v>
      </c>
      <c r="G14" s="60">
        <v>133</v>
      </c>
    </row>
    <row r="15" spans="1:7" s="64" customFormat="1" ht="12.75" customHeight="1" x14ac:dyDescent="0.3">
      <c r="A15" s="63">
        <v>61</v>
      </c>
      <c r="B15" s="66" t="s">
        <v>63</v>
      </c>
      <c r="C15" s="65">
        <v>24</v>
      </c>
      <c r="D15" s="65">
        <v>96</v>
      </c>
      <c r="E15" s="65">
        <v>14</v>
      </c>
      <c r="F15" s="65">
        <v>33</v>
      </c>
      <c r="G15" s="60">
        <v>167</v>
      </c>
    </row>
    <row r="16" spans="1:7" s="64" customFormat="1" ht="12.75" customHeight="1" x14ac:dyDescent="0.3">
      <c r="A16" s="63">
        <v>62</v>
      </c>
      <c r="B16" s="64" t="s">
        <v>105</v>
      </c>
      <c r="C16" s="65">
        <f>C62+C63</f>
        <v>13</v>
      </c>
      <c r="D16" s="65">
        <f t="shared" ref="D16:G16" si="0">D62+D63</f>
        <v>61</v>
      </c>
      <c r="E16" s="65">
        <f t="shared" si="0"/>
        <v>0</v>
      </c>
      <c r="F16" s="65">
        <f t="shared" si="0"/>
        <v>31</v>
      </c>
      <c r="G16" s="65">
        <f t="shared" si="0"/>
        <v>105</v>
      </c>
    </row>
    <row r="17" spans="1:7" s="64" customFormat="1" ht="12.75" customHeight="1" x14ac:dyDescent="0.3">
      <c r="A17" s="63">
        <v>58</v>
      </c>
      <c r="B17" s="64" t="s">
        <v>22</v>
      </c>
      <c r="C17" s="65">
        <v>17</v>
      </c>
      <c r="D17" s="65">
        <v>12</v>
      </c>
      <c r="E17" s="65">
        <v>2</v>
      </c>
      <c r="F17" s="65">
        <v>14</v>
      </c>
      <c r="G17" s="60">
        <v>45</v>
      </c>
    </row>
    <row r="18" spans="1:7" s="64" customFormat="1" ht="12.75" customHeight="1" x14ac:dyDescent="0.3">
      <c r="A18" s="63">
        <v>63</v>
      </c>
      <c r="B18" s="64" t="s">
        <v>23</v>
      </c>
      <c r="C18" s="65">
        <v>18</v>
      </c>
      <c r="D18" s="65">
        <v>35</v>
      </c>
      <c r="E18" s="65">
        <v>1</v>
      </c>
      <c r="F18" s="65">
        <v>9</v>
      </c>
      <c r="G18" s="60">
        <v>63</v>
      </c>
    </row>
    <row r="19" spans="1:7" s="64" customFormat="1" ht="12.75" customHeight="1" x14ac:dyDescent="0.3">
      <c r="A19" s="63">
        <v>64</v>
      </c>
      <c r="B19" s="64" t="s">
        <v>24</v>
      </c>
      <c r="C19" s="65">
        <v>37</v>
      </c>
      <c r="D19" s="65">
        <v>53</v>
      </c>
      <c r="E19" s="65">
        <v>4</v>
      </c>
      <c r="F19" s="65">
        <v>37</v>
      </c>
      <c r="G19" s="60">
        <v>131</v>
      </c>
    </row>
    <row r="20" spans="1:7" s="64" customFormat="1" ht="12.75" customHeight="1" x14ac:dyDescent="0.3">
      <c r="A20" s="63">
        <v>65</v>
      </c>
      <c r="B20" s="64" t="s">
        <v>25</v>
      </c>
      <c r="C20" s="65">
        <v>7</v>
      </c>
      <c r="D20" s="65">
        <v>25</v>
      </c>
      <c r="E20" s="65">
        <v>1</v>
      </c>
      <c r="F20" s="65">
        <v>5</v>
      </c>
      <c r="G20" s="60">
        <v>38</v>
      </c>
    </row>
    <row r="21" spans="1:7" s="64" customFormat="1" ht="12.75" customHeight="1" x14ac:dyDescent="0.3">
      <c r="A21" s="63">
        <v>67</v>
      </c>
      <c r="B21" s="64" t="s">
        <v>97</v>
      </c>
      <c r="C21" s="65">
        <v>23</v>
      </c>
      <c r="D21" s="65">
        <v>79</v>
      </c>
      <c r="E21" s="65">
        <v>4</v>
      </c>
      <c r="F21" s="65">
        <v>60</v>
      </c>
      <c r="G21" s="60">
        <v>166</v>
      </c>
    </row>
    <row r="22" spans="1:7" s="64" customFormat="1" ht="12.75" customHeight="1" x14ac:dyDescent="0.3">
      <c r="A22" s="63">
        <v>68</v>
      </c>
      <c r="B22" s="64" t="s">
        <v>64</v>
      </c>
      <c r="C22" s="65">
        <v>11</v>
      </c>
      <c r="D22" s="65">
        <v>34</v>
      </c>
      <c r="E22" s="65">
        <v>0</v>
      </c>
      <c r="F22" s="65">
        <v>20</v>
      </c>
      <c r="G22" s="60">
        <v>65</v>
      </c>
    </row>
    <row r="23" spans="1:7" s="64" customFormat="1" ht="12.75" customHeight="1" x14ac:dyDescent="0.3">
      <c r="A23" s="63">
        <v>69</v>
      </c>
      <c r="B23" s="64" t="s">
        <v>30</v>
      </c>
      <c r="C23" s="65">
        <v>23</v>
      </c>
      <c r="D23" s="65">
        <v>22</v>
      </c>
      <c r="E23" s="65">
        <v>1</v>
      </c>
      <c r="F23" s="65">
        <v>13</v>
      </c>
      <c r="G23" s="60">
        <v>59</v>
      </c>
    </row>
    <row r="24" spans="1:7" s="64" customFormat="1" ht="12.75" customHeight="1" x14ac:dyDescent="0.3">
      <c r="A24" s="63">
        <v>70</v>
      </c>
      <c r="B24" s="64" t="s">
        <v>31</v>
      </c>
      <c r="C24" s="65">
        <v>36</v>
      </c>
      <c r="D24" s="65">
        <v>21</v>
      </c>
      <c r="E24" s="65">
        <v>0</v>
      </c>
      <c r="F24" s="65">
        <v>22</v>
      </c>
      <c r="G24" s="60">
        <v>79</v>
      </c>
    </row>
    <row r="25" spans="1:7" s="64" customFormat="1" ht="12.75" customHeight="1" x14ac:dyDescent="0.3">
      <c r="A25" s="63">
        <v>71</v>
      </c>
      <c r="B25" s="64" t="s">
        <v>65</v>
      </c>
      <c r="C25" s="65">
        <v>4</v>
      </c>
      <c r="D25" s="65">
        <v>21</v>
      </c>
      <c r="E25" s="65">
        <v>12</v>
      </c>
      <c r="F25" s="65">
        <v>4</v>
      </c>
      <c r="G25" s="60">
        <v>41</v>
      </c>
    </row>
    <row r="26" spans="1:7" s="64" customFormat="1" ht="12.75" customHeight="1" x14ac:dyDescent="0.3">
      <c r="A26" s="63">
        <v>73</v>
      </c>
      <c r="B26" s="64" t="s">
        <v>34</v>
      </c>
      <c r="C26" s="65">
        <v>23</v>
      </c>
      <c r="D26" s="65">
        <v>162</v>
      </c>
      <c r="E26" s="65">
        <v>2</v>
      </c>
      <c r="F26" s="65">
        <v>29</v>
      </c>
      <c r="G26" s="60">
        <v>216</v>
      </c>
    </row>
    <row r="27" spans="1:7" s="64" customFormat="1" ht="12.75" customHeight="1" x14ac:dyDescent="0.3">
      <c r="A27" s="63">
        <v>74</v>
      </c>
      <c r="B27" s="64" t="s">
        <v>35</v>
      </c>
      <c r="C27" s="65">
        <v>31</v>
      </c>
      <c r="D27" s="65">
        <v>72</v>
      </c>
      <c r="E27" s="65">
        <v>3</v>
      </c>
      <c r="F27" s="65">
        <v>47</v>
      </c>
      <c r="G27" s="60">
        <v>153</v>
      </c>
    </row>
    <row r="28" spans="1:7" s="64" customFormat="1" ht="12.75" customHeight="1" x14ac:dyDescent="0.3">
      <c r="A28" s="63">
        <v>75</v>
      </c>
      <c r="B28" s="64" t="s">
        <v>36</v>
      </c>
      <c r="C28" s="65">
        <v>26</v>
      </c>
      <c r="D28" s="65">
        <v>29</v>
      </c>
      <c r="E28" s="65">
        <v>9</v>
      </c>
      <c r="F28" s="65">
        <v>16</v>
      </c>
      <c r="G28" s="60">
        <v>80</v>
      </c>
    </row>
    <row r="29" spans="1:7" s="64" customFormat="1" ht="12.75" customHeight="1" x14ac:dyDescent="0.3">
      <c r="A29" s="63">
        <v>76</v>
      </c>
      <c r="B29" s="64" t="s">
        <v>37</v>
      </c>
      <c r="C29" s="65">
        <v>9</v>
      </c>
      <c r="D29" s="65">
        <v>65</v>
      </c>
      <c r="E29" s="65">
        <v>2</v>
      </c>
      <c r="F29" s="65">
        <v>36</v>
      </c>
      <c r="G29" s="60">
        <v>112</v>
      </c>
    </row>
    <row r="30" spans="1:7" s="64" customFormat="1" ht="12.75" customHeight="1" x14ac:dyDescent="0.3">
      <c r="A30" s="63">
        <v>79</v>
      </c>
      <c r="B30" s="64" t="s">
        <v>39</v>
      </c>
      <c r="C30" s="65">
        <v>12</v>
      </c>
      <c r="D30" s="65">
        <v>41</v>
      </c>
      <c r="E30" s="65">
        <v>3</v>
      </c>
      <c r="F30" s="65">
        <v>31</v>
      </c>
      <c r="G30" s="60">
        <v>87</v>
      </c>
    </row>
    <row r="31" spans="1:7" s="64" customFormat="1" ht="12.75" customHeight="1" x14ac:dyDescent="0.3">
      <c r="A31" s="63"/>
      <c r="B31" s="95" t="s">
        <v>40</v>
      </c>
      <c r="C31" s="96" t="s">
        <v>75</v>
      </c>
      <c r="D31" s="96" t="s">
        <v>75</v>
      </c>
      <c r="E31" s="96" t="s">
        <v>75</v>
      </c>
      <c r="F31" s="96" t="s">
        <v>75</v>
      </c>
      <c r="G31" s="97" t="s">
        <v>75</v>
      </c>
    </row>
    <row r="32" spans="1:7" s="64" customFormat="1" ht="12.75" customHeight="1" x14ac:dyDescent="0.3">
      <c r="A32" s="63">
        <v>80</v>
      </c>
      <c r="B32" s="64" t="s">
        <v>41</v>
      </c>
      <c r="C32" s="65">
        <v>13</v>
      </c>
      <c r="D32" s="65">
        <v>41</v>
      </c>
      <c r="E32" s="65">
        <v>0</v>
      </c>
      <c r="F32" s="65">
        <v>16</v>
      </c>
      <c r="G32" s="60">
        <v>70</v>
      </c>
    </row>
    <row r="33" spans="1:9" s="64" customFormat="1" ht="13.5" customHeight="1" x14ac:dyDescent="0.3">
      <c r="A33" s="63">
        <v>81</v>
      </c>
      <c r="B33" s="64" t="s">
        <v>42</v>
      </c>
      <c r="C33" s="65">
        <v>9</v>
      </c>
      <c r="D33" s="65">
        <v>32</v>
      </c>
      <c r="E33" s="65">
        <v>2</v>
      </c>
      <c r="F33" s="65">
        <v>33</v>
      </c>
      <c r="G33" s="60">
        <v>76</v>
      </c>
    </row>
    <row r="34" spans="1:9" s="64" customFormat="1" ht="13.5" customHeight="1" x14ac:dyDescent="0.3">
      <c r="A34" s="63">
        <v>83</v>
      </c>
      <c r="B34" s="64" t="s">
        <v>43</v>
      </c>
      <c r="C34" s="65">
        <v>5</v>
      </c>
      <c r="D34" s="65">
        <v>23</v>
      </c>
      <c r="E34" s="65">
        <v>0</v>
      </c>
      <c r="F34" s="65">
        <v>4</v>
      </c>
      <c r="G34" s="60">
        <v>32</v>
      </c>
    </row>
    <row r="35" spans="1:9" s="64" customFormat="1" ht="14.25" customHeight="1" x14ac:dyDescent="0.3">
      <c r="A35" s="63">
        <v>84</v>
      </c>
      <c r="B35" s="64" t="s">
        <v>44</v>
      </c>
      <c r="C35" s="65">
        <v>32</v>
      </c>
      <c r="D35" s="65">
        <v>23</v>
      </c>
      <c r="E35" s="65">
        <v>6</v>
      </c>
      <c r="F35" s="65">
        <v>22</v>
      </c>
      <c r="G35" s="60">
        <v>83</v>
      </c>
    </row>
    <row r="36" spans="1:9" s="64" customFormat="1" ht="12.75" customHeight="1" x14ac:dyDescent="0.3">
      <c r="A36" s="63">
        <v>85</v>
      </c>
      <c r="B36" s="64" t="s">
        <v>45</v>
      </c>
      <c r="C36" s="65">
        <v>10</v>
      </c>
      <c r="D36" s="65">
        <v>49</v>
      </c>
      <c r="E36" s="65">
        <v>0</v>
      </c>
      <c r="F36" s="65">
        <v>5</v>
      </c>
      <c r="G36" s="60">
        <v>64</v>
      </c>
    </row>
    <row r="37" spans="1:9" s="64" customFormat="1" ht="12.75" customHeight="1" x14ac:dyDescent="0.3">
      <c r="A37" s="63">
        <v>87</v>
      </c>
      <c r="B37" s="64" t="s">
        <v>46</v>
      </c>
      <c r="C37" s="65">
        <v>7</v>
      </c>
      <c r="D37" s="65">
        <v>21</v>
      </c>
      <c r="E37" s="65">
        <v>1</v>
      </c>
      <c r="F37" s="65">
        <v>12</v>
      </c>
      <c r="G37" s="60">
        <v>41</v>
      </c>
      <c r="I37" s="67"/>
    </row>
    <row r="38" spans="1:9" s="64" customFormat="1" ht="12.75" customHeight="1" x14ac:dyDescent="0.3">
      <c r="A38" s="63">
        <v>90</v>
      </c>
      <c r="B38" s="64" t="s">
        <v>48</v>
      </c>
      <c r="C38" s="65">
        <v>31</v>
      </c>
      <c r="D38" s="65">
        <v>58</v>
      </c>
      <c r="E38" s="65">
        <v>0</v>
      </c>
      <c r="F38" s="65">
        <v>25</v>
      </c>
      <c r="G38" s="60">
        <v>114</v>
      </c>
    </row>
    <row r="39" spans="1:9" s="64" customFormat="1" ht="12.75" customHeight="1" x14ac:dyDescent="0.3">
      <c r="A39" s="63">
        <v>91</v>
      </c>
      <c r="B39" s="64" t="s">
        <v>49</v>
      </c>
      <c r="C39" s="65">
        <v>8</v>
      </c>
      <c r="D39" s="65">
        <v>34</v>
      </c>
      <c r="E39" s="65">
        <v>0</v>
      </c>
      <c r="F39" s="65">
        <v>33</v>
      </c>
      <c r="G39" s="60">
        <v>75</v>
      </c>
    </row>
    <row r="40" spans="1:9" s="64" customFormat="1" ht="12.75" customHeight="1" x14ac:dyDescent="0.3">
      <c r="A40" s="63">
        <v>92</v>
      </c>
      <c r="B40" s="64" t="s">
        <v>50</v>
      </c>
      <c r="C40" s="65">
        <v>24</v>
      </c>
      <c r="D40" s="65">
        <v>7</v>
      </c>
      <c r="E40" s="65">
        <v>0</v>
      </c>
      <c r="F40" s="65">
        <v>12</v>
      </c>
      <c r="G40" s="60">
        <v>43</v>
      </c>
    </row>
    <row r="41" spans="1:9" s="64" customFormat="1" ht="12.75" customHeight="1" x14ac:dyDescent="0.3">
      <c r="A41" s="63">
        <v>94</v>
      </c>
      <c r="B41" s="64" t="s">
        <v>52</v>
      </c>
      <c r="C41" s="65">
        <v>16</v>
      </c>
      <c r="D41" s="65">
        <v>32</v>
      </c>
      <c r="E41" s="65">
        <v>0</v>
      </c>
      <c r="F41" s="65">
        <v>21</v>
      </c>
      <c r="G41" s="60">
        <v>69</v>
      </c>
    </row>
    <row r="42" spans="1:9" s="64" customFormat="1" ht="12.75" customHeight="1" x14ac:dyDescent="0.3">
      <c r="A42" s="63">
        <v>96</v>
      </c>
      <c r="B42" s="64" t="s">
        <v>54</v>
      </c>
      <c r="C42" s="65">
        <v>14</v>
      </c>
      <c r="D42" s="65">
        <v>61</v>
      </c>
      <c r="E42" s="65">
        <v>3</v>
      </c>
      <c r="F42" s="65">
        <v>21</v>
      </c>
      <c r="G42" s="60">
        <v>99</v>
      </c>
      <c r="H42" s="67"/>
    </row>
    <row r="43" spans="1:9" s="64" customFormat="1" ht="12.75" customHeight="1" x14ac:dyDescent="0.3">
      <c r="A43" s="63">
        <v>72</v>
      </c>
      <c r="B43" s="64" t="s">
        <v>33</v>
      </c>
      <c r="C43" s="65">
        <v>1</v>
      </c>
      <c r="D43" s="65">
        <v>0</v>
      </c>
      <c r="E43" s="65">
        <v>0</v>
      </c>
      <c r="F43" s="65">
        <v>0</v>
      </c>
      <c r="G43" s="60">
        <v>1</v>
      </c>
    </row>
    <row r="44" spans="1:9" s="59" customFormat="1" ht="25.5" customHeight="1" x14ac:dyDescent="0.3">
      <c r="B44" s="59" t="s">
        <v>66</v>
      </c>
      <c r="C44" s="62">
        <v>674</v>
      </c>
      <c r="D44" s="62">
        <v>31</v>
      </c>
      <c r="E44" s="62">
        <v>13</v>
      </c>
      <c r="F44" s="62">
        <v>508</v>
      </c>
      <c r="G44" s="60">
        <v>1226</v>
      </c>
    </row>
    <row r="45" spans="1:9" s="64" customFormat="1" ht="12.75" customHeight="1" x14ac:dyDescent="0.3">
      <c r="A45" s="63">
        <v>66</v>
      </c>
      <c r="B45" s="64" t="s">
        <v>27</v>
      </c>
      <c r="C45" s="65">
        <v>118</v>
      </c>
      <c r="D45" s="68">
        <v>3</v>
      </c>
      <c r="E45" s="68">
        <v>0</v>
      </c>
      <c r="F45" s="68">
        <v>148</v>
      </c>
      <c r="G45" s="60">
        <v>269</v>
      </c>
    </row>
    <row r="46" spans="1:9" s="64" customFormat="1" ht="14.25" customHeight="1" x14ac:dyDescent="0.3">
      <c r="A46" s="63">
        <v>78</v>
      </c>
      <c r="B46" s="64" t="s">
        <v>38</v>
      </c>
      <c r="C46" s="65">
        <v>66</v>
      </c>
      <c r="D46" s="68">
        <v>7</v>
      </c>
      <c r="E46" s="68">
        <v>3</v>
      </c>
      <c r="F46" s="68">
        <v>73</v>
      </c>
      <c r="G46" s="60">
        <v>149</v>
      </c>
    </row>
    <row r="47" spans="1:9" s="64" customFormat="1" ht="12.75" customHeight="1" x14ac:dyDescent="0.3">
      <c r="A47" s="63">
        <v>89</v>
      </c>
      <c r="B47" s="64" t="s">
        <v>47</v>
      </c>
      <c r="C47" s="65">
        <v>26</v>
      </c>
      <c r="D47" s="68">
        <v>12</v>
      </c>
      <c r="E47" s="68">
        <v>1</v>
      </c>
      <c r="F47" s="68">
        <v>36</v>
      </c>
      <c r="G47" s="60">
        <v>75</v>
      </c>
    </row>
    <row r="48" spans="1:9" s="64" customFormat="1" ht="12.75" customHeight="1" x14ac:dyDescent="0.3">
      <c r="A48" s="63">
        <v>93</v>
      </c>
      <c r="B48" s="64" t="s">
        <v>67</v>
      </c>
      <c r="C48" s="65">
        <v>35</v>
      </c>
      <c r="D48" s="68">
        <v>4</v>
      </c>
      <c r="E48" s="68">
        <v>1</v>
      </c>
      <c r="F48" s="68">
        <v>20</v>
      </c>
      <c r="G48" s="60">
        <v>60</v>
      </c>
    </row>
    <row r="49" spans="1:9" s="64" customFormat="1" ht="12.75" customHeight="1" x14ac:dyDescent="0.3">
      <c r="A49" s="63">
        <v>95</v>
      </c>
      <c r="B49" s="64" t="s">
        <v>53</v>
      </c>
      <c r="C49" s="65">
        <v>82</v>
      </c>
      <c r="D49" s="68">
        <v>0</v>
      </c>
      <c r="E49" s="68">
        <v>1</v>
      </c>
      <c r="F49" s="68">
        <v>70</v>
      </c>
      <c r="G49" s="60">
        <v>153</v>
      </c>
    </row>
    <row r="50" spans="1:9" s="64" customFormat="1" ht="12.75" customHeight="1" x14ac:dyDescent="0.3">
      <c r="A50" s="63">
        <v>97</v>
      </c>
      <c r="B50" s="64" t="s">
        <v>55</v>
      </c>
      <c r="C50" s="65">
        <v>60</v>
      </c>
      <c r="D50" s="68">
        <v>5</v>
      </c>
      <c r="E50" s="68">
        <v>3</v>
      </c>
      <c r="F50" s="68">
        <v>19</v>
      </c>
      <c r="G50" s="60">
        <v>87</v>
      </c>
    </row>
    <row r="51" spans="1:9" s="73" customFormat="1" ht="12.75" customHeight="1" x14ac:dyDescent="0.3">
      <c r="A51" s="63">
        <v>77</v>
      </c>
      <c r="B51" s="69" t="s">
        <v>26</v>
      </c>
      <c r="C51" s="70">
        <v>287</v>
      </c>
      <c r="D51" s="70">
        <v>0</v>
      </c>
      <c r="E51" s="71">
        <v>4</v>
      </c>
      <c r="F51" s="71">
        <v>142</v>
      </c>
      <c r="G51" s="72">
        <v>433</v>
      </c>
    </row>
    <row r="52" spans="1:9" s="64" customFormat="1" ht="10.5" customHeight="1" x14ac:dyDescent="0.3">
      <c r="A52" s="63"/>
      <c r="C52" s="74"/>
      <c r="D52" s="74"/>
      <c r="E52" s="74"/>
      <c r="F52" s="74"/>
      <c r="G52" s="74"/>
      <c r="I52" s="75"/>
    </row>
    <row r="53" spans="1:9" s="64" customFormat="1" ht="13.5" customHeight="1" x14ac:dyDescent="0.3">
      <c r="A53" s="63"/>
      <c r="B53" s="64" t="s">
        <v>68</v>
      </c>
      <c r="H53" s="75"/>
      <c r="I53" s="75"/>
    </row>
    <row r="54" spans="1:9" s="64" customFormat="1" ht="13.5" customHeight="1" x14ac:dyDescent="0.3">
      <c r="A54" s="63"/>
      <c r="B54" s="64" t="s">
        <v>98</v>
      </c>
      <c r="H54" s="75"/>
      <c r="I54" s="75"/>
    </row>
    <row r="55" spans="1:9" s="64" customFormat="1" ht="13.5" customHeight="1" x14ac:dyDescent="0.3">
      <c r="A55" s="63"/>
      <c r="H55" s="75"/>
      <c r="I55" s="75"/>
    </row>
    <row r="56" spans="1:9" s="64" customFormat="1" x14ac:dyDescent="0.3">
      <c r="A56" s="63"/>
      <c r="B56" s="45" t="s">
        <v>69</v>
      </c>
      <c r="H56" s="75"/>
      <c r="I56" s="75"/>
    </row>
    <row r="57" spans="1:9" x14ac:dyDescent="0.3">
      <c r="A57" s="63"/>
      <c r="F57" s="77"/>
      <c r="G57" s="77"/>
    </row>
    <row r="58" spans="1:9" x14ac:dyDescent="0.3">
      <c r="A58" s="63"/>
    </row>
    <row r="59" spans="1:9" x14ac:dyDescent="0.3">
      <c r="A59" s="63"/>
    </row>
    <row r="60" spans="1:9" x14ac:dyDescent="0.3">
      <c r="A60" s="63"/>
      <c r="E60" s="78"/>
    </row>
    <row r="62" spans="1:9" ht="13.8" x14ac:dyDescent="0.3">
      <c r="A62" s="63">
        <v>62</v>
      </c>
      <c r="B62" s="64" t="s">
        <v>21</v>
      </c>
      <c r="C62" s="65">
        <v>7</v>
      </c>
      <c r="D62" s="65">
        <v>19</v>
      </c>
      <c r="E62" s="65">
        <v>0</v>
      </c>
      <c r="F62" s="65">
        <v>17</v>
      </c>
      <c r="G62" s="60">
        <v>43</v>
      </c>
    </row>
    <row r="63" spans="1:9" ht="13.8" x14ac:dyDescent="0.3">
      <c r="A63" s="63">
        <v>98</v>
      </c>
      <c r="B63" s="64" t="s">
        <v>56</v>
      </c>
      <c r="C63" s="65">
        <v>6</v>
      </c>
      <c r="D63" s="65">
        <v>42</v>
      </c>
      <c r="E63" s="65">
        <v>0</v>
      </c>
      <c r="F63" s="65">
        <v>14</v>
      </c>
      <c r="G63" s="60">
        <v>62</v>
      </c>
    </row>
  </sheetData>
  <mergeCells count="1">
    <mergeCell ref="B1:G1"/>
  </mergeCells>
  <printOptions horizontalCentered="1" verticalCentered="1"/>
  <pageMargins left="0.2" right="0.34" top="0.32" bottom="0.25" header="0.51181102362204722" footer="0.51181102362204722"/>
  <pageSetup paperSize="9" scale="65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22"/>
  </sheetPr>
  <dimension ref="A1:M64"/>
  <sheetViews>
    <sheetView workbookViewId="0">
      <selection activeCell="C3" sqref="C3"/>
    </sheetView>
  </sheetViews>
  <sheetFormatPr defaultColWidth="0" defaultRowHeight="13.2" x14ac:dyDescent="0.3"/>
  <cols>
    <col min="1" max="1" width="3.5546875" style="75" customWidth="1"/>
    <col min="2" max="2" width="27.5546875" style="75" bestFit="1" customWidth="1"/>
    <col min="3" max="3" width="20.21875" style="75" customWidth="1"/>
    <col min="4" max="4" width="21.77734375" style="75" customWidth="1"/>
    <col min="5" max="5" width="18.77734375" style="75" customWidth="1"/>
    <col min="6" max="6" width="21.44140625" style="75" customWidth="1"/>
    <col min="7" max="7" width="26.5546875" style="75" customWidth="1"/>
    <col min="8" max="8" width="9.21875" style="75" customWidth="1"/>
    <col min="9" max="256" width="0" style="75" hidden="1"/>
    <col min="257" max="257" width="0" style="75" hidden="1" customWidth="1"/>
    <col min="258" max="258" width="27.5546875" style="75" bestFit="1" customWidth="1"/>
    <col min="259" max="259" width="20.21875" style="75" customWidth="1"/>
    <col min="260" max="260" width="21.77734375" style="75" customWidth="1"/>
    <col min="261" max="261" width="18.77734375" style="75" customWidth="1"/>
    <col min="262" max="262" width="21.44140625" style="75" customWidth="1"/>
    <col min="263" max="263" width="26.5546875" style="75" customWidth="1"/>
    <col min="264" max="264" width="9.21875" style="75" customWidth="1"/>
    <col min="265" max="512" width="0" style="75" hidden="1"/>
    <col min="513" max="513" width="0" style="75" hidden="1" customWidth="1"/>
    <col min="514" max="514" width="27.5546875" style="75" bestFit="1" customWidth="1"/>
    <col min="515" max="515" width="20.21875" style="75" customWidth="1"/>
    <col min="516" max="516" width="21.77734375" style="75" customWidth="1"/>
    <col min="517" max="517" width="18.77734375" style="75" customWidth="1"/>
    <col min="518" max="518" width="21.44140625" style="75" customWidth="1"/>
    <col min="519" max="519" width="26.5546875" style="75" customWidth="1"/>
    <col min="520" max="520" width="9.21875" style="75" customWidth="1"/>
    <col min="521" max="768" width="0" style="75" hidden="1"/>
    <col min="769" max="769" width="0" style="75" hidden="1" customWidth="1"/>
    <col min="770" max="770" width="27.5546875" style="75" bestFit="1" customWidth="1"/>
    <col min="771" max="771" width="20.21875" style="75" customWidth="1"/>
    <col min="772" max="772" width="21.77734375" style="75" customWidth="1"/>
    <col min="773" max="773" width="18.77734375" style="75" customWidth="1"/>
    <col min="774" max="774" width="21.44140625" style="75" customWidth="1"/>
    <col min="775" max="775" width="26.5546875" style="75" customWidth="1"/>
    <col min="776" max="776" width="9.21875" style="75" customWidth="1"/>
    <col min="777" max="1024" width="0" style="75" hidden="1"/>
    <col min="1025" max="1025" width="0" style="75" hidden="1" customWidth="1"/>
    <col min="1026" max="1026" width="27.5546875" style="75" bestFit="1" customWidth="1"/>
    <col min="1027" max="1027" width="20.21875" style="75" customWidth="1"/>
    <col min="1028" max="1028" width="21.77734375" style="75" customWidth="1"/>
    <col min="1029" max="1029" width="18.77734375" style="75" customWidth="1"/>
    <col min="1030" max="1030" width="21.44140625" style="75" customWidth="1"/>
    <col min="1031" max="1031" width="26.5546875" style="75" customWidth="1"/>
    <col min="1032" max="1032" width="9.21875" style="75" customWidth="1"/>
    <col min="1033" max="1280" width="0" style="75" hidden="1"/>
    <col min="1281" max="1281" width="0" style="75" hidden="1" customWidth="1"/>
    <col min="1282" max="1282" width="27.5546875" style="75" bestFit="1" customWidth="1"/>
    <col min="1283" max="1283" width="20.21875" style="75" customWidth="1"/>
    <col min="1284" max="1284" width="21.77734375" style="75" customWidth="1"/>
    <col min="1285" max="1285" width="18.77734375" style="75" customWidth="1"/>
    <col min="1286" max="1286" width="21.44140625" style="75" customWidth="1"/>
    <col min="1287" max="1287" width="26.5546875" style="75" customWidth="1"/>
    <col min="1288" max="1288" width="9.21875" style="75" customWidth="1"/>
    <col min="1289" max="1536" width="0" style="75" hidden="1"/>
    <col min="1537" max="1537" width="0" style="75" hidden="1" customWidth="1"/>
    <col min="1538" max="1538" width="27.5546875" style="75" bestFit="1" customWidth="1"/>
    <col min="1539" max="1539" width="20.21875" style="75" customWidth="1"/>
    <col min="1540" max="1540" width="21.77734375" style="75" customWidth="1"/>
    <col min="1541" max="1541" width="18.77734375" style="75" customWidth="1"/>
    <col min="1542" max="1542" width="21.44140625" style="75" customWidth="1"/>
    <col min="1543" max="1543" width="26.5546875" style="75" customWidth="1"/>
    <col min="1544" max="1544" width="9.21875" style="75" customWidth="1"/>
    <col min="1545" max="1792" width="0" style="75" hidden="1"/>
    <col min="1793" max="1793" width="0" style="75" hidden="1" customWidth="1"/>
    <col min="1794" max="1794" width="27.5546875" style="75" bestFit="1" customWidth="1"/>
    <col min="1795" max="1795" width="20.21875" style="75" customWidth="1"/>
    <col min="1796" max="1796" width="21.77734375" style="75" customWidth="1"/>
    <col min="1797" max="1797" width="18.77734375" style="75" customWidth="1"/>
    <col min="1798" max="1798" width="21.44140625" style="75" customWidth="1"/>
    <col min="1799" max="1799" width="26.5546875" style="75" customWidth="1"/>
    <col min="1800" max="1800" width="9.21875" style="75" customWidth="1"/>
    <col min="1801" max="2048" width="0" style="75" hidden="1"/>
    <col min="2049" max="2049" width="0" style="75" hidden="1" customWidth="1"/>
    <col min="2050" max="2050" width="27.5546875" style="75" bestFit="1" customWidth="1"/>
    <col min="2051" max="2051" width="20.21875" style="75" customWidth="1"/>
    <col min="2052" max="2052" width="21.77734375" style="75" customWidth="1"/>
    <col min="2053" max="2053" width="18.77734375" style="75" customWidth="1"/>
    <col min="2054" max="2054" width="21.44140625" style="75" customWidth="1"/>
    <col min="2055" max="2055" width="26.5546875" style="75" customWidth="1"/>
    <col min="2056" max="2056" width="9.21875" style="75" customWidth="1"/>
    <col min="2057" max="2304" width="0" style="75" hidden="1"/>
    <col min="2305" max="2305" width="0" style="75" hidden="1" customWidth="1"/>
    <col min="2306" max="2306" width="27.5546875" style="75" bestFit="1" customWidth="1"/>
    <col min="2307" max="2307" width="20.21875" style="75" customWidth="1"/>
    <col min="2308" max="2308" width="21.77734375" style="75" customWidth="1"/>
    <col min="2309" max="2309" width="18.77734375" style="75" customWidth="1"/>
    <col min="2310" max="2310" width="21.44140625" style="75" customWidth="1"/>
    <col min="2311" max="2311" width="26.5546875" style="75" customWidth="1"/>
    <col min="2312" max="2312" width="9.21875" style="75" customWidth="1"/>
    <col min="2313" max="2560" width="0" style="75" hidden="1"/>
    <col min="2561" max="2561" width="0" style="75" hidden="1" customWidth="1"/>
    <col min="2562" max="2562" width="27.5546875" style="75" bestFit="1" customWidth="1"/>
    <col min="2563" max="2563" width="20.21875" style="75" customWidth="1"/>
    <col min="2564" max="2564" width="21.77734375" style="75" customWidth="1"/>
    <col min="2565" max="2565" width="18.77734375" style="75" customWidth="1"/>
    <col min="2566" max="2566" width="21.44140625" style="75" customWidth="1"/>
    <col min="2567" max="2567" width="26.5546875" style="75" customWidth="1"/>
    <col min="2568" max="2568" width="9.21875" style="75" customWidth="1"/>
    <col min="2569" max="2816" width="0" style="75" hidden="1"/>
    <col min="2817" max="2817" width="0" style="75" hidden="1" customWidth="1"/>
    <col min="2818" max="2818" width="27.5546875" style="75" bestFit="1" customWidth="1"/>
    <col min="2819" max="2819" width="20.21875" style="75" customWidth="1"/>
    <col min="2820" max="2820" width="21.77734375" style="75" customWidth="1"/>
    <col min="2821" max="2821" width="18.77734375" style="75" customWidth="1"/>
    <col min="2822" max="2822" width="21.44140625" style="75" customWidth="1"/>
    <col min="2823" max="2823" width="26.5546875" style="75" customWidth="1"/>
    <col min="2824" max="2824" width="9.21875" style="75" customWidth="1"/>
    <col min="2825" max="3072" width="0" style="75" hidden="1"/>
    <col min="3073" max="3073" width="0" style="75" hidden="1" customWidth="1"/>
    <col min="3074" max="3074" width="27.5546875" style="75" bestFit="1" customWidth="1"/>
    <col min="3075" max="3075" width="20.21875" style="75" customWidth="1"/>
    <col min="3076" max="3076" width="21.77734375" style="75" customWidth="1"/>
    <col min="3077" max="3077" width="18.77734375" style="75" customWidth="1"/>
    <col min="3078" max="3078" width="21.44140625" style="75" customWidth="1"/>
    <col min="3079" max="3079" width="26.5546875" style="75" customWidth="1"/>
    <col min="3080" max="3080" width="9.21875" style="75" customWidth="1"/>
    <col min="3081" max="3328" width="0" style="75" hidden="1"/>
    <col min="3329" max="3329" width="0" style="75" hidden="1" customWidth="1"/>
    <col min="3330" max="3330" width="27.5546875" style="75" bestFit="1" customWidth="1"/>
    <col min="3331" max="3331" width="20.21875" style="75" customWidth="1"/>
    <col min="3332" max="3332" width="21.77734375" style="75" customWidth="1"/>
    <col min="3333" max="3333" width="18.77734375" style="75" customWidth="1"/>
    <col min="3334" max="3334" width="21.44140625" style="75" customWidth="1"/>
    <col min="3335" max="3335" width="26.5546875" style="75" customWidth="1"/>
    <col min="3336" max="3336" width="9.21875" style="75" customWidth="1"/>
    <col min="3337" max="3584" width="0" style="75" hidden="1"/>
    <col min="3585" max="3585" width="0" style="75" hidden="1" customWidth="1"/>
    <col min="3586" max="3586" width="27.5546875" style="75" bestFit="1" customWidth="1"/>
    <col min="3587" max="3587" width="20.21875" style="75" customWidth="1"/>
    <col min="3588" max="3588" width="21.77734375" style="75" customWidth="1"/>
    <col min="3589" max="3589" width="18.77734375" style="75" customWidth="1"/>
    <col min="3590" max="3590" width="21.44140625" style="75" customWidth="1"/>
    <col min="3591" max="3591" width="26.5546875" style="75" customWidth="1"/>
    <col min="3592" max="3592" width="9.21875" style="75" customWidth="1"/>
    <col min="3593" max="3840" width="0" style="75" hidden="1"/>
    <col min="3841" max="3841" width="0" style="75" hidden="1" customWidth="1"/>
    <col min="3842" max="3842" width="27.5546875" style="75" bestFit="1" customWidth="1"/>
    <col min="3843" max="3843" width="20.21875" style="75" customWidth="1"/>
    <col min="3844" max="3844" width="21.77734375" style="75" customWidth="1"/>
    <col min="3845" max="3845" width="18.77734375" style="75" customWidth="1"/>
    <col min="3846" max="3846" width="21.44140625" style="75" customWidth="1"/>
    <col min="3847" max="3847" width="26.5546875" style="75" customWidth="1"/>
    <col min="3848" max="3848" width="9.21875" style="75" customWidth="1"/>
    <col min="3849" max="4096" width="0" style="75" hidden="1"/>
    <col min="4097" max="4097" width="0" style="75" hidden="1" customWidth="1"/>
    <col min="4098" max="4098" width="27.5546875" style="75" bestFit="1" customWidth="1"/>
    <col min="4099" max="4099" width="20.21875" style="75" customWidth="1"/>
    <col min="4100" max="4100" width="21.77734375" style="75" customWidth="1"/>
    <col min="4101" max="4101" width="18.77734375" style="75" customWidth="1"/>
    <col min="4102" max="4102" width="21.44140625" style="75" customWidth="1"/>
    <col min="4103" max="4103" width="26.5546875" style="75" customWidth="1"/>
    <col min="4104" max="4104" width="9.21875" style="75" customWidth="1"/>
    <col min="4105" max="4352" width="0" style="75" hidden="1"/>
    <col min="4353" max="4353" width="0" style="75" hidden="1" customWidth="1"/>
    <col min="4354" max="4354" width="27.5546875" style="75" bestFit="1" customWidth="1"/>
    <col min="4355" max="4355" width="20.21875" style="75" customWidth="1"/>
    <col min="4356" max="4356" width="21.77734375" style="75" customWidth="1"/>
    <col min="4357" max="4357" width="18.77734375" style="75" customWidth="1"/>
    <col min="4358" max="4358" width="21.44140625" style="75" customWidth="1"/>
    <col min="4359" max="4359" width="26.5546875" style="75" customWidth="1"/>
    <col min="4360" max="4360" width="9.21875" style="75" customWidth="1"/>
    <col min="4361" max="4608" width="0" style="75" hidden="1"/>
    <col min="4609" max="4609" width="0" style="75" hidden="1" customWidth="1"/>
    <col min="4610" max="4610" width="27.5546875" style="75" bestFit="1" customWidth="1"/>
    <col min="4611" max="4611" width="20.21875" style="75" customWidth="1"/>
    <col min="4612" max="4612" width="21.77734375" style="75" customWidth="1"/>
    <col min="4613" max="4613" width="18.77734375" style="75" customWidth="1"/>
    <col min="4614" max="4614" width="21.44140625" style="75" customWidth="1"/>
    <col min="4615" max="4615" width="26.5546875" style="75" customWidth="1"/>
    <col min="4616" max="4616" width="9.21875" style="75" customWidth="1"/>
    <col min="4617" max="4864" width="0" style="75" hidden="1"/>
    <col min="4865" max="4865" width="0" style="75" hidden="1" customWidth="1"/>
    <col min="4866" max="4866" width="27.5546875" style="75" bestFit="1" customWidth="1"/>
    <col min="4867" max="4867" width="20.21875" style="75" customWidth="1"/>
    <col min="4868" max="4868" width="21.77734375" style="75" customWidth="1"/>
    <col min="4869" max="4869" width="18.77734375" style="75" customWidth="1"/>
    <col min="4870" max="4870" width="21.44140625" style="75" customWidth="1"/>
    <col min="4871" max="4871" width="26.5546875" style="75" customWidth="1"/>
    <col min="4872" max="4872" width="9.21875" style="75" customWidth="1"/>
    <col min="4873" max="5120" width="0" style="75" hidden="1"/>
    <col min="5121" max="5121" width="0" style="75" hidden="1" customWidth="1"/>
    <col min="5122" max="5122" width="27.5546875" style="75" bestFit="1" customWidth="1"/>
    <col min="5123" max="5123" width="20.21875" style="75" customWidth="1"/>
    <col min="5124" max="5124" width="21.77734375" style="75" customWidth="1"/>
    <col min="5125" max="5125" width="18.77734375" style="75" customWidth="1"/>
    <col min="5126" max="5126" width="21.44140625" style="75" customWidth="1"/>
    <col min="5127" max="5127" width="26.5546875" style="75" customWidth="1"/>
    <col min="5128" max="5128" width="9.21875" style="75" customWidth="1"/>
    <col min="5129" max="5376" width="0" style="75" hidden="1"/>
    <col min="5377" max="5377" width="0" style="75" hidden="1" customWidth="1"/>
    <col min="5378" max="5378" width="27.5546875" style="75" bestFit="1" customWidth="1"/>
    <col min="5379" max="5379" width="20.21875" style="75" customWidth="1"/>
    <col min="5380" max="5380" width="21.77734375" style="75" customWidth="1"/>
    <col min="5381" max="5381" width="18.77734375" style="75" customWidth="1"/>
    <col min="5382" max="5382" width="21.44140625" style="75" customWidth="1"/>
    <col min="5383" max="5383" width="26.5546875" style="75" customWidth="1"/>
    <col min="5384" max="5384" width="9.21875" style="75" customWidth="1"/>
    <col min="5385" max="5632" width="0" style="75" hidden="1"/>
    <col min="5633" max="5633" width="0" style="75" hidden="1" customWidth="1"/>
    <col min="5634" max="5634" width="27.5546875" style="75" bestFit="1" customWidth="1"/>
    <col min="5635" max="5635" width="20.21875" style="75" customWidth="1"/>
    <col min="5636" max="5636" width="21.77734375" style="75" customWidth="1"/>
    <col min="5637" max="5637" width="18.77734375" style="75" customWidth="1"/>
    <col min="5638" max="5638" width="21.44140625" style="75" customWidth="1"/>
    <col min="5639" max="5639" width="26.5546875" style="75" customWidth="1"/>
    <col min="5640" max="5640" width="9.21875" style="75" customWidth="1"/>
    <col min="5641" max="5888" width="0" style="75" hidden="1"/>
    <col min="5889" max="5889" width="0" style="75" hidden="1" customWidth="1"/>
    <col min="5890" max="5890" width="27.5546875" style="75" bestFit="1" customWidth="1"/>
    <col min="5891" max="5891" width="20.21875" style="75" customWidth="1"/>
    <col min="5892" max="5892" width="21.77734375" style="75" customWidth="1"/>
    <col min="5893" max="5893" width="18.77734375" style="75" customWidth="1"/>
    <col min="5894" max="5894" width="21.44140625" style="75" customWidth="1"/>
    <col min="5895" max="5895" width="26.5546875" style="75" customWidth="1"/>
    <col min="5896" max="5896" width="9.21875" style="75" customWidth="1"/>
    <col min="5897" max="6144" width="0" style="75" hidden="1"/>
    <col min="6145" max="6145" width="0" style="75" hidden="1" customWidth="1"/>
    <col min="6146" max="6146" width="27.5546875" style="75" bestFit="1" customWidth="1"/>
    <col min="6147" max="6147" width="20.21875" style="75" customWidth="1"/>
    <col min="6148" max="6148" width="21.77734375" style="75" customWidth="1"/>
    <col min="6149" max="6149" width="18.77734375" style="75" customWidth="1"/>
    <col min="6150" max="6150" width="21.44140625" style="75" customWidth="1"/>
    <col min="6151" max="6151" width="26.5546875" style="75" customWidth="1"/>
    <col min="6152" max="6152" width="9.21875" style="75" customWidth="1"/>
    <col min="6153" max="6400" width="0" style="75" hidden="1"/>
    <col min="6401" max="6401" width="0" style="75" hidden="1" customWidth="1"/>
    <col min="6402" max="6402" width="27.5546875" style="75" bestFit="1" customWidth="1"/>
    <col min="6403" max="6403" width="20.21875" style="75" customWidth="1"/>
    <col min="6404" max="6404" width="21.77734375" style="75" customWidth="1"/>
    <col min="6405" max="6405" width="18.77734375" style="75" customWidth="1"/>
    <col min="6406" max="6406" width="21.44140625" style="75" customWidth="1"/>
    <col min="6407" max="6407" width="26.5546875" style="75" customWidth="1"/>
    <col min="6408" max="6408" width="9.21875" style="75" customWidth="1"/>
    <col min="6409" max="6656" width="0" style="75" hidden="1"/>
    <col min="6657" max="6657" width="0" style="75" hidden="1" customWidth="1"/>
    <col min="6658" max="6658" width="27.5546875" style="75" bestFit="1" customWidth="1"/>
    <col min="6659" max="6659" width="20.21875" style="75" customWidth="1"/>
    <col min="6660" max="6660" width="21.77734375" style="75" customWidth="1"/>
    <col min="6661" max="6661" width="18.77734375" style="75" customWidth="1"/>
    <col min="6662" max="6662" width="21.44140625" style="75" customWidth="1"/>
    <col min="6663" max="6663" width="26.5546875" style="75" customWidth="1"/>
    <col min="6664" max="6664" width="9.21875" style="75" customWidth="1"/>
    <col min="6665" max="6912" width="0" style="75" hidden="1"/>
    <col min="6913" max="6913" width="0" style="75" hidden="1" customWidth="1"/>
    <col min="6914" max="6914" width="27.5546875" style="75" bestFit="1" customWidth="1"/>
    <col min="6915" max="6915" width="20.21875" style="75" customWidth="1"/>
    <col min="6916" max="6916" width="21.77734375" style="75" customWidth="1"/>
    <col min="6917" max="6917" width="18.77734375" style="75" customWidth="1"/>
    <col min="6918" max="6918" width="21.44140625" style="75" customWidth="1"/>
    <col min="6919" max="6919" width="26.5546875" style="75" customWidth="1"/>
    <col min="6920" max="6920" width="9.21875" style="75" customWidth="1"/>
    <col min="6921" max="7168" width="0" style="75" hidden="1"/>
    <col min="7169" max="7169" width="0" style="75" hidden="1" customWidth="1"/>
    <col min="7170" max="7170" width="27.5546875" style="75" bestFit="1" customWidth="1"/>
    <col min="7171" max="7171" width="20.21875" style="75" customWidth="1"/>
    <col min="7172" max="7172" width="21.77734375" style="75" customWidth="1"/>
    <col min="7173" max="7173" width="18.77734375" style="75" customWidth="1"/>
    <col min="7174" max="7174" width="21.44140625" style="75" customWidth="1"/>
    <col min="7175" max="7175" width="26.5546875" style="75" customWidth="1"/>
    <col min="7176" max="7176" width="9.21875" style="75" customWidth="1"/>
    <col min="7177" max="7424" width="0" style="75" hidden="1"/>
    <col min="7425" max="7425" width="0" style="75" hidden="1" customWidth="1"/>
    <col min="7426" max="7426" width="27.5546875" style="75" bestFit="1" customWidth="1"/>
    <col min="7427" max="7427" width="20.21875" style="75" customWidth="1"/>
    <col min="7428" max="7428" width="21.77734375" style="75" customWidth="1"/>
    <col min="7429" max="7429" width="18.77734375" style="75" customWidth="1"/>
    <col min="7430" max="7430" width="21.44140625" style="75" customWidth="1"/>
    <col min="7431" max="7431" width="26.5546875" style="75" customWidth="1"/>
    <col min="7432" max="7432" width="9.21875" style="75" customWidth="1"/>
    <col min="7433" max="7680" width="0" style="75" hidden="1"/>
    <col min="7681" max="7681" width="0" style="75" hidden="1" customWidth="1"/>
    <col min="7682" max="7682" width="27.5546875" style="75" bestFit="1" customWidth="1"/>
    <col min="7683" max="7683" width="20.21875" style="75" customWidth="1"/>
    <col min="7684" max="7684" width="21.77734375" style="75" customWidth="1"/>
    <col min="7685" max="7685" width="18.77734375" style="75" customWidth="1"/>
    <col min="7686" max="7686" width="21.44140625" style="75" customWidth="1"/>
    <col min="7687" max="7687" width="26.5546875" style="75" customWidth="1"/>
    <col min="7688" max="7688" width="9.21875" style="75" customWidth="1"/>
    <col min="7689" max="7936" width="0" style="75" hidden="1"/>
    <col min="7937" max="7937" width="0" style="75" hidden="1" customWidth="1"/>
    <col min="7938" max="7938" width="27.5546875" style="75" bestFit="1" customWidth="1"/>
    <col min="7939" max="7939" width="20.21875" style="75" customWidth="1"/>
    <col min="7940" max="7940" width="21.77734375" style="75" customWidth="1"/>
    <col min="7941" max="7941" width="18.77734375" style="75" customWidth="1"/>
    <col min="7942" max="7942" width="21.44140625" style="75" customWidth="1"/>
    <col min="7943" max="7943" width="26.5546875" style="75" customWidth="1"/>
    <col min="7944" max="7944" width="9.21875" style="75" customWidth="1"/>
    <col min="7945" max="8192" width="0" style="75" hidden="1"/>
    <col min="8193" max="8193" width="0" style="75" hidden="1" customWidth="1"/>
    <col min="8194" max="8194" width="27.5546875" style="75" bestFit="1" customWidth="1"/>
    <col min="8195" max="8195" width="20.21875" style="75" customWidth="1"/>
    <col min="8196" max="8196" width="21.77734375" style="75" customWidth="1"/>
    <col min="8197" max="8197" width="18.77734375" style="75" customWidth="1"/>
    <col min="8198" max="8198" width="21.44140625" style="75" customWidth="1"/>
    <col min="8199" max="8199" width="26.5546875" style="75" customWidth="1"/>
    <col min="8200" max="8200" width="9.21875" style="75" customWidth="1"/>
    <col min="8201" max="8448" width="0" style="75" hidden="1"/>
    <col min="8449" max="8449" width="0" style="75" hidden="1" customWidth="1"/>
    <col min="8450" max="8450" width="27.5546875" style="75" bestFit="1" customWidth="1"/>
    <col min="8451" max="8451" width="20.21875" style="75" customWidth="1"/>
    <col min="8452" max="8452" width="21.77734375" style="75" customWidth="1"/>
    <col min="8453" max="8453" width="18.77734375" style="75" customWidth="1"/>
    <col min="8454" max="8454" width="21.44140625" style="75" customWidth="1"/>
    <col min="8455" max="8455" width="26.5546875" style="75" customWidth="1"/>
    <col min="8456" max="8456" width="9.21875" style="75" customWidth="1"/>
    <col min="8457" max="8704" width="0" style="75" hidden="1"/>
    <col min="8705" max="8705" width="0" style="75" hidden="1" customWidth="1"/>
    <col min="8706" max="8706" width="27.5546875" style="75" bestFit="1" customWidth="1"/>
    <col min="8707" max="8707" width="20.21875" style="75" customWidth="1"/>
    <col min="8708" max="8708" width="21.77734375" style="75" customWidth="1"/>
    <col min="8709" max="8709" width="18.77734375" style="75" customWidth="1"/>
    <col min="8710" max="8710" width="21.44140625" style="75" customWidth="1"/>
    <col min="8711" max="8711" width="26.5546875" style="75" customWidth="1"/>
    <col min="8712" max="8712" width="9.21875" style="75" customWidth="1"/>
    <col min="8713" max="8960" width="0" style="75" hidden="1"/>
    <col min="8961" max="8961" width="0" style="75" hidden="1" customWidth="1"/>
    <col min="8962" max="8962" width="27.5546875" style="75" bestFit="1" customWidth="1"/>
    <col min="8963" max="8963" width="20.21875" style="75" customWidth="1"/>
    <col min="8964" max="8964" width="21.77734375" style="75" customWidth="1"/>
    <col min="8965" max="8965" width="18.77734375" style="75" customWidth="1"/>
    <col min="8966" max="8966" width="21.44140625" style="75" customWidth="1"/>
    <col min="8967" max="8967" width="26.5546875" style="75" customWidth="1"/>
    <col min="8968" max="8968" width="9.21875" style="75" customWidth="1"/>
    <col min="8969" max="9216" width="0" style="75" hidden="1"/>
    <col min="9217" max="9217" width="0" style="75" hidden="1" customWidth="1"/>
    <col min="9218" max="9218" width="27.5546875" style="75" bestFit="1" customWidth="1"/>
    <col min="9219" max="9219" width="20.21875" style="75" customWidth="1"/>
    <col min="9220" max="9220" width="21.77734375" style="75" customWidth="1"/>
    <col min="9221" max="9221" width="18.77734375" style="75" customWidth="1"/>
    <col min="9222" max="9222" width="21.44140625" style="75" customWidth="1"/>
    <col min="9223" max="9223" width="26.5546875" style="75" customWidth="1"/>
    <col min="9224" max="9224" width="9.21875" style="75" customWidth="1"/>
    <col min="9225" max="9472" width="0" style="75" hidden="1"/>
    <col min="9473" max="9473" width="0" style="75" hidden="1" customWidth="1"/>
    <col min="9474" max="9474" width="27.5546875" style="75" bestFit="1" customWidth="1"/>
    <col min="9475" max="9475" width="20.21875" style="75" customWidth="1"/>
    <col min="9476" max="9476" width="21.77734375" style="75" customWidth="1"/>
    <col min="9477" max="9477" width="18.77734375" style="75" customWidth="1"/>
    <col min="9478" max="9478" width="21.44140625" style="75" customWidth="1"/>
    <col min="9479" max="9479" width="26.5546875" style="75" customWidth="1"/>
    <col min="9480" max="9480" width="9.21875" style="75" customWidth="1"/>
    <col min="9481" max="9728" width="0" style="75" hidden="1"/>
    <col min="9729" max="9729" width="0" style="75" hidden="1" customWidth="1"/>
    <col min="9730" max="9730" width="27.5546875" style="75" bestFit="1" customWidth="1"/>
    <col min="9731" max="9731" width="20.21875" style="75" customWidth="1"/>
    <col min="9732" max="9732" width="21.77734375" style="75" customWidth="1"/>
    <col min="9733" max="9733" width="18.77734375" style="75" customWidth="1"/>
    <col min="9734" max="9734" width="21.44140625" style="75" customWidth="1"/>
    <col min="9735" max="9735" width="26.5546875" style="75" customWidth="1"/>
    <col min="9736" max="9736" width="9.21875" style="75" customWidth="1"/>
    <col min="9737" max="9984" width="0" style="75" hidden="1"/>
    <col min="9985" max="9985" width="0" style="75" hidden="1" customWidth="1"/>
    <col min="9986" max="9986" width="27.5546875" style="75" bestFit="1" customWidth="1"/>
    <col min="9987" max="9987" width="20.21875" style="75" customWidth="1"/>
    <col min="9988" max="9988" width="21.77734375" style="75" customWidth="1"/>
    <col min="9989" max="9989" width="18.77734375" style="75" customWidth="1"/>
    <col min="9990" max="9990" width="21.44140625" style="75" customWidth="1"/>
    <col min="9991" max="9991" width="26.5546875" style="75" customWidth="1"/>
    <col min="9992" max="9992" width="9.21875" style="75" customWidth="1"/>
    <col min="9993" max="10240" width="0" style="75" hidden="1"/>
    <col min="10241" max="10241" width="0" style="75" hidden="1" customWidth="1"/>
    <col min="10242" max="10242" width="27.5546875" style="75" bestFit="1" customWidth="1"/>
    <col min="10243" max="10243" width="20.21875" style="75" customWidth="1"/>
    <col min="10244" max="10244" width="21.77734375" style="75" customWidth="1"/>
    <col min="10245" max="10245" width="18.77734375" style="75" customWidth="1"/>
    <col min="10246" max="10246" width="21.44140625" style="75" customWidth="1"/>
    <col min="10247" max="10247" width="26.5546875" style="75" customWidth="1"/>
    <col min="10248" max="10248" width="9.21875" style="75" customWidth="1"/>
    <col min="10249" max="10496" width="0" style="75" hidden="1"/>
    <col min="10497" max="10497" width="0" style="75" hidden="1" customWidth="1"/>
    <col min="10498" max="10498" width="27.5546875" style="75" bestFit="1" customWidth="1"/>
    <col min="10499" max="10499" width="20.21875" style="75" customWidth="1"/>
    <col min="10500" max="10500" width="21.77734375" style="75" customWidth="1"/>
    <col min="10501" max="10501" width="18.77734375" style="75" customWidth="1"/>
    <col min="10502" max="10502" width="21.44140625" style="75" customWidth="1"/>
    <col min="10503" max="10503" width="26.5546875" style="75" customWidth="1"/>
    <col min="10504" max="10504" width="9.21875" style="75" customWidth="1"/>
    <col min="10505" max="10752" width="0" style="75" hidden="1"/>
    <col min="10753" max="10753" width="0" style="75" hidden="1" customWidth="1"/>
    <col min="10754" max="10754" width="27.5546875" style="75" bestFit="1" customWidth="1"/>
    <col min="10755" max="10755" width="20.21875" style="75" customWidth="1"/>
    <col min="10756" max="10756" width="21.77734375" style="75" customWidth="1"/>
    <col min="10757" max="10757" width="18.77734375" style="75" customWidth="1"/>
    <col min="10758" max="10758" width="21.44140625" style="75" customWidth="1"/>
    <col min="10759" max="10759" width="26.5546875" style="75" customWidth="1"/>
    <col min="10760" max="10760" width="9.21875" style="75" customWidth="1"/>
    <col min="10761" max="11008" width="0" style="75" hidden="1"/>
    <col min="11009" max="11009" width="0" style="75" hidden="1" customWidth="1"/>
    <col min="11010" max="11010" width="27.5546875" style="75" bestFit="1" customWidth="1"/>
    <col min="11011" max="11011" width="20.21875" style="75" customWidth="1"/>
    <col min="11012" max="11012" width="21.77734375" style="75" customWidth="1"/>
    <col min="11013" max="11013" width="18.77734375" style="75" customWidth="1"/>
    <col min="11014" max="11014" width="21.44140625" style="75" customWidth="1"/>
    <col min="11015" max="11015" width="26.5546875" style="75" customWidth="1"/>
    <col min="11016" max="11016" width="9.21875" style="75" customWidth="1"/>
    <col min="11017" max="11264" width="0" style="75" hidden="1"/>
    <col min="11265" max="11265" width="0" style="75" hidden="1" customWidth="1"/>
    <col min="11266" max="11266" width="27.5546875" style="75" bestFit="1" customWidth="1"/>
    <col min="11267" max="11267" width="20.21875" style="75" customWidth="1"/>
    <col min="11268" max="11268" width="21.77734375" style="75" customWidth="1"/>
    <col min="11269" max="11269" width="18.77734375" style="75" customWidth="1"/>
    <col min="11270" max="11270" width="21.44140625" style="75" customWidth="1"/>
    <col min="11271" max="11271" width="26.5546875" style="75" customWidth="1"/>
    <col min="11272" max="11272" width="9.21875" style="75" customWidth="1"/>
    <col min="11273" max="11520" width="0" style="75" hidden="1"/>
    <col min="11521" max="11521" width="0" style="75" hidden="1" customWidth="1"/>
    <col min="11522" max="11522" width="27.5546875" style="75" bestFit="1" customWidth="1"/>
    <col min="11523" max="11523" width="20.21875" style="75" customWidth="1"/>
    <col min="11524" max="11524" width="21.77734375" style="75" customWidth="1"/>
    <col min="11525" max="11525" width="18.77734375" style="75" customWidth="1"/>
    <col min="11526" max="11526" width="21.44140625" style="75" customWidth="1"/>
    <col min="11527" max="11527" width="26.5546875" style="75" customWidth="1"/>
    <col min="11528" max="11528" width="9.21875" style="75" customWidth="1"/>
    <col min="11529" max="11776" width="0" style="75" hidden="1"/>
    <col min="11777" max="11777" width="0" style="75" hidden="1" customWidth="1"/>
    <col min="11778" max="11778" width="27.5546875" style="75" bestFit="1" customWidth="1"/>
    <col min="11779" max="11779" width="20.21875" style="75" customWidth="1"/>
    <col min="11780" max="11780" width="21.77734375" style="75" customWidth="1"/>
    <col min="11781" max="11781" width="18.77734375" style="75" customWidth="1"/>
    <col min="11782" max="11782" width="21.44140625" style="75" customWidth="1"/>
    <col min="11783" max="11783" width="26.5546875" style="75" customWidth="1"/>
    <col min="11784" max="11784" width="9.21875" style="75" customWidth="1"/>
    <col min="11785" max="12032" width="0" style="75" hidden="1"/>
    <col min="12033" max="12033" width="0" style="75" hidden="1" customWidth="1"/>
    <col min="12034" max="12034" width="27.5546875" style="75" bestFit="1" customWidth="1"/>
    <col min="12035" max="12035" width="20.21875" style="75" customWidth="1"/>
    <col min="12036" max="12036" width="21.77734375" style="75" customWidth="1"/>
    <col min="12037" max="12037" width="18.77734375" style="75" customWidth="1"/>
    <col min="12038" max="12038" width="21.44140625" style="75" customWidth="1"/>
    <col min="12039" max="12039" width="26.5546875" style="75" customWidth="1"/>
    <col min="12040" max="12040" width="9.21875" style="75" customWidth="1"/>
    <col min="12041" max="12288" width="0" style="75" hidden="1"/>
    <col min="12289" max="12289" width="0" style="75" hidden="1" customWidth="1"/>
    <col min="12290" max="12290" width="27.5546875" style="75" bestFit="1" customWidth="1"/>
    <col min="12291" max="12291" width="20.21875" style="75" customWidth="1"/>
    <col min="12292" max="12292" width="21.77734375" style="75" customWidth="1"/>
    <col min="12293" max="12293" width="18.77734375" style="75" customWidth="1"/>
    <col min="12294" max="12294" width="21.44140625" style="75" customWidth="1"/>
    <col min="12295" max="12295" width="26.5546875" style="75" customWidth="1"/>
    <col min="12296" max="12296" width="9.21875" style="75" customWidth="1"/>
    <col min="12297" max="12544" width="0" style="75" hidden="1"/>
    <col min="12545" max="12545" width="0" style="75" hidden="1" customWidth="1"/>
    <col min="12546" max="12546" width="27.5546875" style="75" bestFit="1" customWidth="1"/>
    <col min="12547" max="12547" width="20.21875" style="75" customWidth="1"/>
    <col min="12548" max="12548" width="21.77734375" style="75" customWidth="1"/>
    <col min="12549" max="12549" width="18.77734375" style="75" customWidth="1"/>
    <col min="12550" max="12550" width="21.44140625" style="75" customWidth="1"/>
    <col min="12551" max="12551" width="26.5546875" style="75" customWidth="1"/>
    <col min="12552" max="12552" width="9.21875" style="75" customWidth="1"/>
    <col min="12553" max="12800" width="0" style="75" hidden="1"/>
    <col min="12801" max="12801" width="0" style="75" hidden="1" customWidth="1"/>
    <col min="12802" max="12802" width="27.5546875" style="75" bestFit="1" customWidth="1"/>
    <col min="12803" max="12803" width="20.21875" style="75" customWidth="1"/>
    <col min="12804" max="12804" width="21.77734375" style="75" customWidth="1"/>
    <col min="12805" max="12805" width="18.77734375" style="75" customWidth="1"/>
    <col min="12806" max="12806" width="21.44140625" style="75" customWidth="1"/>
    <col min="12807" max="12807" width="26.5546875" style="75" customWidth="1"/>
    <col min="12808" max="12808" width="9.21875" style="75" customWidth="1"/>
    <col min="12809" max="13056" width="0" style="75" hidden="1"/>
    <col min="13057" max="13057" width="0" style="75" hidden="1" customWidth="1"/>
    <col min="13058" max="13058" width="27.5546875" style="75" bestFit="1" customWidth="1"/>
    <col min="13059" max="13059" width="20.21875" style="75" customWidth="1"/>
    <col min="13060" max="13060" width="21.77734375" style="75" customWidth="1"/>
    <col min="13061" max="13061" width="18.77734375" style="75" customWidth="1"/>
    <col min="13062" max="13062" width="21.44140625" style="75" customWidth="1"/>
    <col min="13063" max="13063" width="26.5546875" style="75" customWidth="1"/>
    <col min="13064" max="13064" width="9.21875" style="75" customWidth="1"/>
    <col min="13065" max="13312" width="0" style="75" hidden="1"/>
    <col min="13313" max="13313" width="0" style="75" hidden="1" customWidth="1"/>
    <col min="13314" max="13314" width="27.5546875" style="75" bestFit="1" customWidth="1"/>
    <col min="13315" max="13315" width="20.21875" style="75" customWidth="1"/>
    <col min="13316" max="13316" width="21.77734375" style="75" customWidth="1"/>
    <col min="13317" max="13317" width="18.77734375" style="75" customWidth="1"/>
    <col min="13318" max="13318" width="21.44140625" style="75" customWidth="1"/>
    <col min="13319" max="13319" width="26.5546875" style="75" customWidth="1"/>
    <col min="13320" max="13320" width="9.21875" style="75" customWidth="1"/>
    <col min="13321" max="13568" width="0" style="75" hidden="1"/>
    <col min="13569" max="13569" width="0" style="75" hidden="1" customWidth="1"/>
    <col min="13570" max="13570" width="27.5546875" style="75" bestFit="1" customWidth="1"/>
    <col min="13571" max="13571" width="20.21875" style="75" customWidth="1"/>
    <col min="13572" max="13572" width="21.77734375" style="75" customWidth="1"/>
    <col min="13573" max="13573" width="18.77734375" style="75" customWidth="1"/>
    <col min="13574" max="13574" width="21.44140625" style="75" customWidth="1"/>
    <col min="13575" max="13575" width="26.5546875" style="75" customWidth="1"/>
    <col min="13576" max="13576" width="9.21875" style="75" customWidth="1"/>
    <col min="13577" max="13824" width="0" style="75" hidden="1"/>
    <col min="13825" max="13825" width="0" style="75" hidden="1" customWidth="1"/>
    <col min="13826" max="13826" width="27.5546875" style="75" bestFit="1" customWidth="1"/>
    <col min="13827" max="13827" width="20.21875" style="75" customWidth="1"/>
    <col min="13828" max="13828" width="21.77734375" style="75" customWidth="1"/>
    <col min="13829" max="13829" width="18.77734375" style="75" customWidth="1"/>
    <col min="13830" max="13830" width="21.44140625" style="75" customWidth="1"/>
    <col min="13831" max="13831" width="26.5546875" style="75" customWidth="1"/>
    <col min="13832" max="13832" width="9.21875" style="75" customWidth="1"/>
    <col min="13833" max="14080" width="0" style="75" hidden="1"/>
    <col min="14081" max="14081" width="0" style="75" hidden="1" customWidth="1"/>
    <col min="14082" max="14082" width="27.5546875" style="75" bestFit="1" customWidth="1"/>
    <col min="14083" max="14083" width="20.21875" style="75" customWidth="1"/>
    <col min="14084" max="14084" width="21.77734375" style="75" customWidth="1"/>
    <col min="14085" max="14085" width="18.77734375" style="75" customWidth="1"/>
    <col min="14086" max="14086" width="21.44140625" style="75" customWidth="1"/>
    <col min="14087" max="14087" width="26.5546875" style="75" customWidth="1"/>
    <col min="14088" max="14088" width="9.21875" style="75" customWidth="1"/>
    <col min="14089" max="14336" width="0" style="75" hidden="1"/>
    <col min="14337" max="14337" width="0" style="75" hidden="1" customWidth="1"/>
    <col min="14338" max="14338" width="27.5546875" style="75" bestFit="1" customWidth="1"/>
    <col min="14339" max="14339" width="20.21875" style="75" customWidth="1"/>
    <col min="14340" max="14340" width="21.77734375" style="75" customWidth="1"/>
    <col min="14341" max="14341" width="18.77734375" style="75" customWidth="1"/>
    <col min="14342" max="14342" width="21.44140625" style="75" customWidth="1"/>
    <col min="14343" max="14343" width="26.5546875" style="75" customWidth="1"/>
    <col min="14344" max="14344" width="9.21875" style="75" customWidth="1"/>
    <col min="14345" max="14592" width="0" style="75" hidden="1"/>
    <col min="14593" max="14593" width="0" style="75" hidden="1" customWidth="1"/>
    <col min="14594" max="14594" width="27.5546875" style="75" bestFit="1" customWidth="1"/>
    <col min="14595" max="14595" width="20.21875" style="75" customWidth="1"/>
    <col min="14596" max="14596" width="21.77734375" style="75" customWidth="1"/>
    <col min="14597" max="14597" width="18.77734375" style="75" customWidth="1"/>
    <col min="14598" max="14598" width="21.44140625" style="75" customWidth="1"/>
    <col min="14599" max="14599" width="26.5546875" style="75" customWidth="1"/>
    <col min="14600" max="14600" width="9.21875" style="75" customWidth="1"/>
    <col min="14601" max="14848" width="0" style="75" hidden="1"/>
    <col min="14849" max="14849" width="0" style="75" hidden="1" customWidth="1"/>
    <col min="14850" max="14850" width="27.5546875" style="75" bestFit="1" customWidth="1"/>
    <col min="14851" max="14851" width="20.21875" style="75" customWidth="1"/>
    <col min="14852" max="14852" width="21.77734375" style="75" customWidth="1"/>
    <col min="14853" max="14853" width="18.77734375" style="75" customWidth="1"/>
    <col min="14854" max="14854" width="21.44140625" style="75" customWidth="1"/>
    <col min="14855" max="14855" width="26.5546875" style="75" customWidth="1"/>
    <col min="14856" max="14856" width="9.21875" style="75" customWidth="1"/>
    <col min="14857" max="15104" width="0" style="75" hidden="1"/>
    <col min="15105" max="15105" width="0" style="75" hidden="1" customWidth="1"/>
    <col min="15106" max="15106" width="27.5546875" style="75" bestFit="1" customWidth="1"/>
    <col min="15107" max="15107" width="20.21875" style="75" customWidth="1"/>
    <col min="15108" max="15108" width="21.77734375" style="75" customWidth="1"/>
    <col min="15109" max="15109" width="18.77734375" style="75" customWidth="1"/>
    <col min="15110" max="15110" width="21.44140625" style="75" customWidth="1"/>
    <col min="15111" max="15111" width="26.5546875" style="75" customWidth="1"/>
    <col min="15112" max="15112" width="9.21875" style="75" customWidth="1"/>
    <col min="15113" max="15360" width="0" style="75" hidden="1"/>
    <col min="15361" max="15361" width="0" style="75" hidden="1" customWidth="1"/>
    <col min="15362" max="15362" width="27.5546875" style="75" bestFit="1" customWidth="1"/>
    <col min="15363" max="15363" width="20.21875" style="75" customWidth="1"/>
    <col min="15364" max="15364" width="21.77734375" style="75" customWidth="1"/>
    <col min="15365" max="15365" width="18.77734375" style="75" customWidth="1"/>
    <col min="15366" max="15366" width="21.44140625" style="75" customWidth="1"/>
    <col min="15367" max="15367" width="26.5546875" style="75" customWidth="1"/>
    <col min="15368" max="15368" width="9.21875" style="75" customWidth="1"/>
    <col min="15369" max="15616" width="0" style="75" hidden="1"/>
    <col min="15617" max="15617" width="0" style="75" hidden="1" customWidth="1"/>
    <col min="15618" max="15618" width="27.5546875" style="75" bestFit="1" customWidth="1"/>
    <col min="15619" max="15619" width="20.21875" style="75" customWidth="1"/>
    <col min="15620" max="15620" width="21.77734375" style="75" customWidth="1"/>
    <col min="15621" max="15621" width="18.77734375" style="75" customWidth="1"/>
    <col min="15622" max="15622" width="21.44140625" style="75" customWidth="1"/>
    <col min="15623" max="15623" width="26.5546875" style="75" customWidth="1"/>
    <col min="15624" max="15624" width="9.21875" style="75" customWidth="1"/>
    <col min="15625" max="15872" width="0" style="75" hidden="1"/>
    <col min="15873" max="15873" width="0" style="75" hidden="1" customWidth="1"/>
    <col min="15874" max="15874" width="27.5546875" style="75" bestFit="1" customWidth="1"/>
    <col min="15875" max="15875" width="20.21875" style="75" customWidth="1"/>
    <col min="15876" max="15876" width="21.77734375" style="75" customWidth="1"/>
    <col min="15877" max="15877" width="18.77734375" style="75" customWidth="1"/>
    <col min="15878" max="15878" width="21.44140625" style="75" customWidth="1"/>
    <col min="15879" max="15879" width="26.5546875" style="75" customWidth="1"/>
    <col min="15880" max="15880" width="9.21875" style="75" customWidth="1"/>
    <col min="15881" max="16128" width="0" style="75" hidden="1"/>
    <col min="16129" max="16129" width="0" style="75" hidden="1" customWidth="1"/>
    <col min="16130" max="16130" width="27.5546875" style="75" bestFit="1" customWidth="1"/>
    <col min="16131" max="16131" width="20.21875" style="75" customWidth="1"/>
    <col min="16132" max="16132" width="21.77734375" style="75" customWidth="1"/>
    <col min="16133" max="16133" width="18.77734375" style="75" customWidth="1"/>
    <col min="16134" max="16134" width="21.44140625" style="75" customWidth="1"/>
    <col min="16135" max="16135" width="26.5546875" style="75" customWidth="1"/>
    <col min="16136" max="16136" width="9.21875" style="75" customWidth="1"/>
    <col min="16137" max="16384" width="0" style="75" hidden="1"/>
  </cols>
  <sheetData>
    <row r="1" spans="1:13" s="54" customFormat="1" ht="41.25" customHeight="1" x14ac:dyDescent="0.3">
      <c r="B1" s="179" t="s">
        <v>99</v>
      </c>
      <c r="C1" s="177"/>
      <c r="D1" s="177"/>
      <c r="E1" s="177"/>
      <c r="F1" s="177"/>
      <c r="G1" s="180"/>
    </row>
    <row r="2" spans="1:13" s="55" customFormat="1" ht="28.5" customHeight="1" x14ac:dyDescent="0.3">
      <c r="C2" s="56" t="s">
        <v>1</v>
      </c>
      <c r="D2" s="56" t="s">
        <v>59</v>
      </c>
      <c r="E2" s="56" t="s">
        <v>60</v>
      </c>
      <c r="F2" s="56" t="s">
        <v>61</v>
      </c>
      <c r="G2" s="83" t="s">
        <v>5</v>
      </c>
      <c r="I2" s="56"/>
      <c r="J2" s="56"/>
      <c r="K2" s="56"/>
      <c r="L2" s="57"/>
      <c r="M2" s="58"/>
    </row>
    <row r="3" spans="1:13" s="55" customFormat="1" ht="28.5" customHeight="1" x14ac:dyDescent="0.3">
      <c r="B3" s="59" t="s">
        <v>0</v>
      </c>
      <c r="C3" s="60">
        <v>1190</v>
      </c>
      <c r="D3" s="60">
        <v>1500</v>
      </c>
      <c r="E3" s="60">
        <v>113</v>
      </c>
      <c r="F3" s="60">
        <v>1044</v>
      </c>
      <c r="G3" s="60">
        <v>3847</v>
      </c>
      <c r="I3" s="98"/>
      <c r="J3" s="98"/>
      <c r="K3" s="98"/>
      <c r="L3" s="98"/>
      <c r="M3" s="98"/>
    </row>
    <row r="4" spans="1:13" s="59" customFormat="1" ht="25.5" customHeight="1" x14ac:dyDescent="0.3">
      <c r="A4" s="61"/>
      <c r="B4" s="59" t="s">
        <v>62</v>
      </c>
      <c r="C4" s="62">
        <v>622</v>
      </c>
      <c r="D4" s="62">
        <v>1464</v>
      </c>
      <c r="E4" s="62">
        <v>71</v>
      </c>
      <c r="F4" s="62">
        <v>579</v>
      </c>
      <c r="G4" s="60">
        <v>2736</v>
      </c>
      <c r="I4" s="98"/>
      <c r="J4" s="98"/>
      <c r="K4" s="98"/>
      <c r="L4" s="98"/>
      <c r="M4" s="98"/>
    </row>
    <row r="5" spans="1:13" s="64" customFormat="1" ht="12.75" customHeight="1" x14ac:dyDescent="0.3">
      <c r="A5" s="63">
        <v>51</v>
      </c>
      <c r="B5" s="64" t="s">
        <v>10</v>
      </c>
      <c r="C5" s="65">
        <v>30</v>
      </c>
      <c r="D5" s="65">
        <v>21</v>
      </c>
      <c r="E5" s="65">
        <v>1</v>
      </c>
      <c r="F5" s="65">
        <v>17</v>
      </c>
      <c r="G5" s="60">
        <v>69</v>
      </c>
      <c r="I5" s="98"/>
      <c r="J5" s="98"/>
      <c r="K5" s="98"/>
      <c r="L5" s="98"/>
      <c r="M5" s="98"/>
    </row>
    <row r="6" spans="1:13" s="64" customFormat="1" ht="12.75" customHeight="1" x14ac:dyDescent="0.3">
      <c r="A6" s="63">
        <v>52</v>
      </c>
      <c r="B6" s="64" t="s">
        <v>11</v>
      </c>
      <c r="C6" s="65">
        <v>19</v>
      </c>
      <c r="D6" s="65">
        <v>30</v>
      </c>
      <c r="E6" s="65">
        <v>1</v>
      </c>
      <c r="F6" s="65">
        <v>18</v>
      </c>
      <c r="G6" s="60">
        <v>68</v>
      </c>
      <c r="I6" s="98"/>
      <c r="J6" s="98"/>
      <c r="K6" s="98"/>
      <c r="L6" s="98"/>
      <c r="M6" s="98"/>
    </row>
    <row r="7" spans="1:13" s="64" customFormat="1" ht="12.75" customHeight="1" x14ac:dyDescent="0.3">
      <c r="A7" s="63">
        <v>86</v>
      </c>
      <c r="B7" s="64" t="s">
        <v>12</v>
      </c>
      <c r="C7" s="65">
        <v>12</v>
      </c>
      <c r="D7" s="65">
        <v>16</v>
      </c>
      <c r="E7" s="65">
        <v>2</v>
      </c>
      <c r="F7" s="65">
        <v>8</v>
      </c>
      <c r="G7" s="60">
        <v>38</v>
      </c>
      <c r="I7" s="98"/>
      <c r="J7" s="98"/>
      <c r="K7" s="98"/>
      <c r="L7" s="98"/>
      <c r="M7" s="98"/>
    </row>
    <row r="8" spans="1:13" s="64" customFormat="1" ht="13.8" x14ac:dyDescent="0.3">
      <c r="A8" s="63">
        <v>53</v>
      </c>
      <c r="B8" s="64" t="s">
        <v>13</v>
      </c>
      <c r="C8" s="65">
        <v>11</v>
      </c>
      <c r="D8" s="65">
        <v>36</v>
      </c>
      <c r="E8" s="65">
        <v>1</v>
      </c>
      <c r="F8" s="65">
        <v>22</v>
      </c>
      <c r="G8" s="60">
        <v>70</v>
      </c>
      <c r="I8" s="98"/>
      <c r="J8" s="98"/>
      <c r="K8" s="98"/>
      <c r="L8" s="98"/>
      <c r="M8" s="98"/>
    </row>
    <row r="9" spans="1:13" s="64" customFormat="1" ht="12.75" customHeight="1" x14ac:dyDescent="0.3">
      <c r="A9" s="63">
        <v>54</v>
      </c>
      <c r="B9" s="64" t="s">
        <v>14</v>
      </c>
      <c r="C9" s="65">
        <v>8</v>
      </c>
      <c r="D9" s="65">
        <v>46</v>
      </c>
      <c r="E9" s="65">
        <v>5</v>
      </c>
      <c r="F9" s="65">
        <v>41</v>
      </c>
      <c r="G9" s="60">
        <v>100</v>
      </c>
      <c r="I9" s="98"/>
      <c r="J9" s="98"/>
      <c r="K9" s="98"/>
      <c r="L9" s="98"/>
      <c r="M9" s="98"/>
    </row>
    <row r="10" spans="1:13" s="64" customFormat="1" ht="12.75" customHeight="1" x14ac:dyDescent="0.3">
      <c r="A10" s="63">
        <v>55</v>
      </c>
      <c r="B10" s="64" t="s">
        <v>15</v>
      </c>
      <c r="C10" s="65">
        <v>24</v>
      </c>
      <c r="D10" s="65">
        <v>25</v>
      </c>
      <c r="E10" s="65">
        <v>2</v>
      </c>
      <c r="F10" s="65">
        <v>37</v>
      </c>
      <c r="G10" s="60">
        <v>88</v>
      </c>
      <c r="I10" s="98"/>
      <c r="J10" s="98"/>
      <c r="K10" s="98"/>
      <c r="L10" s="98"/>
      <c r="M10" s="98"/>
    </row>
    <row r="11" spans="1:13" s="64" customFormat="1" ht="13.5" customHeight="1" x14ac:dyDescent="0.3">
      <c r="A11" s="63">
        <v>56</v>
      </c>
      <c r="B11" s="64" t="s">
        <v>16</v>
      </c>
      <c r="C11" s="65">
        <v>23</v>
      </c>
      <c r="D11" s="65">
        <v>6</v>
      </c>
      <c r="E11" s="65">
        <v>0</v>
      </c>
      <c r="F11" s="65">
        <v>16</v>
      </c>
      <c r="G11" s="60">
        <v>45</v>
      </c>
      <c r="I11" s="98"/>
      <c r="J11" s="98"/>
      <c r="K11" s="98"/>
      <c r="L11" s="98"/>
      <c r="M11" s="98"/>
    </row>
    <row r="12" spans="1:13" s="64" customFormat="1" ht="13.5" customHeight="1" x14ac:dyDescent="0.3">
      <c r="A12" s="63">
        <v>57</v>
      </c>
      <c r="B12" s="64" t="s">
        <v>17</v>
      </c>
      <c r="C12" s="65">
        <v>8</v>
      </c>
      <c r="D12" s="65">
        <v>21</v>
      </c>
      <c r="E12" s="65">
        <v>1</v>
      </c>
      <c r="F12" s="65">
        <v>7</v>
      </c>
      <c r="G12" s="60">
        <v>37</v>
      </c>
      <c r="I12" s="98"/>
      <c r="J12" s="98"/>
      <c r="K12" s="98"/>
      <c r="L12" s="98"/>
      <c r="M12" s="98"/>
    </row>
    <row r="13" spans="1:13" s="64" customFormat="1" ht="12.75" customHeight="1" x14ac:dyDescent="0.3">
      <c r="A13" s="63">
        <v>59</v>
      </c>
      <c r="B13" s="64" t="s">
        <v>18</v>
      </c>
      <c r="C13" s="65">
        <v>5</v>
      </c>
      <c r="D13" s="65">
        <v>19</v>
      </c>
      <c r="E13" s="65">
        <v>11</v>
      </c>
      <c r="F13" s="65">
        <v>10</v>
      </c>
      <c r="G13" s="60">
        <v>45</v>
      </c>
      <c r="I13" s="98"/>
      <c r="J13" s="98"/>
      <c r="K13" s="98"/>
      <c r="L13" s="98"/>
      <c r="M13" s="98"/>
    </row>
    <row r="14" spans="1:13" s="64" customFormat="1" ht="12.75" customHeight="1" x14ac:dyDescent="0.3">
      <c r="A14" s="63">
        <v>60</v>
      </c>
      <c r="B14" s="64" t="s">
        <v>19</v>
      </c>
      <c r="C14" s="65">
        <v>17</v>
      </c>
      <c r="D14" s="65">
        <v>22</v>
      </c>
      <c r="E14" s="65">
        <v>1</v>
      </c>
      <c r="F14" s="65">
        <v>12</v>
      </c>
      <c r="G14" s="60">
        <v>52</v>
      </c>
      <c r="I14" s="98"/>
      <c r="J14" s="98"/>
      <c r="K14" s="98"/>
      <c r="L14" s="98"/>
      <c r="M14" s="98"/>
    </row>
    <row r="15" spans="1:13" s="64" customFormat="1" ht="12.75" customHeight="1" x14ac:dyDescent="0.3">
      <c r="A15" s="63">
        <v>61</v>
      </c>
      <c r="B15" s="66" t="s">
        <v>63</v>
      </c>
      <c r="C15" s="65">
        <v>19</v>
      </c>
      <c r="D15" s="65">
        <v>97</v>
      </c>
      <c r="E15" s="65">
        <v>7</v>
      </c>
      <c r="F15" s="65">
        <v>33</v>
      </c>
      <c r="G15" s="60">
        <v>156</v>
      </c>
      <c r="I15" s="98"/>
      <c r="J15" s="98"/>
      <c r="K15" s="98"/>
      <c r="L15" s="98"/>
      <c r="M15" s="98"/>
    </row>
    <row r="16" spans="1:13" s="64" customFormat="1" ht="12.75" customHeight="1" x14ac:dyDescent="0.3">
      <c r="A16" s="63">
        <v>62</v>
      </c>
      <c r="B16" s="64" t="s">
        <v>105</v>
      </c>
      <c r="C16" s="65">
        <f>C62+C63</f>
        <v>17</v>
      </c>
      <c r="D16" s="65">
        <f t="shared" ref="D16:G16" si="0">D62+D63</f>
        <v>71</v>
      </c>
      <c r="E16" s="65">
        <f t="shared" si="0"/>
        <v>2</v>
      </c>
      <c r="F16" s="65">
        <f t="shared" si="0"/>
        <v>18</v>
      </c>
      <c r="G16" s="65">
        <f t="shared" si="0"/>
        <v>108</v>
      </c>
      <c r="I16" s="98"/>
      <c r="J16" s="98"/>
      <c r="K16" s="98"/>
      <c r="L16" s="98"/>
      <c r="M16" s="98"/>
    </row>
    <row r="17" spans="1:13" s="64" customFormat="1" ht="12.75" customHeight="1" x14ac:dyDescent="0.3">
      <c r="A17" s="63">
        <v>58</v>
      </c>
      <c r="B17" s="64" t="s">
        <v>22</v>
      </c>
      <c r="C17" s="65">
        <v>15</v>
      </c>
      <c r="D17" s="65">
        <v>15</v>
      </c>
      <c r="E17" s="65">
        <v>1</v>
      </c>
      <c r="F17" s="65">
        <v>7</v>
      </c>
      <c r="G17" s="60">
        <v>38</v>
      </c>
      <c r="I17" s="98"/>
      <c r="J17" s="98"/>
      <c r="K17" s="98"/>
      <c r="L17" s="98"/>
      <c r="M17" s="98"/>
    </row>
    <row r="18" spans="1:13" s="64" customFormat="1" ht="12.75" customHeight="1" x14ac:dyDescent="0.3">
      <c r="A18" s="63">
        <v>63</v>
      </c>
      <c r="B18" s="64" t="s">
        <v>23</v>
      </c>
      <c r="C18" s="65">
        <v>21</v>
      </c>
      <c r="D18" s="65">
        <v>36</v>
      </c>
      <c r="E18" s="65">
        <v>1</v>
      </c>
      <c r="F18" s="65">
        <v>19</v>
      </c>
      <c r="G18" s="60">
        <v>77</v>
      </c>
      <c r="I18" s="98"/>
      <c r="J18" s="98"/>
      <c r="K18" s="98"/>
      <c r="L18" s="98"/>
      <c r="M18" s="98"/>
    </row>
    <row r="19" spans="1:13" s="64" customFormat="1" ht="12.75" customHeight="1" x14ac:dyDescent="0.3">
      <c r="A19" s="63">
        <v>64</v>
      </c>
      <c r="B19" s="64" t="s">
        <v>24</v>
      </c>
      <c r="C19" s="65">
        <v>30</v>
      </c>
      <c r="D19" s="65">
        <v>42</v>
      </c>
      <c r="E19" s="65">
        <v>3</v>
      </c>
      <c r="F19" s="65">
        <v>22</v>
      </c>
      <c r="G19" s="60">
        <v>97</v>
      </c>
      <c r="I19" s="98"/>
      <c r="J19" s="98"/>
      <c r="K19" s="98"/>
      <c r="L19" s="98"/>
      <c r="M19" s="98"/>
    </row>
    <row r="20" spans="1:13" s="64" customFormat="1" ht="12.75" customHeight="1" x14ac:dyDescent="0.3">
      <c r="A20" s="63">
        <v>65</v>
      </c>
      <c r="B20" s="64" t="s">
        <v>25</v>
      </c>
      <c r="C20" s="65">
        <v>6</v>
      </c>
      <c r="D20" s="65">
        <v>39</v>
      </c>
      <c r="E20" s="65">
        <v>2</v>
      </c>
      <c r="F20" s="65">
        <v>12</v>
      </c>
      <c r="G20" s="60">
        <v>59</v>
      </c>
      <c r="I20" s="98"/>
      <c r="J20" s="98"/>
      <c r="K20" s="98"/>
      <c r="L20" s="98"/>
      <c r="M20" s="98"/>
    </row>
    <row r="21" spans="1:13" s="64" customFormat="1" ht="12.75" customHeight="1" x14ac:dyDescent="0.3">
      <c r="A21" s="63">
        <v>67</v>
      </c>
      <c r="B21" s="64" t="s">
        <v>28</v>
      </c>
      <c r="C21" s="65">
        <v>38</v>
      </c>
      <c r="D21" s="65">
        <v>111</v>
      </c>
      <c r="E21" s="65">
        <v>2</v>
      </c>
      <c r="F21" s="65">
        <v>22</v>
      </c>
      <c r="G21" s="60">
        <v>173</v>
      </c>
      <c r="I21" s="98"/>
      <c r="J21" s="98"/>
      <c r="K21" s="98"/>
      <c r="L21" s="98"/>
      <c r="M21" s="98"/>
    </row>
    <row r="22" spans="1:13" s="64" customFormat="1" ht="12.75" customHeight="1" x14ac:dyDescent="0.3">
      <c r="A22" s="63">
        <v>68</v>
      </c>
      <c r="B22" s="64" t="s">
        <v>64</v>
      </c>
      <c r="C22" s="65">
        <v>9</v>
      </c>
      <c r="D22" s="65">
        <v>52</v>
      </c>
      <c r="E22" s="65">
        <v>1</v>
      </c>
      <c r="F22" s="65">
        <v>12</v>
      </c>
      <c r="G22" s="60">
        <v>74</v>
      </c>
      <c r="I22" s="98"/>
      <c r="J22" s="98"/>
      <c r="K22" s="98"/>
      <c r="L22" s="98"/>
      <c r="M22" s="98"/>
    </row>
    <row r="23" spans="1:13" s="64" customFormat="1" ht="12.75" customHeight="1" x14ac:dyDescent="0.3">
      <c r="A23" s="63">
        <v>69</v>
      </c>
      <c r="B23" s="64" t="s">
        <v>30</v>
      </c>
      <c r="C23" s="65">
        <v>17</v>
      </c>
      <c r="D23" s="65">
        <v>33</v>
      </c>
      <c r="E23" s="65">
        <v>0</v>
      </c>
      <c r="F23" s="65">
        <v>26</v>
      </c>
      <c r="G23" s="60">
        <v>76</v>
      </c>
      <c r="I23" s="98"/>
      <c r="J23" s="98"/>
      <c r="K23" s="98"/>
      <c r="L23" s="98"/>
      <c r="M23" s="98"/>
    </row>
    <row r="24" spans="1:13" s="64" customFormat="1" ht="12.75" customHeight="1" x14ac:dyDescent="0.3">
      <c r="A24" s="63">
        <v>70</v>
      </c>
      <c r="B24" s="64" t="s">
        <v>31</v>
      </c>
      <c r="C24" s="65">
        <v>18</v>
      </c>
      <c r="D24" s="65">
        <v>26</v>
      </c>
      <c r="E24" s="65">
        <v>4</v>
      </c>
      <c r="F24" s="65">
        <v>24</v>
      </c>
      <c r="G24" s="60">
        <v>72</v>
      </c>
      <c r="I24" s="98"/>
      <c r="J24" s="98"/>
      <c r="K24" s="98"/>
      <c r="L24" s="98"/>
      <c r="M24" s="98"/>
    </row>
    <row r="25" spans="1:13" s="64" customFormat="1" ht="12.75" customHeight="1" x14ac:dyDescent="0.3">
      <c r="A25" s="63">
        <v>71</v>
      </c>
      <c r="B25" s="64" t="s">
        <v>65</v>
      </c>
      <c r="C25" s="65">
        <v>1</v>
      </c>
      <c r="D25" s="65">
        <v>6</v>
      </c>
      <c r="E25" s="65">
        <v>1</v>
      </c>
      <c r="F25" s="65">
        <v>2</v>
      </c>
      <c r="G25" s="60">
        <v>10</v>
      </c>
      <c r="I25" s="98"/>
      <c r="J25" s="98"/>
      <c r="K25" s="98"/>
      <c r="L25" s="98"/>
      <c r="M25" s="98"/>
    </row>
    <row r="26" spans="1:13" s="64" customFormat="1" ht="12.75" customHeight="1" x14ac:dyDescent="0.3">
      <c r="A26" s="63">
        <v>73</v>
      </c>
      <c r="B26" s="64" t="s">
        <v>34</v>
      </c>
      <c r="C26" s="65">
        <v>28</v>
      </c>
      <c r="D26" s="65">
        <v>75</v>
      </c>
      <c r="E26" s="65">
        <v>9</v>
      </c>
      <c r="F26" s="65">
        <v>17</v>
      </c>
      <c r="G26" s="60">
        <v>129</v>
      </c>
      <c r="I26" s="98"/>
      <c r="J26" s="98"/>
      <c r="K26" s="98"/>
      <c r="L26" s="98"/>
      <c r="M26" s="98"/>
    </row>
    <row r="27" spans="1:13" s="64" customFormat="1" ht="12.75" customHeight="1" x14ac:dyDescent="0.3">
      <c r="A27" s="63">
        <v>74</v>
      </c>
      <c r="B27" s="64" t="s">
        <v>35</v>
      </c>
      <c r="C27" s="65">
        <v>38</v>
      </c>
      <c r="D27" s="65">
        <v>54</v>
      </c>
      <c r="E27" s="65">
        <v>2</v>
      </c>
      <c r="F27" s="65">
        <v>32</v>
      </c>
      <c r="G27" s="60">
        <v>126</v>
      </c>
      <c r="I27" s="98"/>
      <c r="J27" s="98"/>
      <c r="K27" s="98"/>
      <c r="L27" s="98"/>
      <c r="M27" s="98"/>
    </row>
    <row r="28" spans="1:13" s="64" customFormat="1" ht="12.75" customHeight="1" x14ac:dyDescent="0.3">
      <c r="A28" s="63">
        <v>75</v>
      </c>
      <c r="B28" s="64" t="s">
        <v>36</v>
      </c>
      <c r="C28" s="65">
        <v>16</v>
      </c>
      <c r="D28" s="65">
        <v>31</v>
      </c>
      <c r="E28" s="65">
        <v>0</v>
      </c>
      <c r="F28" s="65">
        <v>12</v>
      </c>
      <c r="G28" s="60">
        <v>59</v>
      </c>
      <c r="I28" s="98"/>
      <c r="J28" s="98"/>
      <c r="K28" s="98"/>
      <c r="L28" s="98"/>
      <c r="M28" s="98"/>
    </row>
    <row r="29" spans="1:13" s="64" customFormat="1" ht="12.75" customHeight="1" x14ac:dyDescent="0.3">
      <c r="A29" s="63">
        <v>76</v>
      </c>
      <c r="B29" s="64" t="s">
        <v>37</v>
      </c>
      <c r="C29" s="65">
        <v>10</v>
      </c>
      <c r="D29" s="65">
        <v>62</v>
      </c>
      <c r="E29" s="65">
        <v>1</v>
      </c>
      <c r="F29" s="65">
        <v>7</v>
      </c>
      <c r="G29" s="60">
        <v>80</v>
      </c>
      <c r="I29" s="98"/>
      <c r="J29" s="98"/>
      <c r="K29" s="98"/>
      <c r="L29" s="98"/>
      <c r="M29" s="98"/>
    </row>
    <row r="30" spans="1:13" s="64" customFormat="1" ht="12.75" customHeight="1" x14ac:dyDescent="0.3">
      <c r="A30" s="63">
        <v>79</v>
      </c>
      <c r="B30" s="64" t="s">
        <v>39</v>
      </c>
      <c r="C30" s="65">
        <v>16</v>
      </c>
      <c r="D30" s="65">
        <v>51</v>
      </c>
      <c r="E30" s="65">
        <v>0</v>
      </c>
      <c r="F30" s="65">
        <v>9</v>
      </c>
      <c r="G30" s="60">
        <v>76</v>
      </c>
      <c r="I30" s="98"/>
      <c r="J30" s="98"/>
      <c r="K30" s="98"/>
      <c r="L30" s="98"/>
      <c r="M30" s="98"/>
    </row>
    <row r="31" spans="1:13" s="64" customFormat="1" ht="12.75" customHeight="1" x14ac:dyDescent="0.3">
      <c r="A31" s="63"/>
      <c r="B31" s="95" t="s">
        <v>40</v>
      </c>
      <c r="C31" s="96" t="s">
        <v>75</v>
      </c>
      <c r="D31" s="96" t="s">
        <v>75</v>
      </c>
      <c r="E31" s="96" t="s">
        <v>75</v>
      </c>
      <c r="F31" s="96" t="s">
        <v>75</v>
      </c>
      <c r="G31" s="97" t="s">
        <v>75</v>
      </c>
      <c r="I31" s="98"/>
      <c r="J31" s="98"/>
      <c r="K31" s="98"/>
      <c r="L31" s="98"/>
      <c r="M31" s="98"/>
    </row>
    <row r="32" spans="1:13" s="64" customFormat="1" ht="12.75" customHeight="1" x14ac:dyDescent="0.3">
      <c r="A32" s="63">
        <v>80</v>
      </c>
      <c r="B32" s="64" t="s">
        <v>41</v>
      </c>
      <c r="C32" s="65">
        <v>10</v>
      </c>
      <c r="D32" s="65">
        <v>41</v>
      </c>
      <c r="E32" s="65">
        <v>1</v>
      </c>
      <c r="F32" s="65">
        <v>14</v>
      </c>
      <c r="G32" s="60">
        <v>66</v>
      </c>
      <c r="I32" s="98"/>
      <c r="J32" s="98"/>
      <c r="K32" s="98"/>
      <c r="L32" s="98"/>
      <c r="M32" s="98"/>
    </row>
    <row r="33" spans="1:13" s="64" customFormat="1" ht="13.5" customHeight="1" x14ac:dyDescent="0.3">
      <c r="A33" s="63">
        <v>81</v>
      </c>
      <c r="B33" s="64" t="s">
        <v>42</v>
      </c>
      <c r="C33" s="65">
        <v>9</v>
      </c>
      <c r="D33" s="65">
        <v>33</v>
      </c>
      <c r="E33" s="65">
        <v>2</v>
      </c>
      <c r="F33" s="65">
        <v>7</v>
      </c>
      <c r="G33" s="60">
        <v>51</v>
      </c>
      <c r="I33" s="98"/>
      <c r="J33" s="98"/>
      <c r="K33" s="98"/>
      <c r="L33" s="98"/>
      <c r="M33" s="98"/>
    </row>
    <row r="34" spans="1:13" s="64" customFormat="1" ht="13.5" customHeight="1" x14ac:dyDescent="0.3">
      <c r="A34" s="63">
        <v>83</v>
      </c>
      <c r="B34" s="64" t="s">
        <v>43</v>
      </c>
      <c r="C34" s="65">
        <v>8</v>
      </c>
      <c r="D34" s="65">
        <v>20</v>
      </c>
      <c r="E34" s="65">
        <v>0</v>
      </c>
      <c r="F34" s="65">
        <v>2</v>
      </c>
      <c r="G34" s="60">
        <v>30</v>
      </c>
      <c r="I34" s="98"/>
      <c r="J34" s="98"/>
      <c r="K34" s="98"/>
      <c r="L34" s="98"/>
      <c r="M34" s="98"/>
    </row>
    <row r="35" spans="1:13" s="64" customFormat="1" ht="14.25" customHeight="1" x14ac:dyDescent="0.3">
      <c r="A35" s="63">
        <v>84</v>
      </c>
      <c r="B35" s="64" t="s">
        <v>44</v>
      </c>
      <c r="C35" s="65">
        <v>25</v>
      </c>
      <c r="D35" s="65">
        <v>81</v>
      </c>
      <c r="E35" s="65">
        <v>2</v>
      </c>
      <c r="F35" s="65">
        <v>20</v>
      </c>
      <c r="G35" s="60">
        <v>128</v>
      </c>
      <c r="I35" s="98"/>
      <c r="J35" s="98"/>
      <c r="K35" s="98"/>
      <c r="L35" s="98"/>
      <c r="M35" s="98"/>
    </row>
    <row r="36" spans="1:13" s="64" customFormat="1" ht="12.75" customHeight="1" x14ac:dyDescent="0.3">
      <c r="A36" s="63">
        <v>85</v>
      </c>
      <c r="B36" s="64" t="s">
        <v>45</v>
      </c>
      <c r="C36" s="65">
        <v>11</v>
      </c>
      <c r="D36" s="65">
        <v>47</v>
      </c>
      <c r="E36" s="65">
        <v>0</v>
      </c>
      <c r="F36" s="65">
        <v>8</v>
      </c>
      <c r="G36" s="60">
        <v>66</v>
      </c>
      <c r="I36" s="98"/>
      <c r="J36" s="98"/>
      <c r="K36" s="98"/>
      <c r="L36" s="98"/>
      <c r="M36" s="98"/>
    </row>
    <row r="37" spans="1:13" s="64" customFormat="1" ht="12.75" customHeight="1" x14ac:dyDescent="0.3">
      <c r="A37" s="63">
        <v>87</v>
      </c>
      <c r="B37" s="64" t="s">
        <v>46</v>
      </c>
      <c r="C37" s="65">
        <v>8</v>
      </c>
      <c r="D37" s="65">
        <v>31</v>
      </c>
      <c r="E37" s="65">
        <v>1</v>
      </c>
      <c r="F37" s="65">
        <v>4</v>
      </c>
      <c r="G37" s="60">
        <v>44</v>
      </c>
      <c r="I37" s="98"/>
      <c r="J37" s="98"/>
      <c r="K37" s="98"/>
      <c r="L37" s="98"/>
      <c r="M37" s="98"/>
    </row>
    <row r="38" spans="1:13" s="64" customFormat="1" ht="12.75" customHeight="1" x14ac:dyDescent="0.3">
      <c r="A38" s="63">
        <v>90</v>
      </c>
      <c r="B38" s="64" t="s">
        <v>48</v>
      </c>
      <c r="C38" s="65">
        <v>20</v>
      </c>
      <c r="D38" s="65">
        <v>49</v>
      </c>
      <c r="E38" s="65">
        <v>2</v>
      </c>
      <c r="F38" s="65">
        <v>17</v>
      </c>
      <c r="G38" s="60">
        <v>88</v>
      </c>
      <c r="I38" s="98"/>
      <c r="J38" s="98"/>
      <c r="K38" s="98"/>
      <c r="L38" s="98"/>
      <c r="M38" s="98"/>
    </row>
    <row r="39" spans="1:13" s="64" customFormat="1" ht="12.75" customHeight="1" x14ac:dyDescent="0.3">
      <c r="A39" s="63">
        <v>91</v>
      </c>
      <c r="B39" s="64" t="s">
        <v>49</v>
      </c>
      <c r="C39" s="65">
        <v>8</v>
      </c>
      <c r="D39" s="65">
        <v>36</v>
      </c>
      <c r="E39" s="65">
        <v>0</v>
      </c>
      <c r="F39" s="65">
        <v>11</v>
      </c>
      <c r="G39" s="60">
        <v>55</v>
      </c>
      <c r="I39" s="98"/>
      <c r="J39" s="98"/>
      <c r="K39" s="98"/>
      <c r="L39" s="98"/>
      <c r="M39" s="98"/>
    </row>
    <row r="40" spans="1:13" s="64" customFormat="1" ht="12.75" customHeight="1" x14ac:dyDescent="0.3">
      <c r="A40" s="63">
        <v>92</v>
      </c>
      <c r="B40" s="64" t="s">
        <v>50</v>
      </c>
      <c r="C40" s="65">
        <v>26</v>
      </c>
      <c r="D40" s="65">
        <v>5</v>
      </c>
      <c r="E40" s="65">
        <v>2</v>
      </c>
      <c r="F40" s="65">
        <v>8</v>
      </c>
      <c r="G40" s="60">
        <v>41</v>
      </c>
      <c r="I40" s="98"/>
      <c r="J40" s="98"/>
      <c r="K40" s="98"/>
      <c r="L40" s="98"/>
      <c r="M40" s="98"/>
    </row>
    <row r="41" spans="1:13" s="64" customFormat="1" ht="12.75" customHeight="1" x14ac:dyDescent="0.3">
      <c r="A41" s="63">
        <v>94</v>
      </c>
      <c r="B41" s="64" t="s">
        <v>52</v>
      </c>
      <c r="C41" s="65">
        <v>8</v>
      </c>
      <c r="D41" s="65">
        <v>30</v>
      </c>
      <c r="E41" s="65">
        <v>0</v>
      </c>
      <c r="F41" s="65">
        <v>10</v>
      </c>
      <c r="G41" s="60">
        <v>48</v>
      </c>
      <c r="I41" s="98"/>
      <c r="J41" s="98"/>
      <c r="K41" s="98"/>
      <c r="L41" s="98"/>
      <c r="M41" s="98"/>
    </row>
    <row r="42" spans="1:13" s="64" customFormat="1" ht="12.75" customHeight="1" x14ac:dyDescent="0.3">
      <c r="A42" s="63">
        <v>96</v>
      </c>
      <c r="B42" s="64" t="s">
        <v>54</v>
      </c>
      <c r="C42" s="65">
        <v>33</v>
      </c>
      <c r="D42" s="65">
        <v>46</v>
      </c>
      <c r="E42" s="65">
        <v>0</v>
      </c>
      <c r="F42" s="65">
        <v>15</v>
      </c>
      <c r="G42" s="60">
        <v>94</v>
      </c>
      <c r="H42" s="67"/>
      <c r="I42" s="98"/>
      <c r="J42" s="98"/>
      <c r="K42" s="98"/>
      <c r="L42" s="98"/>
      <c r="M42" s="98"/>
    </row>
    <row r="43" spans="1:13" s="64" customFormat="1" ht="12.75" customHeight="1" x14ac:dyDescent="0.3">
      <c r="A43" s="63">
        <v>72</v>
      </c>
      <c r="B43" s="64" t="s">
        <v>33</v>
      </c>
      <c r="C43" s="65">
        <v>0</v>
      </c>
      <c r="D43" s="65">
        <v>2</v>
      </c>
      <c r="E43" s="65">
        <v>0</v>
      </c>
      <c r="F43" s="65">
        <v>1</v>
      </c>
      <c r="G43" s="60">
        <v>3</v>
      </c>
      <c r="I43" s="98"/>
      <c r="J43" s="98"/>
      <c r="K43" s="98"/>
      <c r="L43" s="98"/>
      <c r="M43" s="98"/>
    </row>
    <row r="44" spans="1:13" s="59" customFormat="1" ht="25.5" customHeight="1" x14ac:dyDescent="0.3">
      <c r="B44" s="59" t="s">
        <v>66</v>
      </c>
      <c r="C44" s="62">
        <v>568</v>
      </c>
      <c r="D44" s="62">
        <v>36</v>
      </c>
      <c r="E44" s="62">
        <v>42</v>
      </c>
      <c r="F44" s="62">
        <v>465</v>
      </c>
      <c r="G44" s="60">
        <v>1111</v>
      </c>
      <c r="I44" s="98"/>
      <c r="J44" s="98"/>
      <c r="K44" s="98"/>
      <c r="L44" s="98"/>
      <c r="M44" s="98"/>
    </row>
    <row r="45" spans="1:13" s="64" customFormat="1" ht="12.75" customHeight="1" x14ac:dyDescent="0.3">
      <c r="A45" s="63">
        <v>66</v>
      </c>
      <c r="B45" s="64" t="s">
        <v>27</v>
      </c>
      <c r="C45" s="65">
        <v>83</v>
      </c>
      <c r="D45" s="68">
        <v>4</v>
      </c>
      <c r="E45" s="68">
        <v>18</v>
      </c>
      <c r="F45" s="68">
        <v>64</v>
      </c>
      <c r="G45" s="60">
        <v>169</v>
      </c>
      <c r="I45" s="98"/>
      <c r="J45" s="98"/>
      <c r="K45" s="98"/>
      <c r="L45" s="98"/>
      <c r="M45" s="98"/>
    </row>
    <row r="46" spans="1:13" s="64" customFormat="1" ht="14.25" customHeight="1" x14ac:dyDescent="0.3">
      <c r="A46" s="63">
        <v>78</v>
      </c>
      <c r="B46" s="64" t="s">
        <v>38</v>
      </c>
      <c r="C46" s="65">
        <v>23</v>
      </c>
      <c r="D46" s="68">
        <v>4</v>
      </c>
      <c r="E46" s="68">
        <v>9</v>
      </c>
      <c r="F46" s="68">
        <v>65</v>
      </c>
      <c r="G46" s="60">
        <v>101</v>
      </c>
      <c r="I46" s="98"/>
      <c r="J46" s="98"/>
      <c r="K46" s="98"/>
      <c r="L46" s="98"/>
      <c r="M46" s="98"/>
    </row>
    <row r="47" spans="1:13" s="64" customFormat="1" ht="12.75" customHeight="1" x14ac:dyDescent="0.3">
      <c r="A47" s="63">
        <v>89</v>
      </c>
      <c r="B47" s="64" t="s">
        <v>47</v>
      </c>
      <c r="C47" s="65">
        <v>40</v>
      </c>
      <c r="D47" s="68">
        <v>16</v>
      </c>
      <c r="E47" s="68">
        <v>2</v>
      </c>
      <c r="F47" s="68">
        <v>17</v>
      </c>
      <c r="G47" s="60">
        <v>75</v>
      </c>
      <c r="I47" s="98"/>
      <c r="J47" s="98"/>
      <c r="K47" s="98"/>
      <c r="L47" s="98"/>
      <c r="M47" s="98"/>
    </row>
    <row r="48" spans="1:13" s="64" customFormat="1" ht="12.75" customHeight="1" x14ac:dyDescent="0.3">
      <c r="A48" s="63">
        <v>93</v>
      </c>
      <c r="B48" s="64" t="s">
        <v>67</v>
      </c>
      <c r="C48" s="65">
        <v>37</v>
      </c>
      <c r="D48" s="68">
        <v>0</v>
      </c>
      <c r="E48" s="68">
        <v>4</v>
      </c>
      <c r="F48" s="68">
        <v>25</v>
      </c>
      <c r="G48" s="60">
        <v>66</v>
      </c>
      <c r="I48" s="98"/>
      <c r="J48" s="98"/>
      <c r="K48" s="98"/>
      <c r="L48" s="98"/>
      <c r="M48" s="98"/>
    </row>
    <row r="49" spans="1:13" s="64" customFormat="1" ht="12.75" customHeight="1" x14ac:dyDescent="0.3">
      <c r="A49" s="63">
        <v>95</v>
      </c>
      <c r="B49" s="64" t="s">
        <v>53</v>
      </c>
      <c r="C49" s="65">
        <v>80</v>
      </c>
      <c r="D49" s="68">
        <v>0</v>
      </c>
      <c r="E49" s="68">
        <v>3</v>
      </c>
      <c r="F49" s="68">
        <v>93</v>
      </c>
      <c r="G49" s="60">
        <v>176</v>
      </c>
      <c r="I49" s="98"/>
      <c r="J49" s="98"/>
      <c r="K49" s="98"/>
      <c r="L49" s="98"/>
      <c r="M49" s="98"/>
    </row>
    <row r="50" spans="1:13" s="64" customFormat="1" ht="12.75" customHeight="1" x14ac:dyDescent="0.3">
      <c r="A50" s="63">
        <v>97</v>
      </c>
      <c r="B50" s="64" t="s">
        <v>55</v>
      </c>
      <c r="C50" s="65">
        <v>86</v>
      </c>
      <c r="D50" s="68">
        <v>12</v>
      </c>
      <c r="E50" s="68">
        <v>2</v>
      </c>
      <c r="F50" s="68">
        <v>88</v>
      </c>
      <c r="G50" s="60">
        <v>188</v>
      </c>
      <c r="I50" s="98"/>
      <c r="J50" s="98"/>
      <c r="K50" s="98"/>
      <c r="L50" s="98"/>
      <c r="M50" s="98"/>
    </row>
    <row r="51" spans="1:13" s="73" customFormat="1" ht="12.75" customHeight="1" x14ac:dyDescent="0.3">
      <c r="A51" s="63">
        <v>77</v>
      </c>
      <c r="B51" s="69" t="s">
        <v>26</v>
      </c>
      <c r="C51" s="70">
        <v>219</v>
      </c>
      <c r="D51" s="70">
        <v>0</v>
      </c>
      <c r="E51" s="71">
        <v>4</v>
      </c>
      <c r="F51" s="71">
        <v>113</v>
      </c>
      <c r="G51" s="72">
        <v>336</v>
      </c>
      <c r="I51" s="98"/>
      <c r="J51" s="98"/>
      <c r="K51" s="98"/>
      <c r="L51" s="98"/>
      <c r="M51" s="98"/>
    </row>
    <row r="52" spans="1:13" s="64" customFormat="1" ht="10.5" customHeight="1" x14ac:dyDescent="0.3">
      <c r="A52" s="63"/>
      <c r="C52" s="74"/>
      <c r="D52" s="74"/>
      <c r="E52" s="74"/>
      <c r="F52" s="74"/>
      <c r="G52" s="74"/>
    </row>
    <row r="53" spans="1:13" s="64" customFormat="1" ht="13.5" customHeight="1" x14ac:dyDescent="0.3">
      <c r="A53" s="63"/>
      <c r="B53" s="64" t="s">
        <v>68</v>
      </c>
      <c r="H53" s="75"/>
      <c r="I53" s="55"/>
      <c r="J53" s="55"/>
      <c r="K53" s="55"/>
      <c r="L53" s="55"/>
      <c r="M53" s="55"/>
    </row>
    <row r="54" spans="1:13" s="64" customFormat="1" ht="13.5" customHeight="1" x14ac:dyDescent="0.3">
      <c r="A54" s="63"/>
      <c r="H54" s="75"/>
      <c r="I54" s="75"/>
    </row>
    <row r="55" spans="1:13" s="64" customFormat="1" x14ac:dyDescent="0.3">
      <c r="A55" s="63"/>
      <c r="B55" s="45" t="s">
        <v>69</v>
      </c>
      <c r="H55" s="75"/>
      <c r="I55" s="75"/>
    </row>
    <row r="56" spans="1:13" x14ac:dyDescent="0.3">
      <c r="A56" s="63"/>
      <c r="F56" s="77"/>
      <c r="G56" s="77"/>
    </row>
    <row r="57" spans="1:13" x14ac:dyDescent="0.3">
      <c r="A57" s="63"/>
    </row>
    <row r="58" spans="1:13" x14ac:dyDescent="0.3">
      <c r="A58" s="63"/>
    </row>
    <row r="59" spans="1:13" x14ac:dyDescent="0.3">
      <c r="A59" s="63"/>
      <c r="E59" s="78"/>
    </row>
    <row r="62" spans="1:13" ht="13.8" x14ac:dyDescent="0.3">
      <c r="A62" s="63">
        <v>62</v>
      </c>
      <c r="B62" s="64" t="s">
        <v>21</v>
      </c>
      <c r="C62" s="65">
        <v>12</v>
      </c>
      <c r="D62" s="65">
        <v>39</v>
      </c>
      <c r="E62" s="65">
        <v>1</v>
      </c>
      <c r="F62" s="65">
        <v>8</v>
      </c>
      <c r="G62" s="60">
        <v>60</v>
      </c>
    </row>
    <row r="63" spans="1:13" ht="13.8" x14ac:dyDescent="0.3">
      <c r="A63" s="63">
        <v>98</v>
      </c>
      <c r="B63" s="64" t="s">
        <v>56</v>
      </c>
      <c r="C63" s="65">
        <v>5</v>
      </c>
      <c r="D63" s="65">
        <v>32</v>
      </c>
      <c r="E63" s="65">
        <v>1</v>
      </c>
      <c r="F63" s="65">
        <v>10</v>
      </c>
      <c r="G63" s="60">
        <v>48</v>
      </c>
    </row>
    <row r="64" spans="1:13" ht="15" x14ac:dyDescent="0.3">
      <c r="C64" s="99"/>
      <c r="D64" s="100"/>
      <c r="E64" s="100"/>
    </row>
  </sheetData>
  <mergeCells count="1">
    <mergeCell ref="B1:G1"/>
  </mergeCells>
  <conditionalFormatting sqref="I3:M51">
    <cfRule type="cellIs" dxfId="1" priority="1" stopIfTrue="1" operator="greaterThan">
      <formula>0.5</formula>
    </cfRule>
    <cfRule type="cellIs" dxfId="0" priority="2" stopIfTrue="1" operator="lessThan">
      <formula>-0.5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22"/>
  </sheetPr>
  <dimension ref="A1:M63"/>
  <sheetViews>
    <sheetView showGridLines="0" zoomScale="85" zoomScaleNormal="100" workbookViewId="0">
      <pane xSplit="2" ySplit="2" topLeftCell="C3" activePane="bottomRight" state="frozen"/>
      <selection activeCell="G18" sqref="G18"/>
      <selection pane="topRight" activeCell="G18" sqref="G18"/>
      <selection pane="bottomLeft" activeCell="G18" sqref="G18"/>
      <selection pane="bottomRight" activeCell="C3" sqref="C3"/>
    </sheetView>
  </sheetViews>
  <sheetFormatPr defaultRowHeight="13.2" x14ac:dyDescent="0.3"/>
  <cols>
    <col min="1" max="1" width="3.5546875" style="75" hidden="1" customWidth="1"/>
    <col min="2" max="2" width="27.5546875" style="75" bestFit="1" customWidth="1"/>
    <col min="3" max="3" width="20.21875" style="75" customWidth="1"/>
    <col min="4" max="4" width="21.77734375" style="75" customWidth="1"/>
    <col min="5" max="5" width="18.77734375" style="75" customWidth="1"/>
    <col min="6" max="6" width="21.44140625" style="75" customWidth="1"/>
    <col min="7" max="7" width="26.5546875" style="75" customWidth="1"/>
    <col min="8" max="256" width="9.21875" style="75"/>
    <col min="257" max="257" width="0" style="75" hidden="1" customWidth="1"/>
    <col min="258" max="258" width="27.5546875" style="75" bestFit="1" customWidth="1"/>
    <col min="259" max="259" width="20.21875" style="75" customWidth="1"/>
    <col min="260" max="260" width="21.77734375" style="75" customWidth="1"/>
    <col min="261" max="261" width="18.77734375" style="75" customWidth="1"/>
    <col min="262" max="262" width="21.44140625" style="75" customWidth="1"/>
    <col min="263" max="263" width="26.5546875" style="75" customWidth="1"/>
    <col min="264" max="512" width="9.21875" style="75"/>
    <col min="513" max="513" width="0" style="75" hidden="1" customWidth="1"/>
    <col min="514" max="514" width="27.5546875" style="75" bestFit="1" customWidth="1"/>
    <col min="515" max="515" width="20.21875" style="75" customWidth="1"/>
    <col min="516" max="516" width="21.77734375" style="75" customWidth="1"/>
    <col min="517" max="517" width="18.77734375" style="75" customWidth="1"/>
    <col min="518" max="518" width="21.44140625" style="75" customWidth="1"/>
    <col min="519" max="519" width="26.5546875" style="75" customWidth="1"/>
    <col min="520" max="768" width="9.21875" style="75"/>
    <col min="769" max="769" width="0" style="75" hidden="1" customWidth="1"/>
    <col min="770" max="770" width="27.5546875" style="75" bestFit="1" customWidth="1"/>
    <col min="771" max="771" width="20.21875" style="75" customWidth="1"/>
    <col min="772" max="772" width="21.77734375" style="75" customWidth="1"/>
    <col min="773" max="773" width="18.77734375" style="75" customWidth="1"/>
    <col min="774" max="774" width="21.44140625" style="75" customWidth="1"/>
    <col min="775" max="775" width="26.5546875" style="75" customWidth="1"/>
    <col min="776" max="1024" width="9.21875" style="75"/>
    <col min="1025" max="1025" width="0" style="75" hidden="1" customWidth="1"/>
    <col min="1026" max="1026" width="27.5546875" style="75" bestFit="1" customWidth="1"/>
    <col min="1027" max="1027" width="20.21875" style="75" customWidth="1"/>
    <col min="1028" max="1028" width="21.77734375" style="75" customWidth="1"/>
    <col min="1029" max="1029" width="18.77734375" style="75" customWidth="1"/>
    <col min="1030" max="1030" width="21.44140625" style="75" customWidth="1"/>
    <col min="1031" max="1031" width="26.5546875" style="75" customWidth="1"/>
    <col min="1032" max="1280" width="9.21875" style="75"/>
    <col min="1281" max="1281" width="0" style="75" hidden="1" customWidth="1"/>
    <col min="1282" max="1282" width="27.5546875" style="75" bestFit="1" customWidth="1"/>
    <col min="1283" max="1283" width="20.21875" style="75" customWidth="1"/>
    <col min="1284" max="1284" width="21.77734375" style="75" customWidth="1"/>
    <col min="1285" max="1285" width="18.77734375" style="75" customWidth="1"/>
    <col min="1286" max="1286" width="21.44140625" style="75" customWidth="1"/>
    <col min="1287" max="1287" width="26.5546875" style="75" customWidth="1"/>
    <col min="1288" max="1536" width="9.21875" style="75"/>
    <col min="1537" max="1537" width="0" style="75" hidden="1" customWidth="1"/>
    <col min="1538" max="1538" width="27.5546875" style="75" bestFit="1" customWidth="1"/>
    <col min="1539" max="1539" width="20.21875" style="75" customWidth="1"/>
    <col min="1540" max="1540" width="21.77734375" style="75" customWidth="1"/>
    <col min="1541" max="1541" width="18.77734375" style="75" customWidth="1"/>
    <col min="1542" max="1542" width="21.44140625" style="75" customWidth="1"/>
    <col min="1543" max="1543" width="26.5546875" style="75" customWidth="1"/>
    <col min="1544" max="1792" width="9.21875" style="75"/>
    <col min="1793" max="1793" width="0" style="75" hidden="1" customWidth="1"/>
    <col min="1794" max="1794" width="27.5546875" style="75" bestFit="1" customWidth="1"/>
    <col min="1795" max="1795" width="20.21875" style="75" customWidth="1"/>
    <col min="1796" max="1796" width="21.77734375" style="75" customWidth="1"/>
    <col min="1797" max="1797" width="18.77734375" style="75" customWidth="1"/>
    <col min="1798" max="1798" width="21.44140625" style="75" customWidth="1"/>
    <col min="1799" max="1799" width="26.5546875" style="75" customWidth="1"/>
    <col min="1800" max="2048" width="9.21875" style="75"/>
    <col min="2049" max="2049" width="0" style="75" hidden="1" customWidth="1"/>
    <col min="2050" max="2050" width="27.5546875" style="75" bestFit="1" customWidth="1"/>
    <col min="2051" max="2051" width="20.21875" style="75" customWidth="1"/>
    <col min="2052" max="2052" width="21.77734375" style="75" customWidth="1"/>
    <col min="2053" max="2053" width="18.77734375" style="75" customWidth="1"/>
    <col min="2054" max="2054" width="21.44140625" style="75" customWidth="1"/>
    <col min="2055" max="2055" width="26.5546875" style="75" customWidth="1"/>
    <col min="2056" max="2304" width="9.21875" style="75"/>
    <col min="2305" max="2305" width="0" style="75" hidden="1" customWidth="1"/>
    <col min="2306" max="2306" width="27.5546875" style="75" bestFit="1" customWidth="1"/>
    <col min="2307" max="2307" width="20.21875" style="75" customWidth="1"/>
    <col min="2308" max="2308" width="21.77734375" style="75" customWidth="1"/>
    <col min="2309" max="2309" width="18.77734375" style="75" customWidth="1"/>
    <col min="2310" max="2310" width="21.44140625" style="75" customWidth="1"/>
    <col min="2311" max="2311" width="26.5546875" style="75" customWidth="1"/>
    <col min="2312" max="2560" width="9.21875" style="75"/>
    <col min="2561" max="2561" width="0" style="75" hidden="1" customWidth="1"/>
    <col min="2562" max="2562" width="27.5546875" style="75" bestFit="1" customWidth="1"/>
    <col min="2563" max="2563" width="20.21875" style="75" customWidth="1"/>
    <col min="2564" max="2564" width="21.77734375" style="75" customWidth="1"/>
    <col min="2565" max="2565" width="18.77734375" style="75" customWidth="1"/>
    <col min="2566" max="2566" width="21.44140625" style="75" customWidth="1"/>
    <col min="2567" max="2567" width="26.5546875" style="75" customWidth="1"/>
    <col min="2568" max="2816" width="9.21875" style="75"/>
    <col min="2817" max="2817" width="0" style="75" hidden="1" customWidth="1"/>
    <col min="2818" max="2818" width="27.5546875" style="75" bestFit="1" customWidth="1"/>
    <col min="2819" max="2819" width="20.21875" style="75" customWidth="1"/>
    <col min="2820" max="2820" width="21.77734375" style="75" customWidth="1"/>
    <col min="2821" max="2821" width="18.77734375" style="75" customWidth="1"/>
    <col min="2822" max="2822" width="21.44140625" style="75" customWidth="1"/>
    <col min="2823" max="2823" width="26.5546875" style="75" customWidth="1"/>
    <col min="2824" max="3072" width="9.21875" style="75"/>
    <col min="3073" max="3073" width="0" style="75" hidden="1" customWidth="1"/>
    <col min="3074" max="3074" width="27.5546875" style="75" bestFit="1" customWidth="1"/>
    <col min="3075" max="3075" width="20.21875" style="75" customWidth="1"/>
    <col min="3076" max="3076" width="21.77734375" style="75" customWidth="1"/>
    <col min="3077" max="3077" width="18.77734375" style="75" customWidth="1"/>
    <col min="3078" max="3078" width="21.44140625" style="75" customWidth="1"/>
    <col min="3079" max="3079" width="26.5546875" style="75" customWidth="1"/>
    <col min="3080" max="3328" width="9.21875" style="75"/>
    <col min="3329" max="3329" width="0" style="75" hidden="1" customWidth="1"/>
    <col min="3330" max="3330" width="27.5546875" style="75" bestFit="1" customWidth="1"/>
    <col min="3331" max="3331" width="20.21875" style="75" customWidth="1"/>
    <col min="3332" max="3332" width="21.77734375" style="75" customWidth="1"/>
    <col min="3333" max="3333" width="18.77734375" style="75" customWidth="1"/>
    <col min="3334" max="3334" width="21.44140625" style="75" customWidth="1"/>
    <col min="3335" max="3335" width="26.5546875" style="75" customWidth="1"/>
    <col min="3336" max="3584" width="9.21875" style="75"/>
    <col min="3585" max="3585" width="0" style="75" hidden="1" customWidth="1"/>
    <col min="3586" max="3586" width="27.5546875" style="75" bestFit="1" customWidth="1"/>
    <col min="3587" max="3587" width="20.21875" style="75" customWidth="1"/>
    <col min="3588" max="3588" width="21.77734375" style="75" customWidth="1"/>
    <col min="3589" max="3589" width="18.77734375" style="75" customWidth="1"/>
    <col min="3590" max="3590" width="21.44140625" style="75" customWidth="1"/>
    <col min="3591" max="3591" width="26.5546875" style="75" customWidth="1"/>
    <col min="3592" max="3840" width="9.21875" style="75"/>
    <col min="3841" max="3841" width="0" style="75" hidden="1" customWidth="1"/>
    <col min="3842" max="3842" width="27.5546875" style="75" bestFit="1" customWidth="1"/>
    <col min="3843" max="3843" width="20.21875" style="75" customWidth="1"/>
    <col min="3844" max="3844" width="21.77734375" style="75" customWidth="1"/>
    <col min="3845" max="3845" width="18.77734375" style="75" customWidth="1"/>
    <col min="3846" max="3846" width="21.44140625" style="75" customWidth="1"/>
    <col min="3847" max="3847" width="26.5546875" style="75" customWidth="1"/>
    <col min="3848" max="4096" width="9.21875" style="75"/>
    <col min="4097" max="4097" width="0" style="75" hidden="1" customWidth="1"/>
    <col min="4098" max="4098" width="27.5546875" style="75" bestFit="1" customWidth="1"/>
    <col min="4099" max="4099" width="20.21875" style="75" customWidth="1"/>
    <col min="4100" max="4100" width="21.77734375" style="75" customWidth="1"/>
    <col min="4101" max="4101" width="18.77734375" style="75" customWidth="1"/>
    <col min="4102" max="4102" width="21.44140625" style="75" customWidth="1"/>
    <col min="4103" max="4103" width="26.5546875" style="75" customWidth="1"/>
    <col min="4104" max="4352" width="9.21875" style="75"/>
    <col min="4353" max="4353" width="0" style="75" hidden="1" customWidth="1"/>
    <col min="4354" max="4354" width="27.5546875" style="75" bestFit="1" customWidth="1"/>
    <col min="4355" max="4355" width="20.21875" style="75" customWidth="1"/>
    <col min="4356" max="4356" width="21.77734375" style="75" customWidth="1"/>
    <col min="4357" max="4357" width="18.77734375" style="75" customWidth="1"/>
    <col min="4358" max="4358" width="21.44140625" style="75" customWidth="1"/>
    <col min="4359" max="4359" width="26.5546875" style="75" customWidth="1"/>
    <col min="4360" max="4608" width="9.21875" style="75"/>
    <col min="4609" max="4609" width="0" style="75" hidden="1" customWidth="1"/>
    <col min="4610" max="4610" width="27.5546875" style="75" bestFit="1" customWidth="1"/>
    <col min="4611" max="4611" width="20.21875" style="75" customWidth="1"/>
    <col min="4612" max="4612" width="21.77734375" style="75" customWidth="1"/>
    <col min="4613" max="4613" width="18.77734375" style="75" customWidth="1"/>
    <col min="4614" max="4614" width="21.44140625" style="75" customWidth="1"/>
    <col min="4615" max="4615" width="26.5546875" style="75" customWidth="1"/>
    <col min="4616" max="4864" width="9.21875" style="75"/>
    <col min="4865" max="4865" width="0" style="75" hidden="1" customWidth="1"/>
    <col min="4866" max="4866" width="27.5546875" style="75" bestFit="1" customWidth="1"/>
    <col min="4867" max="4867" width="20.21875" style="75" customWidth="1"/>
    <col min="4868" max="4868" width="21.77734375" style="75" customWidth="1"/>
    <col min="4869" max="4869" width="18.77734375" style="75" customWidth="1"/>
    <col min="4870" max="4870" width="21.44140625" style="75" customWidth="1"/>
    <col min="4871" max="4871" width="26.5546875" style="75" customWidth="1"/>
    <col min="4872" max="5120" width="9.21875" style="75"/>
    <col min="5121" max="5121" width="0" style="75" hidden="1" customWidth="1"/>
    <col min="5122" max="5122" width="27.5546875" style="75" bestFit="1" customWidth="1"/>
    <col min="5123" max="5123" width="20.21875" style="75" customWidth="1"/>
    <col min="5124" max="5124" width="21.77734375" style="75" customWidth="1"/>
    <col min="5125" max="5125" width="18.77734375" style="75" customWidth="1"/>
    <col min="5126" max="5126" width="21.44140625" style="75" customWidth="1"/>
    <col min="5127" max="5127" width="26.5546875" style="75" customWidth="1"/>
    <col min="5128" max="5376" width="9.21875" style="75"/>
    <col min="5377" max="5377" width="0" style="75" hidden="1" customWidth="1"/>
    <col min="5378" max="5378" width="27.5546875" style="75" bestFit="1" customWidth="1"/>
    <col min="5379" max="5379" width="20.21875" style="75" customWidth="1"/>
    <col min="5380" max="5380" width="21.77734375" style="75" customWidth="1"/>
    <col min="5381" max="5381" width="18.77734375" style="75" customWidth="1"/>
    <col min="5382" max="5382" width="21.44140625" style="75" customWidth="1"/>
    <col min="5383" max="5383" width="26.5546875" style="75" customWidth="1"/>
    <col min="5384" max="5632" width="9.21875" style="75"/>
    <col min="5633" max="5633" width="0" style="75" hidden="1" customWidth="1"/>
    <col min="5634" max="5634" width="27.5546875" style="75" bestFit="1" customWidth="1"/>
    <col min="5635" max="5635" width="20.21875" style="75" customWidth="1"/>
    <col min="5636" max="5636" width="21.77734375" style="75" customWidth="1"/>
    <col min="5637" max="5637" width="18.77734375" style="75" customWidth="1"/>
    <col min="5638" max="5638" width="21.44140625" style="75" customWidth="1"/>
    <col min="5639" max="5639" width="26.5546875" style="75" customWidth="1"/>
    <col min="5640" max="5888" width="9.21875" style="75"/>
    <col min="5889" max="5889" width="0" style="75" hidden="1" customWidth="1"/>
    <col min="5890" max="5890" width="27.5546875" style="75" bestFit="1" customWidth="1"/>
    <col min="5891" max="5891" width="20.21875" style="75" customWidth="1"/>
    <col min="5892" max="5892" width="21.77734375" style="75" customWidth="1"/>
    <col min="5893" max="5893" width="18.77734375" style="75" customWidth="1"/>
    <col min="5894" max="5894" width="21.44140625" style="75" customWidth="1"/>
    <col min="5895" max="5895" width="26.5546875" style="75" customWidth="1"/>
    <col min="5896" max="6144" width="9.21875" style="75"/>
    <col min="6145" max="6145" width="0" style="75" hidden="1" customWidth="1"/>
    <col min="6146" max="6146" width="27.5546875" style="75" bestFit="1" customWidth="1"/>
    <col min="6147" max="6147" width="20.21875" style="75" customWidth="1"/>
    <col min="6148" max="6148" width="21.77734375" style="75" customWidth="1"/>
    <col min="6149" max="6149" width="18.77734375" style="75" customWidth="1"/>
    <col min="6150" max="6150" width="21.44140625" style="75" customWidth="1"/>
    <col min="6151" max="6151" width="26.5546875" style="75" customWidth="1"/>
    <col min="6152" max="6400" width="9.21875" style="75"/>
    <col min="6401" max="6401" width="0" style="75" hidden="1" customWidth="1"/>
    <col min="6402" max="6402" width="27.5546875" style="75" bestFit="1" customWidth="1"/>
    <col min="6403" max="6403" width="20.21875" style="75" customWidth="1"/>
    <col min="6404" max="6404" width="21.77734375" style="75" customWidth="1"/>
    <col min="6405" max="6405" width="18.77734375" style="75" customWidth="1"/>
    <col min="6406" max="6406" width="21.44140625" style="75" customWidth="1"/>
    <col min="6407" max="6407" width="26.5546875" style="75" customWidth="1"/>
    <col min="6408" max="6656" width="9.21875" style="75"/>
    <col min="6657" max="6657" width="0" style="75" hidden="1" customWidth="1"/>
    <col min="6658" max="6658" width="27.5546875" style="75" bestFit="1" customWidth="1"/>
    <col min="6659" max="6659" width="20.21875" style="75" customWidth="1"/>
    <col min="6660" max="6660" width="21.77734375" style="75" customWidth="1"/>
    <col min="6661" max="6661" width="18.77734375" style="75" customWidth="1"/>
    <col min="6662" max="6662" width="21.44140625" style="75" customWidth="1"/>
    <col min="6663" max="6663" width="26.5546875" style="75" customWidth="1"/>
    <col min="6664" max="6912" width="9.21875" style="75"/>
    <col min="6913" max="6913" width="0" style="75" hidden="1" customWidth="1"/>
    <col min="6914" max="6914" width="27.5546875" style="75" bestFit="1" customWidth="1"/>
    <col min="6915" max="6915" width="20.21875" style="75" customWidth="1"/>
    <col min="6916" max="6916" width="21.77734375" style="75" customWidth="1"/>
    <col min="6917" max="6917" width="18.77734375" style="75" customWidth="1"/>
    <col min="6918" max="6918" width="21.44140625" style="75" customWidth="1"/>
    <col min="6919" max="6919" width="26.5546875" style="75" customWidth="1"/>
    <col min="6920" max="7168" width="9.21875" style="75"/>
    <col min="7169" max="7169" width="0" style="75" hidden="1" customWidth="1"/>
    <col min="7170" max="7170" width="27.5546875" style="75" bestFit="1" customWidth="1"/>
    <col min="7171" max="7171" width="20.21875" style="75" customWidth="1"/>
    <col min="7172" max="7172" width="21.77734375" style="75" customWidth="1"/>
    <col min="7173" max="7173" width="18.77734375" style="75" customWidth="1"/>
    <col min="7174" max="7174" width="21.44140625" style="75" customWidth="1"/>
    <col min="7175" max="7175" width="26.5546875" style="75" customWidth="1"/>
    <col min="7176" max="7424" width="9.21875" style="75"/>
    <col min="7425" max="7425" width="0" style="75" hidden="1" customWidth="1"/>
    <col min="7426" max="7426" width="27.5546875" style="75" bestFit="1" customWidth="1"/>
    <col min="7427" max="7427" width="20.21875" style="75" customWidth="1"/>
    <col min="7428" max="7428" width="21.77734375" style="75" customWidth="1"/>
    <col min="7429" max="7429" width="18.77734375" style="75" customWidth="1"/>
    <col min="7430" max="7430" width="21.44140625" style="75" customWidth="1"/>
    <col min="7431" max="7431" width="26.5546875" style="75" customWidth="1"/>
    <col min="7432" max="7680" width="9.21875" style="75"/>
    <col min="7681" max="7681" width="0" style="75" hidden="1" customWidth="1"/>
    <col min="7682" max="7682" width="27.5546875" style="75" bestFit="1" customWidth="1"/>
    <col min="7683" max="7683" width="20.21875" style="75" customWidth="1"/>
    <col min="7684" max="7684" width="21.77734375" style="75" customWidth="1"/>
    <col min="7685" max="7685" width="18.77734375" style="75" customWidth="1"/>
    <col min="7686" max="7686" width="21.44140625" style="75" customWidth="1"/>
    <col min="7687" max="7687" width="26.5546875" style="75" customWidth="1"/>
    <col min="7688" max="7936" width="9.21875" style="75"/>
    <col min="7937" max="7937" width="0" style="75" hidden="1" customWidth="1"/>
    <col min="7938" max="7938" width="27.5546875" style="75" bestFit="1" customWidth="1"/>
    <col min="7939" max="7939" width="20.21875" style="75" customWidth="1"/>
    <col min="7940" max="7940" width="21.77734375" style="75" customWidth="1"/>
    <col min="7941" max="7941" width="18.77734375" style="75" customWidth="1"/>
    <col min="7942" max="7942" width="21.44140625" style="75" customWidth="1"/>
    <col min="7943" max="7943" width="26.5546875" style="75" customWidth="1"/>
    <col min="7944" max="8192" width="9.21875" style="75"/>
    <col min="8193" max="8193" width="0" style="75" hidden="1" customWidth="1"/>
    <col min="8194" max="8194" width="27.5546875" style="75" bestFit="1" customWidth="1"/>
    <col min="8195" max="8195" width="20.21875" style="75" customWidth="1"/>
    <col min="8196" max="8196" width="21.77734375" style="75" customWidth="1"/>
    <col min="8197" max="8197" width="18.77734375" style="75" customWidth="1"/>
    <col min="8198" max="8198" width="21.44140625" style="75" customWidth="1"/>
    <col min="8199" max="8199" width="26.5546875" style="75" customWidth="1"/>
    <col min="8200" max="8448" width="9.21875" style="75"/>
    <col min="8449" max="8449" width="0" style="75" hidden="1" customWidth="1"/>
    <col min="8450" max="8450" width="27.5546875" style="75" bestFit="1" customWidth="1"/>
    <col min="8451" max="8451" width="20.21875" style="75" customWidth="1"/>
    <col min="8452" max="8452" width="21.77734375" style="75" customWidth="1"/>
    <col min="8453" max="8453" width="18.77734375" style="75" customWidth="1"/>
    <col min="8454" max="8454" width="21.44140625" style="75" customWidth="1"/>
    <col min="8455" max="8455" width="26.5546875" style="75" customWidth="1"/>
    <col min="8456" max="8704" width="9.21875" style="75"/>
    <col min="8705" max="8705" width="0" style="75" hidden="1" customWidth="1"/>
    <col min="8706" max="8706" width="27.5546875" style="75" bestFit="1" customWidth="1"/>
    <col min="8707" max="8707" width="20.21875" style="75" customWidth="1"/>
    <col min="8708" max="8708" width="21.77734375" style="75" customWidth="1"/>
    <col min="8709" max="8709" width="18.77734375" style="75" customWidth="1"/>
    <col min="8710" max="8710" width="21.44140625" style="75" customWidth="1"/>
    <col min="8711" max="8711" width="26.5546875" style="75" customWidth="1"/>
    <col min="8712" max="8960" width="9.21875" style="75"/>
    <col min="8961" max="8961" width="0" style="75" hidden="1" customWidth="1"/>
    <col min="8962" max="8962" width="27.5546875" style="75" bestFit="1" customWidth="1"/>
    <col min="8963" max="8963" width="20.21875" style="75" customWidth="1"/>
    <col min="8964" max="8964" width="21.77734375" style="75" customWidth="1"/>
    <col min="8965" max="8965" width="18.77734375" style="75" customWidth="1"/>
    <col min="8966" max="8966" width="21.44140625" style="75" customWidth="1"/>
    <col min="8967" max="8967" width="26.5546875" style="75" customWidth="1"/>
    <col min="8968" max="9216" width="9.21875" style="75"/>
    <col min="9217" max="9217" width="0" style="75" hidden="1" customWidth="1"/>
    <col min="9218" max="9218" width="27.5546875" style="75" bestFit="1" customWidth="1"/>
    <col min="9219" max="9219" width="20.21875" style="75" customWidth="1"/>
    <col min="9220" max="9220" width="21.77734375" style="75" customWidth="1"/>
    <col min="9221" max="9221" width="18.77734375" style="75" customWidth="1"/>
    <col min="9222" max="9222" width="21.44140625" style="75" customWidth="1"/>
    <col min="9223" max="9223" width="26.5546875" style="75" customWidth="1"/>
    <col min="9224" max="9472" width="9.21875" style="75"/>
    <col min="9473" max="9473" width="0" style="75" hidden="1" customWidth="1"/>
    <col min="9474" max="9474" width="27.5546875" style="75" bestFit="1" customWidth="1"/>
    <col min="9475" max="9475" width="20.21875" style="75" customWidth="1"/>
    <col min="9476" max="9476" width="21.77734375" style="75" customWidth="1"/>
    <col min="9477" max="9477" width="18.77734375" style="75" customWidth="1"/>
    <col min="9478" max="9478" width="21.44140625" style="75" customWidth="1"/>
    <col min="9479" max="9479" width="26.5546875" style="75" customWidth="1"/>
    <col min="9480" max="9728" width="9.21875" style="75"/>
    <col min="9729" max="9729" width="0" style="75" hidden="1" customWidth="1"/>
    <col min="9730" max="9730" width="27.5546875" style="75" bestFit="1" customWidth="1"/>
    <col min="9731" max="9731" width="20.21875" style="75" customWidth="1"/>
    <col min="9732" max="9732" width="21.77734375" style="75" customWidth="1"/>
    <col min="9733" max="9733" width="18.77734375" style="75" customWidth="1"/>
    <col min="9734" max="9734" width="21.44140625" style="75" customWidth="1"/>
    <col min="9735" max="9735" width="26.5546875" style="75" customWidth="1"/>
    <col min="9736" max="9984" width="9.21875" style="75"/>
    <col min="9985" max="9985" width="0" style="75" hidden="1" customWidth="1"/>
    <col min="9986" max="9986" width="27.5546875" style="75" bestFit="1" customWidth="1"/>
    <col min="9987" max="9987" width="20.21875" style="75" customWidth="1"/>
    <col min="9988" max="9988" width="21.77734375" style="75" customWidth="1"/>
    <col min="9989" max="9989" width="18.77734375" style="75" customWidth="1"/>
    <col min="9990" max="9990" width="21.44140625" style="75" customWidth="1"/>
    <col min="9991" max="9991" width="26.5546875" style="75" customWidth="1"/>
    <col min="9992" max="10240" width="9.21875" style="75"/>
    <col min="10241" max="10241" width="0" style="75" hidden="1" customWidth="1"/>
    <col min="10242" max="10242" width="27.5546875" style="75" bestFit="1" customWidth="1"/>
    <col min="10243" max="10243" width="20.21875" style="75" customWidth="1"/>
    <col min="10244" max="10244" width="21.77734375" style="75" customWidth="1"/>
    <col min="10245" max="10245" width="18.77734375" style="75" customWidth="1"/>
    <col min="10246" max="10246" width="21.44140625" style="75" customWidth="1"/>
    <col min="10247" max="10247" width="26.5546875" style="75" customWidth="1"/>
    <col min="10248" max="10496" width="9.21875" style="75"/>
    <col min="10497" max="10497" width="0" style="75" hidden="1" customWidth="1"/>
    <col min="10498" max="10498" width="27.5546875" style="75" bestFit="1" customWidth="1"/>
    <col min="10499" max="10499" width="20.21875" style="75" customWidth="1"/>
    <col min="10500" max="10500" width="21.77734375" style="75" customWidth="1"/>
    <col min="10501" max="10501" width="18.77734375" style="75" customWidth="1"/>
    <col min="10502" max="10502" width="21.44140625" style="75" customWidth="1"/>
    <col min="10503" max="10503" width="26.5546875" style="75" customWidth="1"/>
    <col min="10504" max="10752" width="9.21875" style="75"/>
    <col min="10753" max="10753" width="0" style="75" hidden="1" customWidth="1"/>
    <col min="10754" max="10754" width="27.5546875" style="75" bestFit="1" customWidth="1"/>
    <col min="10755" max="10755" width="20.21875" style="75" customWidth="1"/>
    <col min="10756" max="10756" width="21.77734375" style="75" customWidth="1"/>
    <col min="10757" max="10757" width="18.77734375" style="75" customWidth="1"/>
    <col min="10758" max="10758" width="21.44140625" style="75" customWidth="1"/>
    <col min="10759" max="10759" width="26.5546875" style="75" customWidth="1"/>
    <col min="10760" max="11008" width="9.21875" style="75"/>
    <col min="11009" max="11009" width="0" style="75" hidden="1" customWidth="1"/>
    <col min="11010" max="11010" width="27.5546875" style="75" bestFit="1" customWidth="1"/>
    <col min="11011" max="11011" width="20.21875" style="75" customWidth="1"/>
    <col min="11012" max="11012" width="21.77734375" style="75" customWidth="1"/>
    <col min="11013" max="11013" width="18.77734375" style="75" customWidth="1"/>
    <col min="11014" max="11014" width="21.44140625" style="75" customWidth="1"/>
    <col min="11015" max="11015" width="26.5546875" style="75" customWidth="1"/>
    <col min="11016" max="11264" width="9.21875" style="75"/>
    <col min="11265" max="11265" width="0" style="75" hidden="1" customWidth="1"/>
    <col min="11266" max="11266" width="27.5546875" style="75" bestFit="1" customWidth="1"/>
    <col min="11267" max="11267" width="20.21875" style="75" customWidth="1"/>
    <col min="11268" max="11268" width="21.77734375" style="75" customWidth="1"/>
    <col min="11269" max="11269" width="18.77734375" style="75" customWidth="1"/>
    <col min="11270" max="11270" width="21.44140625" style="75" customWidth="1"/>
    <col min="11271" max="11271" width="26.5546875" style="75" customWidth="1"/>
    <col min="11272" max="11520" width="9.21875" style="75"/>
    <col min="11521" max="11521" width="0" style="75" hidden="1" customWidth="1"/>
    <col min="11522" max="11522" width="27.5546875" style="75" bestFit="1" customWidth="1"/>
    <col min="11523" max="11523" width="20.21875" style="75" customWidth="1"/>
    <col min="11524" max="11524" width="21.77734375" style="75" customWidth="1"/>
    <col min="11525" max="11525" width="18.77734375" style="75" customWidth="1"/>
    <col min="11526" max="11526" width="21.44140625" style="75" customWidth="1"/>
    <col min="11527" max="11527" width="26.5546875" style="75" customWidth="1"/>
    <col min="11528" max="11776" width="9.21875" style="75"/>
    <col min="11777" max="11777" width="0" style="75" hidden="1" customWidth="1"/>
    <col min="11778" max="11778" width="27.5546875" style="75" bestFit="1" customWidth="1"/>
    <col min="11779" max="11779" width="20.21875" style="75" customWidth="1"/>
    <col min="11780" max="11780" width="21.77734375" style="75" customWidth="1"/>
    <col min="11781" max="11781" width="18.77734375" style="75" customWidth="1"/>
    <col min="11782" max="11782" width="21.44140625" style="75" customWidth="1"/>
    <col min="11783" max="11783" width="26.5546875" style="75" customWidth="1"/>
    <col min="11784" max="12032" width="9.21875" style="75"/>
    <col min="12033" max="12033" width="0" style="75" hidden="1" customWidth="1"/>
    <col min="12034" max="12034" width="27.5546875" style="75" bestFit="1" customWidth="1"/>
    <col min="12035" max="12035" width="20.21875" style="75" customWidth="1"/>
    <col min="12036" max="12036" width="21.77734375" style="75" customWidth="1"/>
    <col min="12037" max="12037" width="18.77734375" style="75" customWidth="1"/>
    <col min="12038" max="12038" width="21.44140625" style="75" customWidth="1"/>
    <col min="12039" max="12039" width="26.5546875" style="75" customWidth="1"/>
    <col min="12040" max="12288" width="9.21875" style="75"/>
    <col min="12289" max="12289" width="0" style="75" hidden="1" customWidth="1"/>
    <col min="12290" max="12290" width="27.5546875" style="75" bestFit="1" customWidth="1"/>
    <col min="12291" max="12291" width="20.21875" style="75" customWidth="1"/>
    <col min="12292" max="12292" width="21.77734375" style="75" customWidth="1"/>
    <col min="12293" max="12293" width="18.77734375" style="75" customWidth="1"/>
    <col min="12294" max="12294" width="21.44140625" style="75" customWidth="1"/>
    <col min="12295" max="12295" width="26.5546875" style="75" customWidth="1"/>
    <col min="12296" max="12544" width="9.21875" style="75"/>
    <col min="12545" max="12545" width="0" style="75" hidden="1" customWidth="1"/>
    <col min="12546" max="12546" width="27.5546875" style="75" bestFit="1" customWidth="1"/>
    <col min="12547" max="12547" width="20.21875" style="75" customWidth="1"/>
    <col min="12548" max="12548" width="21.77734375" style="75" customWidth="1"/>
    <col min="12549" max="12549" width="18.77734375" style="75" customWidth="1"/>
    <col min="12550" max="12550" width="21.44140625" style="75" customWidth="1"/>
    <col min="12551" max="12551" width="26.5546875" style="75" customWidth="1"/>
    <col min="12552" max="12800" width="9.21875" style="75"/>
    <col min="12801" max="12801" width="0" style="75" hidden="1" customWidth="1"/>
    <col min="12802" max="12802" width="27.5546875" style="75" bestFit="1" customWidth="1"/>
    <col min="12803" max="12803" width="20.21875" style="75" customWidth="1"/>
    <col min="12804" max="12804" width="21.77734375" style="75" customWidth="1"/>
    <col min="12805" max="12805" width="18.77734375" style="75" customWidth="1"/>
    <col min="12806" max="12806" width="21.44140625" style="75" customWidth="1"/>
    <col min="12807" max="12807" width="26.5546875" style="75" customWidth="1"/>
    <col min="12808" max="13056" width="9.21875" style="75"/>
    <col min="13057" max="13057" width="0" style="75" hidden="1" customWidth="1"/>
    <col min="13058" max="13058" width="27.5546875" style="75" bestFit="1" customWidth="1"/>
    <col min="13059" max="13059" width="20.21875" style="75" customWidth="1"/>
    <col min="13060" max="13060" width="21.77734375" style="75" customWidth="1"/>
    <col min="13061" max="13061" width="18.77734375" style="75" customWidth="1"/>
    <col min="13062" max="13062" width="21.44140625" style="75" customWidth="1"/>
    <col min="13063" max="13063" width="26.5546875" style="75" customWidth="1"/>
    <col min="13064" max="13312" width="9.21875" style="75"/>
    <col min="13313" max="13313" width="0" style="75" hidden="1" customWidth="1"/>
    <col min="13314" max="13314" width="27.5546875" style="75" bestFit="1" customWidth="1"/>
    <col min="13315" max="13315" width="20.21875" style="75" customWidth="1"/>
    <col min="13316" max="13316" width="21.77734375" style="75" customWidth="1"/>
    <col min="13317" max="13317" width="18.77734375" style="75" customWidth="1"/>
    <col min="13318" max="13318" width="21.44140625" style="75" customWidth="1"/>
    <col min="13319" max="13319" width="26.5546875" style="75" customWidth="1"/>
    <col min="13320" max="13568" width="9.21875" style="75"/>
    <col min="13569" max="13569" width="0" style="75" hidden="1" customWidth="1"/>
    <col min="13570" max="13570" width="27.5546875" style="75" bestFit="1" customWidth="1"/>
    <col min="13571" max="13571" width="20.21875" style="75" customWidth="1"/>
    <col min="13572" max="13572" width="21.77734375" style="75" customWidth="1"/>
    <col min="13573" max="13573" width="18.77734375" style="75" customWidth="1"/>
    <col min="13574" max="13574" width="21.44140625" style="75" customWidth="1"/>
    <col min="13575" max="13575" width="26.5546875" style="75" customWidth="1"/>
    <col min="13576" max="13824" width="9.21875" style="75"/>
    <col min="13825" max="13825" width="0" style="75" hidden="1" customWidth="1"/>
    <col min="13826" max="13826" width="27.5546875" style="75" bestFit="1" customWidth="1"/>
    <col min="13827" max="13827" width="20.21875" style="75" customWidth="1"/>
    <col min="13828" max="13828" width="21.77734375" style="75" customWidth="1"/>
    <col min="13829" max="13829" width="18.77734375" style="75" customWidth="1"/>
    <col min="13830" max="13830" width="21.44140625" style="75" customWidth="1"/>
    <col min="13831" max="13831" width="26.5546875" style="75" customWidth="1"/>
    <col min="13832" max="14080" width="9.21875" style="75"/>
    <col min="14081" max="14081" width="0" style="75" hidden="1" customWidth="1"/>
    <col min="14082" max="14082" width="27.5546875" style="75" bestFit="1" customWidth="1"/>
    <col min="14083" max="14083" width="20.21875" style="75" customWidth="1"/>
    <col min="14084" max="14084" width="21.77734375" style="75" customWidth="1"/>
    <col min="14085" max="14085" width="18.77734375" style="75" customWidth="1"/>
    <col min="14086" max="14086" width="21.44140625" style="75" customWidth="1"/>
    <col min="14087" max="14087" width="26.5546875" style="75" customWidth="1"/>
    <col min="14088" max="14336" width="9.21875" style="75"/>
    <col min="14337" max="14337" width="0" style="75" hidden="1" customWidth="1"/>
    <col min="14338" max="14338" width="27.5546875" style="75" bestFit="1" customWidth="1"/>
    <col min="14339" max="14339" width="20.21875" style="75" customWidth="1"/>
    <col min="14340" max="14340" width="21.77734375" style="75" customWidth="1"/>
    <col min="14341" max="14341" width="18.77734375" style="75" customWidth="1"/>
    <col min="14342" max="14342" width="21.44140625" style="75" customWidth="1"/>
    <col min="14343" max="14343" width="26.5546875" style="75" customWidth="1"/>
    <col min="14344" max="14592" width="9.21875" style="75"/>
    <col min="14593" max="14593" width="0" style="75" hidden="1" customWidth="1"/>
    <col min="14594" max="14594" width="27.5546875" style="75" bestFit="1" customWidth="1"/>
    <col min="14595" max="14595" width="20.21875" style="75" customWidth="1"/>
    <col min="14596" max="14596" width="21.77734375" style="75" customWidth="1"/>
    <col min="14597" max="14597" width="18.77734375" style="75" customWidth="1"/>
    <col min="14598" max="14598" width="21.44140625" style="75" customWidth="1"/>
    <col min="14599" max="14599" width="26.5546875" style="75" customWidth="1"/>
    <col min="14600" max="14848" width="9.21875" style="75"/>
    <col min="14849" max="14849" width="0" style="75" hidden="1" customWidth="1"/>
    <col min="14850" max="14850" width="27.5546875" style="75" bestFit="1" customWidth="1"/>
    <col min="14851" max="14851" width="20.21875" style="75" customWidth="1"/>
    <col min="14852" max="14852" width="21.77734375" style="75" customWidth="1"/>
    <col min="14853" max="14853" width="18.77734375" style="75" customWidth="1"/>
    <col min="14854" max="14854" width="21.44140625" style="75" customWidth="1"/>
    <col min="14855" max="14855" width="26.5546875" style="75" customWidth="1"/>
    <col min="14856" max="15104" width="9.21875" style="75"/>
    <col min="15105" max="15105" width="0" style="75" hidden="1" customWidth="1"/>
    <col min="15106" max="15106" width="27.5546875" style="75" bestFit="1" customWidth="1"/>
    <col min="15107" max="15107" width="20.21875" style="75" customWidth="1"/>
    <col min="15108" max="15108" width="21.77734375" style="75" customWidth="1"/>
    <col min="15109" max="15109" width="18.77734375" style="75" customWidth="1"/>
    <col min="15110" max="15110" width="21.44140625" style="75" customWidth="1"/>
    <col min="15111" max="15111" width="26.5546875" style="75" customWidth="1"/>
    <col min="15112" max="15360" width="9.21875" style="75"/>
    <col min="15361" max="15361" width="0" style="75" hidden="1" customWidth="1"/>
    <col min="15362" max="15362" width="27.5546875" style="75" bestFit="1" customWidth="1"/>
    <col min="15363" max="15363" width="20.21875" style="75" customWidth="1"/>
    <col min="15364" max="15364" width="21.77734375" style="75" customWidth="1"/>
    <col min="15365" max="15365" width="18.77734375" style="75" customWidth="1"/>
    <col min="15366" max="15366" width="21.44140625" style="75" customWidth="1"/>
    <col min="15367" max="15367" width="26.5546875" style="75" customWidth="1"/>
    <col min="15368" max="15616" width="9.21875" style="75"/>
    <col min="15617" max="15617" width="0" style="75" hidden="1" customWidth="1"/>
    <col min="15618" max="15618" width="27.5546875" style="75" bestFit="1" customWidth="1"/>
    <col min="15619" max="15619" width="20.21875" style="75" customWidth="1"/>
    <col min="15620" max="15620" width="21.77734375" style="75" customWidth="1"/>
    <col min="15621" max="15621" width="18.77734375" style="75" customWidth="1"/>
    <col min="15622" max="15622" width="21.44140625" style="75" customWidth="1"/>
    <col min="15623" max="15623" width="26.5546875" style="75" customWidth="1"/>
    <col min="15624" max="15872" width="9.21875" style="75"/>
    <col min="15873" max="15873" width="0" style="75" hidden="1" customWidth="1"/>
    <col min="15874" max="15874" width="27.5546875" style="75" bestFit="1" customWidth="1"/>
    <col min="15875" max="15875" width="20.21875" style="75" customWidth="1"/>
    <col min="15876" max="15876" width="21.77734375" style="75" customWidth="1"/>
    <col min="15877" max="15877" width="18.77734375" style="75" customWidth="1"/>
    <col min="15878" max="15878" width="21.44140625" style="75" customWidth="1"/>
    <col min="15879" max="15879" width="26.5546875" style="75" customWidth="1"/>
    <col min="15880" max="16128" width="9.21875" style="75"/>
    <col min="16129" max="16129" width="0" style="75" hidden="1" customWidth="1"/>
    <col min="16130" max="16130" width="27.5546875" style="75" bestFit="1" customWidth="1"/>
    <col min="16131" max="16131" width="20.21875" style="75" customWidth="1"/>
    <col min="16132" max="16132" width="21.77734375" style="75" customWidth="1"/>
    <col min="16133" max="16133" width="18.77734375" style="75" customWidth="1"/>
    <col min="16134" max="16134" width="21.44140625" style="75" customWidth="1"/>
    <col min="16135" max="16135" width="26.5546875" style="75" customWidth="1"/>
    <col min="16136" max="16384" width="9.21875" style="75"/>
  </cols>
  <sheetData>
    <row r="1" spans="1:13" s="54" customFormat="1" ht="41.25" customHeight="1" x14ac:dyDescent="0.3">
      <c r="B1" s="179" t="s">
        <v>80</v>
      </c>
      <c r="C1" s="177"/>
      <c r="D1" s="177"/>
      <c r="E1" s="177"/>
      <c r="F1" s="177"/>
      <c r="G1" s="180"/>
    </row>
    <row r="2" spans="1:13" s="55" customFormat="1" ht="28.5" customHeight="1" x14ac:dyDescent="0.3">
      <c r="C2" s="56" t="s">
        <v>1</v>
      </c>
      <c r="D2" s="56" t="s">
        <v>59</v>
      </c>
      <c r="E2" s="56" t="s">
        <v>60</v>
      </c>
      <c r="F2" s="56" t="s">
        <v>61</v>
      </c>
      <c r="G2" s="83" t="s">
        <v>5</v>
      </c>
    </row>
    <row r="3" spans="1:13" s="55" customFormat="1" ht="28.5" customHeight="1" x14ac:dyDescent="0.3">
      <c r="B3" s="59" t="s">
        <v>0</v>
      </c>
      <c r="C3" s="60">
        <v>1463</v>
      </c>
      <c r="D3" s="60">
        <v>1569</v>
      </c>
      <c r="E3" s="60">
        <v>167</v>
      </c>
      <c r="F3" s="60">
        <v>1029</v>
      </c>
      <c r="G3" s="60">
        <v>4228</v>
      </c>
      <c r="I3" s="84"/>
      <c r="J3" s="84"/>
      <c r="K3" s="84"/>
      <c r="L3" s="84"/>
      <c r="M3" s="84"/>
    </row>
    <row r="4" spans="1:13" s="59" customFormat="1" ht="25.5" customHeight="1" x14ac:dyDescent="0.3">
      <c r="A4" s="61"/>
      <c r="B4" s="59" t="s">
        <v>62</v>
      </c>
      <c r="C4" s="62">
        <v>753</v>
      </c>
      <c r="D4" s="62">
        <v>1510</v>
      </c>
      <c r="E4" s="62">
        <v>141</v>
      </c>
      <c r="F4" s="62">
        <v>735</v>
      </c>
      <c r="G4" s="60">
        <v>3139</v>
      </c>
      <c r="I4" s="84"/>
      <c r="J4" s="84"/>
      <c r="K4" s="84"/>
      <c r="L4" s="84"/>
      <c r="M4" s="84"/>
    </row>
    <row r="5" spans="1:13" s="64" customFormat="1" ht="12.75" customHeight="1" x14ac:dyDescent="0.3">
      <c r="A5" s="63">
        <v>51</v>
      </c>
      <c r="B5" s="64" t="s">
        <v>10</v>
      </c>
      <c r="C5" s="65">
        <v>32</v>
      </c>
      <c r="D5" s="65">
        <v>15</v>
      </c>
      <c r="E5" s="65">
        <v>1</v>
      </c>
      <c r="F5" s="65">
        <v>13</v>
      </c>
      <c r="G5" s="60">
        <v>61</v>
      </c>
      <c r="I5" s="84"/>
      <c r="J5" s="84"/>
      <c r="K5" s="84"/>
      <c r="L5" s="84"/>
      <c r="M5" s="84"/>
    </row>
    <row r="6" spans="1:13" s="64" customFormat="1" ht="12.75" customHeight="1" x14ac:dyDescent="0.3">
      <c r="A6" s="63">
        <v>52</v>
      </c>
      <c r="B6" s="64" t="s">
        <v>11</v>
      </c>
      <c r="C6" s="65">
        <v>18</v>
      </c>
      <c r="D6" s="65">
        <v>20</v>
      </c>
      <c r="E6" s="65">
        <v>0</v>
      </c>
      <c r="F6" s="65">
        <v>13</v>
      </c>
      <c r="G6" s="60">
        <v>51</v>
      </c>
      <c r="I6" s="84"/>
      <c r="J6" s="84"/>
      <c r="K6" s="84"/>
      <c r="L6" s="84"/>
      <c r="M6" s="84"/>
    </row>
    <row r="7" spans="1:13" s="64" customFormat="1" ht="12.75" customHeight="1" x14ac:dyDescent="0.3">
      <c r="A7" s="63">
        <v>86</v>
      </c>
      <c r="B7" s="64" t="s">
        <v>12</v>
      </c>
      <c r="C7" s="65">
        <v>23</v>
      </c>
      <c r="D7" s="65">
        <v>17</v>
      </c>
      <c r="E7" s="65">
        <v>2</v>
      </c>
      <c r="F7" s="65">
        <v>12</v>
      </c>
      <c r="G7" s="60">
        <v>54</v>
      </c>
      <c r="I7" s="84"/>
      <c r="J7" s="84"/>
      <c r="K7" s="84"/>
      <c r="L7" s="84"/>
      <c r="M7" s="84"/>
    </row>
    <row r="8" spans="1:13" s="64" customFormat="1" ht="13.8" x14ac:dyDescent="0.3">
      <c r="A8" s="63">
        <v>53</v>
      </c>
      <c r="B8" s="64" t="s">
        <v>13</v>
      </c>
      <c r="C8" s="65">
        <v>19</v>
      </c>
      <c r="D8" s="65">
        <v>47</v>
      </c>
      <c r="E8" s="65">
        <v>3</v>
      </c>
      <c r="F8" s="65">
        <v>32</v>
      </c>
      <c r="G8" s="60">
        <v>101</v>
      </c>
      <c r="I8" s="84"/>
      <c r="J8" s="84"/>
      <c r="K8" s="84"/>
      <c r="L8" s="84"/>
      <c r="M8" s="84"/>
    </row>
    <row r="9" spans="1:13" s="64" customFormat="1" ht="12.75" customHeight="1" x14ac:dyDescent="0.3">
      <c r="A9" s="63">
        <v>54</v>
      </c>
      <c r="B9" s="64" t="s">
        <v>14</v>
      </c>
      <c r="C9" s="65">
        <v>12</v>
      </c>
      <c r="D9" s="65">
        <v>70</v>
      </c>
      <c r="E9" s="65">
        <v>4</v>
      </c>
      <c r="F9" s="65">
        <v>19</v>
      </c>
      <c r="G9" s="60">
        <v>105</v>
      </c>
      <c r="I9" s="84"/>
      <c r="J9" s="84"/>
      <c r="K9" s="84"/>
      <c r="L9" s="84"/>
      <c r="M9" s="84"/>
    </row>
    <row r="10" spans="1:13" s="64" customFormat="1" ht="12.75" customHeight="1" x14ac:dyDescent="0.3">
      <c r="A10" s="63">
        <v>55</v>
      </c>
      <c r="B10" s="64" t="s">
        <v>15</v>
      </c>
      <c r="C10" s="65">
        <v>23</v>
      </c>
      <c r="D10" s="65">
        <v>39</v>
      </c>
      <c r="E10" s="65">
        <v>2</v>
      </c>
      <c r="F10" s="65">
        <v>40</v>
      </c>
      <c r="G10" s="60">
        <v>104</v>
      </c>
      <c r="I10" s="84"/>
      <c r="J10" s="84"/>
      <c r="K10" s="84"/>
      <c r="L10" s="84"/>
      <c r="M10" s="84"/>
    </row>
    <row r="11" spans="1:13" s="64" customFormat="1" ht="13.5" customHeight="1" x14ac:dyDescent="0.3">
      <c r="A11" s="63">
        <v>56</v>
      </c>
      <c r="B11" s="64" t="s">
        <v>16</v>
      </c>
      <c r="C11" s="65">
        <v>18</v>
      </c>
      <c r="D11" s="65">
        <v>8</v>
      </c>
      <c r="E11" s="65">
        <v>0</v>
      </c>
      <c r="F11" s="65">
        <v>16</v>
      </c>
      <c r="G11" s="60">
        <v>42</v>
      </c>
      <c r="I11" s="84"/>
      <c r="J11" s="84"/>
      <c r="K11" s="84"/>
      <c r="L11" s="84"/>
      <c r="M11" s="84"/>
    </row>
    <row r="12" spans="1:13" s="64" customFormat="1" ht="13.5" customHeight="1" x14ac:dyDescent="0.3">
      <c r="A12" s="63">
        <v>57</v>
      </c>
      <c r="B12" s="64" t="s">
        <v>17</v>
      </c>
      <c r="C12" s="65">
        <v>5</v>
      </c>
      <c r="D12" s="65">
        <v>17</v>
      </c>
      <c r="E12" s="65">
        <v>1</v>
      </c>
      <c r="F12" s="65">
        <v>49</v>
      </c>
      <c r="G12" s="60">
        <v>72</v>
      </c>
      <c r="I12" s="84"/>
      <c r="J12" s="84"/>
      <c r="K12" s="84"/>
      <c r="L12" s="84"/>
      <c r="M12" s="84"/>
    </row>
    <row r="13" spans="1:13" s="64" customFormat="1" ht="12.75" customHeight="1" x14ac:dyDescent="0.3">
      <c r="A13" s="63">
        <v>59</v>
      </c>
      <c r="B13" s="64" t="s">
        <v>18</v>
      </c>
      <c r="C13" s="65">
        <v>14</v>
      </c>
      <c r="D13" s="65">
        <v>48</v>
      </c>
      <c r="E13" s="65">
        <v>0</v>
      </c>
      <c r="F13" s="65">
        <v>9</v>
      </c>
      <c r="G13" s="60">
        <v>71</v>
      </c>
      <c r="I13" s="84"/>
      <c r="J13" s="84"/>
      <c r="K13" s="84"/>
      <c r="L13" s="84"/>
      <c r="M13" s="84"/>
    </row>
    <row r="14" spans="1:13" s="64" customFormat="1" ht="12.75" customHeight="1" x14ac:dyDescent="0.3">
      <c r="A14" s="63">
        <v>60</v>
      </c>
      <c r="B14" s="64" t="s">
        <v>19</v>
      </c>
      <c r="C14" s="65">
        <v>17</v>
      </c>
      <c r="D14" s="65">
        <v>29</v>
      </c>
      <c r="E14" s="65">
        <v>3</v>
      </c>
      <c r="F14" s="65">
        <v>18</v>
      </c>
      <c r="G14" s="60">
        <v>67</v>
      </c>
      <c r="I14" s="84"/>
      <c r="J14" s="84"/>
      <c r="K14" s="84"/>
      <c r="L14" s="84"/>
      <c r="M14" s="84"/>
    </row>
    <row r="15" spans="1:13" s="64" customFormat="1" ht="12.75" customHeight="1" x14ac:dyDescent="0.3">
      <c r="A15" s="63">
        <v>61</v>
      </c>
      <c r="B15" s="66" t="s">
        <v>63</v>
      </c>
      <c r="C15" s="65">
        <v>64</v>
      </c>
      <c r="D15" s="65">
        <v>114</v>
      </c>
      <c r="E15" s="65">
        <v>4</v>
      </c>
      <c r="F15" s="65">
        <v>48</v>
      </c>
      <c r="G15" s="60">
        <v>230</v>
      </c>
      <c r="I15" s="84"/>
      <c r="J15" s="84"/>
      <c r="K15" s="84"/>
      <c r="L15" s="84"/>
      <c r="M15" s="84"/>
    </row>
    <row r="16" spans="1:13" s="64" customFormat="1" ht="12.75" customHeight="1" x14ac:dyDescent="0.3">
      <c r="A16" s="63">
        <v>62</v>
      </c>
      <c r="B16" s="64" t="s">
        <v>105</v>
      </c>
      <c r="C16" s="65">
        <f>C62+C63</f>
        <v>21</v>
      </c>
      <c r="D16" s="65">
        <f t="shared" ref="D16:G16" si="0">D62+D63</f>
        <v>55</v>
      </c>
      <c r="E16" s="65">
        <f t="shared" si="0"/>
        <v>9</v>
      </c>
      <c r="F16" s="65">
        <f t="shared" si="0"/>
        <v>33</v>
      </c>
      <c r="G16" s="65">
        <f t="shared" si="0"/>
        <v>118</v>
      </c>
      <c r="I16" s="84"/>
      <c r="J16" s="84"/>
      <c r="K16" s="84"/>
      <c r="L16" s="84"/>
      <c r="M16" s="84"/>
    </row>
    <row r="17" spans="1:13" s="64" customFormat="1" ht="12.75" customHeight="1" x14ac:dyDescent="0.3">
      <c r="A17" s="63">
        <v>58</v>
      </c>
      <c r="B17" s="64" t="s">
        <v>22</v>
      </c>
      <c r="C17" s="65">
        <v>7</v>
      </c>
      <c r="D17" s="65">
        <v>20</v>
      </c>
      <c r="E17" s="65">
        <v>1</v>
      </c>
      <c r="F17" s="65">
        <v>17</v>
      </c>
      <c r="G17" s="60">
        <v>45</v>
      </c>
      <c r="I17" s="84"/>
      <c r="J17" s="84"/>
      <c r="K17" s="84"/>
      <c r="L17" s="84"/>
      <c r="M17" s="84"/>
    </row>
    <row r="18" spans="1:13" s="64" customFormat="1" ht="12.75" customHeight="1" x14ac:dyDescent="0.3">
      <c r="A18" s="63">
        <v>63</v>
      </c>
      <c r="B18" s="64" t="s">
        <v>23</v>
      </c>
      <c r="C18" s="65">
        <v>11</v>
      </c>
      <c r="D18" s="65">
        <v>27</v>
      </c>
      <c r="E18" s="65">
        <v>11</v>
      </c>
      <c r="F18" s="65">
        <v>19</v>
      </c>
      <c r="G18" s="60">
        <v>68</v>
      </c>
      <c r="I18" s="84"/>
      <c r="J18" s="84"/>
      <c r="K18" s="84"/>
      <c r="L18" s="84"/>
      <c r="M18" s="84"/>
    </row>
    <row r="19" spans="1:13" s="64" customFormat="1" ht="12.75" customHeight="1" x14ac:dyDescent="0.3">
      <c r="A19" s="63">
        <v>64</v>
      </c>
      <c r="B19" s="64" t="s">
        <v>24</v>
      </c>
      <c r="C19" s="65">
        <v>34</v>
      </c>
      <c r="D19" s="65">
        <v>50</v>
      </c>
      <c r="E19" s="65">
        <v>2</v>
      </c>
      <c r="F19" s="65">
        <v>33</v>
      </c>
      <c r="G19" s="60">
        <v>119</v>
      </c>
      <c r="I19" s="84"/>
      <c r="J19" s="84"/>
      <c r="K19" s="84"/>
      <c r="L19" s="84"/>
      <c r="M19" s="84"/>
    </row>
    <row r="20" spans="1:13" s="64" customFormat="1" ht="12.75" customHeight="1" x14ac:dyDescent="0.3">
      <c r="A20" s="63">
        <v>65</v>
      </c>
      <c r="B20" s="64" t="s">
        <v>25</v>
      </c>
      <c r="C20" s="65">
        <v>2</v>
      </c>
      <c r="D20" s="65">
        <v>31</v>
      </c>
      <c r="E20" s="65">
        <v>0</v>
      </c>
      <c r="F20" s="65">
        <v>5</v>
      </c>
      <c r="G20" s="60">
        <v>38</v>
      </c>
      <c r="I20" s="84"/>
      <c r="J20" s="84"/>
      <c r="K20" s="84"/>
      <c r="L20" s="84"/>
      <c r="M20" s="84"/>
    </row>
    <row r="21" spans="1:13" s="64" customFormat="1" ht="12.75" customHeight="1" x14ac:dyDescent="0.3">
      <c r="A21" s="63">
        <v>67</v>
      </c>
      <c r="B21" s="64" t="s">
        <v>28</v>
      </c>
      <c r="C21" s="65">
        <v>48</v>
      </c>
      <c r="D21" s="65">
        <v>102</v>
      </c>
      <c r="E21" s="65">
        <v>2</v>
      </c>
      <c r="F21" s="65">
        <v>65</v>
      </c>
      <c r="G21" s="60">
        <v>217</v>
      </c>
      <c r="I21" s="84"/>
      <c r="J21" s="84"/>
      <c r="K21" s="84"/>
      <c r="L21" s="84"/>
      <c r="M21" s="84"/>
    </row>
    <row r="22" spans="1:13" s="64" customFormat="1" ht="12.75" customHeight="1" x14ac:dyDescent="0.3">
      <c r="A22" s="63">
        <v>68</v>
      </c>
      <c r="B22" s="64" t="s">
        <v>64</v>
      </c>
      <c r="C22" s="65">
        <v>17</v>
      </c>
      <c r="D22" s="65">
        <v>32</v>
      </c>
      <c r="E22" s="65">
        <v>2</v>
      </c>
      <c r="F22" s="65">
        <v>25</v>
      </c>
      <c r="G22" s="60">
        <v>76</v>
      </c>
      <c r="I22" s="84"/>
      <c r="J22" s="84"/>
      <c r="K22" s="84"/>
      <c r="L22" s="84"/>
      <c r="M22" s="84"/>
    </row>
    <row r="23" spans="1:13" s="64" customFormat="1" ht="12.75" customHeight="1" x14ac:dyDescent="0.3">
      <c r="A23" s="63">
        <v>69</v>
      </c>
      <c r="B23" s="64" t="s">
        <v>30</v>
      </c>
      <c r="C23" s="65">
        <v>18</v>
      </c>
      <c r="D23" s="65">
        <v>39</v>
      </c>
      <c r="E23" s="65">
        <v>3</v>
      </c>
      <c r="F23" s="65">
        <v>12</v>
      </c>
      <c r="G23" s="60">
        <v>72</v>
      </c>
      <c r="I23" s="84"/>
      <c r="J23" s="84"/>
      <c r="K23" s="84"/>
      <c r="L23" s="84"/>
      <c r="M23" s="84"/>
    </row>
    <row r="24" spans="1:13" s="64" customFormat="1" ht="12.75" customHeight="1" x14ac:dyDescent="0.3">
      <c r="A24" s="63">
        <v>70</v>
      </c>
      <c r="B24" s="64" t="s">
        <v>31</v>
      </c>
      <c r="C24" s="65">
        <v>15</v>
      </c>
      <c r="D24" s="65">
        <v>37</v>
      </c>
      <c r="E24" s="65">
        <v>1</v>
      </c>
      <c r="F24" s="65">
        <v>16</v>
      </c>
      <c r="G24" s="60">
        <v>69</v>
      </c>
      <c r="I24" s="84"/>
      <c r="J24" s="84"/>
      <c r="K24" s="84"/>
      <c r="L24" s="84"/>
      <c r="M24" s="84"/>
    </row>
    <row r="25" spans="1:13" s="64" customFormat="1" ht="12.75" customHeight="1" x14ac:dyDescent="0.3">
      <c r="A25" s="63">
        <v>71</v>
      </c>
      <c r="B25" s="64" t="s">
        <v>65</v>
      </c>
      <c r="C25" s="65">
        <v>0</v>
      </c>
      <c r="D25" s="65">
        <v>6</v>
      </c>
      <c r="E25" s="65">
        <v>0</v>
      </c>
      <c r="F25" s="65">
        <v>1</v>
      </c>
      <c r="G25" s="60">
        <v>7</v>
      </c>
      <c r="I25" s="84"/>
      <c r="J25" s="84"/>
      <c r="K25" s="84"/>
      <c r="L25" s="84"/>
      <c r="M25" s="84"/>
    </row>
    <row r="26" spans="1:13" s="64" customFormat="1" ht="12.75" customHeight="1" x14ac:dyDescent="0.3">
      <c r="A26" s="63">
        <v>73</v>
      </c>
      <c r="B26" s="64" t="s">
        <v>34</v>
      </c>
      <c r="C26" s="65">
        <v>42</v>
      </c>
      <c r="D26" s="65">
        <v>66</v>
      </c>
      <c r="E26" s="65">
        <v>8</v>
      </c>
      <c r="F26" s="65">
        <v>47</v>
      </c>
      <c r="G26" s="60">
        <v>163</v>
      </c>
      <c r="I26" s="84"/>
      <c r="J26" s="84"/>
      <c r="K26" s="84"/>
      <c r="L26" s="84"/>
      <c r="M26" s="84"/>
    </row>
    <row r="27" spans="1:13" s="64" customFormat="1" ht="12.75" customHeight="1" x14ac:dyDescent="0.3">
      <c r="A27" s="63">
        <v>74</v>
      </c>
      <c r="B27" s="64" t="s">
        <v>35</v>
      </c>
      <c r="C27" s="65">
        <v>61</v>
      </c>
      <c r="D27" s="65">
        <v>47</v>
      </c>
      <c r="E27" s="65">
        <v>2</v>
      </c>
      <c r="F27" s="65">
        <v>47</v>
      </c>
      <c r="G27" s="60">
        <v>157</v>
      </c>
      <c r="I27" s="84"/>
      <c r="J27" s="84"/>
      <c r="K27" s="84"/>
      <c r="L27" s="84"/>
      <c r="M27" s="84"/>
    </row>
    <row r="28" spans="1:13" s="64" customFormat="1" ht="12.75" customHeight="1" x14ac:dyDescent="0.3">
      <c r="A28" s="63">
        <v>75</v>
      </c>
      <c r="B28" s="64" t="s">
        <v>36</v>
      </c>
      <c r="C28" s="65">
        <v>34</v>
      </c>
      <c r="D28" s="65">
        <v>56</v>
      </c>
      <c r="E28" s="65">
        <v>1</v>
      </c>
      <c r="F28" s="65">
        <v>11</v>
      </c>
      <c r="G28" s="60">
        <v>102</v>
      </c>
      <c r="I28" s="84"/>
      <c r="J28" s="84"/>
      <c r="K28" s="84"/>
      <c r="L28" s="84"/>
      <c r="M28" s="84"/>
    </row>
    <row r="29" spans="1:13" s="64" customFormat="1" ht="12.75" customHeight="1" x14ac:dyDescent="0.3">
      <c r="A29" s="63">
        <v>76</v>
      </c>
      <c r="B29" s="64" t="s">
        <v>37</v>
      </c>
      <c r="C29" s="65">
        <v>12</v>
      </c>
      <c r="D29" s="65">
        <v>58</v>
      </c>
      <c r="E29" s="65">
        <v>0</v>
      </c>
      <c r="F29" s="65">
        <v>2</v>
      </c>
      <c r="G29" s="60">
        <v>72</v>
      </c>
      <c r="I29" s="84"/>
      <c r="J29" s="84"/>
      <c r="K29" s="84"/>
      <c r="L29" s="84"/>
      <c r="M29" s="84"/>
    </row>
    <row r="30" spans="1:13" s="64" customFormat="1" ht="12.75" customHeight="1" x14ac:dyDescent="0.3">
      <c r="A30" s="63">
        <v>79</v>
      </c>
      <c r="B30" s="64" t="s">
        <v>39</v>
      </c>
      <c r="C30" s="65">
        <v>9</v>
      </c>
      <c r="D30" s="65">
        <v>42</v>
      </c>
      <c r="E30" s="65">
        <v>0</v>
      </c>
      <c r="F30" s="65">
        <v>6</v>
      </c>
      <c r="G30" s="60">
        <v>57</v>
      </c>
      <c r="I30" s="84"/>
      <c r="J30" s="84"/>
      <c r="K30" s="84"/>
      <c r="L30" s="84"/>
      <c r="M30" s="84"/>
    </row>
    <row r="31" spans="1:13" s="64" customFormat="1" ht="12.75" customHeight="1" x14ac:dyDescent="0.3">
      <c r="A31" s="63"/>
      <c r="B31" s="95" t="s">
        <v>40</v>
      </c>
      <c r="C31" s="96" t="s">
        <v>75</v>
      </c>
      <c r="D31" s="96" t="s">
        <v>75</v>
      </c>
      <c r="E31" s="96" t="s">
        <v>75</v>
      </c>
      <c r="F31" s="96" t="s">
        <v>75</v>
      </c>
      <c r="G31" s="97" t="s">
        <v>75</v>
      </c>
      <c r="I31" s="84"/>
      <c r="J31" s="84"/>
      <c r="K31" s="84"/>
      <c r="L31" s="84"/>
      <c r="M31" s="84"/>
    </row>
    <row r="32" spans="1:13" s="64" customFormat="1" ht="12.75" customHeight="1" x14ac:dyDescent="0.3">
      <c r="A32" s="63">
        <v>80</v>
      </c>
      <c r="B32" s="64" t="s">
        <v>41</v>
      </c>
      <c r="C32" s="65">
        <v>9</v>
      </c>
      <c r="D32" s="65">
        <v>39</v>
      </c>
      <c r="E32" s="65">
        <v>6</v>
      </c>
      <c r="F32" s="65">
        <v>11</v>
      </c>
      <c r="G32" s="60">
        <v>65</v>
      </c>
      <c r="I32" s="84"/>
      <c r="J32" s="84"/>
      <c r="K32" s="84"/>
      <c r="L32" s="84"/>
      <c r="M32" s="84"/>
    </row>
    <row r="33" spans="1:13" s="64" customFormat="1" ht="13.5" customHeight="1" x14ac:dyDescent="0.3">
      <c r="A33" s="63">
        <v>81</v>
      </c>
      <c r="B33" s="64" t="s">
        <v>42</v>
      </c>
      <c r="C33" s="65">
        <v>25</v>
      </c>
      <c r="D33" s="65">
        <v>48</v>
      </c>
      <c r="E33" s="65">
        <v>1</v>
      </c>
      <c r="F33" s="65">
        <v>14</v>
      </c>
      <c r="G33" s="60">
        <v>88</v>
      </c>
      <c r="I33" s="84"/>
      <c r="J33" s="84"/>
      <c r="K33" s="84"/>
      <c r="L33" s="84"/>
      <c r="M33" s="84"/>
    </row>
    <row r="34" spans="1:13" s="64" customFormat="1" ht="13.5" customHeight="1" x14ac:dyDescent="0.3">
      <c r="A34" s="63">
        <v>83</v>
      </c>
      <c r="B34" s="64" t="s">
        <v>43</v>
      </c>
      <c r="C34" s="65">
        <v>6</v>
      </c>
      <c r="D34" s="65">
        <v>30</v>
      </c>
      <c r="E34" s="65">
        <v>3</v>
      </c>
      <c r="F34" s="65">
        <v>10</v>
      </c>
      <c r="G34" s="60">
        <v>49</v>
      </c>
      <c r="I34" s="84"/>
      <c r="J34" s="84"/>
      <c r="K34" s="84"/>
      <c r="L34" s="84"/>
      <c r="M34" s="84"/>
    </row>
    <row r="35" spans="1:13" s="64" customFormat="1" ht="14.25" customHeight="1" x14ac:dyDescent="0.3">
      <c r="A35" s="63">
        <v>84</v>
      </c>
      <c r="B35" s="64" t="s">
        <v>44</v>
      </c>
      <c r="C35" s="65">
        <v>35</v>
      </c>
      <c r="D35" s="65">
        <v>40</v>
      </c>
      <c r="E35" s="65">
        <v>4</v>
      </c>
      <c r="F35" s="65">
        <v>14</v>
      </c>
      <c r="G35" s="60">
        <v>93</v>
      </c>
      <c r="I35" s="84"/>
      <c r="J35" s="84"/>
      <c r="K35" s="84"/>
      <c r="L35" s="84"/>
      <c r="M35" s="84"/>
    </row>
    <row r="36" spans="1:13" s="64" customFormat="1" ht="12.75" customHeight="1" x14ac:dyDescent="0.3">
      <c r="A36" s="63">
        <v>85</v>
      </c>
      <c r="B36" s="64" t="s">
        <v>45</v>
      </c>
      <c r="C36" s="65">
        <v>6</v>
      </c>
      <c r="D36" s="65">
        <v>48</v>
      </c>
      <c r="E36" s="65">
        <v>3</v>
      </c>
      <c r="F36" s="65">
        <v>3</v>
      </c>
      <c r="G36" s="60">
        <v>60</v>
      </c>
      <c r="I36" s="84"/>
      <c r="J36" s="84"/>
      <c r="K36" s="84"/>
      <c r="L36" s="84"/>
      <c r="M36" s="84"/>
    </row>
    <row r="37" spans="1:13" s="64" customFormat="1" ht="12.75" customHeight="1" x14ac:dyDescent="0.3">
      <c r="A37" s="63">
        <v>87</v>
      </c>
      <c r="B37" s="64" t="s">
        <v>46</v>
      </c>
      <c r="C37" s="65">
        <v>7</v>
      </c>
      <c r="D37" s="65">
        <v>24</v>
      </c>
      <c r="E37" s="65">
        <v>1</v>
      </c>
      <c r="F37" s="65">
        <v>5</v>
      </c>
      <c r="G37" s="60">
        <v>37</v>
      </c>
      <c r="I37" s="84"/>
      <c r="J37" s="84"/>
      <c r="K37" s="84"/>
      <c r="L37" s="84"/>
      <c r="M37" s="84"/>
    </row>
    <row r="38" spans="1:13" s="64" customFormat="1" ht="12.75" customHeight="1" x14ac:dyDescent="0.3">
      <c r="A38" s="63">
        <v>90</v>
      </c>
      <c r="B38" s="64" t="s">
        <v>48</v>
      </c>
      <c r="C38" s="65">
        <v>32</v>
      </c>
      <c r="D38" s="65">
        <v>63</v>
      </c>
      <c r="E38" s="65">
        <v>22</v>
      </c>
      <c r="F38" s="65">
        <v>28</v>
      </c>
      <c r="G38" s="60">
        <v>145</v>
      </c>
      <c r="I38" s="84"/>
      <c r="J38" s="84"/>
      <c r="K38" s="84"/>
      <c r="L38" s="84"/>
      <c r="M38" s="84"/>
    </row>
    <row r="39" spans="1:13" s="64" customFormat="1" ht="12.75" customHeight="1" x14ac:dyDescent="0.3">
      <c r="A39" s="63">
        <v>91</v>
      </c>
      <c r="B39" s="64" t="s">
        <v>49</v>
      </c>
      <c r="C39" s="65">
        <v>16</v>
      </c>
      <c r="D39" s="65">
        <v>36</v>
      </c>
      <c r="E39" s="65">
        <v>0</v>
      </c>
      <c r="F39" s="65">
        <v>12</v>
      </c>
      <c r="G39" s="60">
        <v>64</v>
      </c>
      <c r="I39" s="84"/>
      <c r="J39" s="84"/>
      <c r="K39" s="84"/>
      <c r="L39" s="84"/>
      <c r="M39" s="84"/>
    </row>
    <row r="40" spans="1:13" s="64" customFormat="1" ht="12.75" customHeight="1" x14ac:dyDescent="0.3">
      <c r="A40" s="63">
        <v>92</v>
      </c>
      <c r="B40" s="64" t="s">
        <v>50</v>
      </c>
      <c r="C40" s="65">
        <v>17</v>
      </c>
      <c r="D40" s="65">
        <v>11</v>
      </c>
      <c r="E40" s="65">
        <v>4</v>
      </c>
      <c r="F40" s="65">
        <v>12</v>
      </c>
      <c r="G40" s="60">
        <v>44</v>
      </c>
      <c r="I40" s="84"/>
      <c r="J40" s="84"/>
      <c r="K40" s="84"/>
      <c r="L40" s="84"/>
      <c r="M40" s="84"/>
    </row>
    <row r="41" spans="1:13" s="64" customFormat="1" ht="12.75" customHeight="1" x14ac:dyDescent="0.3">
      <c r="A41" s="63">
        <v>94</v>
      </c>
      <c r="B41" s="64" t="s">
        <v>52</v>
      </c>
      <c r="C41" s="65">
        <v>7</v>
      </c>
      <c r="D41" s="65">
        <v>21</v>
      </c>
      <c r="E41" s="65">
        <v>1</v>
      </c>
      <c r="F41" s="65">
        <v>7</v>
      </c>
      <c r="G41" s="60">
        <v>36</v>
      </c>
      <c r="I41" s="84"/>
      <c r="J41" s="84"/>
      <c r="K41" s="84"/>
      <c r="L41" s="84"/>
      <c r="M41" s="84"/>
    </row>
    <row r="42" spans="1:13" s="64" customFormat="1" ht="12.75" customHeight="1" x14ac:dyDescent="0.3">
      <c r="A42" s="63">
        <v>96</v>
      </c>
      <c r="B42" s="64" t="s">
        <v>54</v>
      </c>
      <c r="C42" s="65">
        <v>17</v>
      </c>
      <c r="D42" s="65">
        <v>55</v>
      </c>
      <c r="E42" s="65">
        <v>34</v>
      </c>
      <c r="F42" s="65">
        <v>11</v>
      </c>
      <c r="G42" s="60">
        <v>117</v>
      </c>
      <c r="H42" s="67"/>
      <c r="I42" s="84"/>
      <c r="J42" s="84"/>
      <c r="K42" s="84"/>
      <c r="L42" s="84"/>
      <c r="M42" s="84"/>
    </row>
    <row r="43" spans="1:13" s="64" customFormat="1" ht="12.75" customHeight="1" x14ac:dyDescent="0.3">
      <c r="A43" s="63">
        <v>72</v>
      </c>
      <c r="B43" s="64" t="s">
        <v>33</v>
      </c>
      <c r="C43" s="65">
        <v>0</v>
      </c>
      <c r="D43" s="65">
        <v>3</v>
      </c>
      <c r="E43" s="65">
        <v>0</v>
      </c>
      <c r="F43" s="65">
        <v>0</v>
      </c>
      <c r="G43" s="60">
        <v>3</v>
      </c>
      <c r="I43" s="84"/>
      <c r="J43" s="84"/>
      <c r="K43" s="84"/>
      <c r="L43" s="84"/>
      <c r="M43" s="84"/>
    </row>
    <row r="44" spans="1:13" s="59" customFormat="1" ht="25.5" customHeight="1" x14ac:dyDescent="0.3">
      <c r="B44" s="59" t="s">
        <v>66</v>
      </c>
      <c r="C44" s="62">
        <v>710</v>
      </c>
      <c r="D44" s="62">
        <v>59</v>
      </c>
      <c r="E44" s="62">
        <v>26</v>
      </c>
      <c r="F44" s="62">
        <v>294</v>
      </c>
      <c r="G44" s="60">
        <v>1089</v>
      </c>
      <c r="I44" s="84"/>
      <c r="J44" s="84"/>
      <c r="K44" s="84"/>
      <c r="L44" s="84"/>
      <c r="M44" s="84"/>
    </row>
    <row r="45" spans="1:13" s="64" customFormat="1" ht="12.75" customHeight="1" x14ac:dyDescent="0.3">
      <c r="A45" s="63">
        <v>66</v>
      </c>
      <c r="B45" s="64" t="s">
        <v>27</v>
      </c>
      <c r="C45" s="65">
        <v>84</v>
      </c>
      <c r="D45" s="68">
        <v>2</v>
      </c>
      <c r="E45" s="68">
        <v>3</v>
      </c>
      <c r="F45" s="68">
        <v>52</v>
      </c>
      <c r="G45" s="60">
        <v>141</v>
      </c>
      <c r="I45" s="84"/>
      <c r="J45" s="84"/>
      <c r="K45" s="84"/>
      <c r="L45" s="84"/>
      <c r="M45" s="84"/>
    </row>
    <row r="46" spans="1:13" s="64" customFormat="1" ht="14.25" customHeight="1" x14ac:dyDescent="0.3">
      <c r="A46" s="63">
        <v>78</v>
      </c>
      <c r="B46" s="64" t="s">
        <v>38</v>
      </c>
      <c r="C46" s="65">
        <v>26</v>
      </c>
      <c r="D46" s="68">
        <v>29</v>
      </c>
      <c r="E46" s="68">
        <v>0</v>
      </c>
      <c r="F46" s="68">
        <v>34</v>
      </c>
      <c r="G46" s="60">
        <v>89</v>
      </c>
      <c r="I46" s="84"/>
      <c r="J46" s="84"/>
      <c r="K46" s="84"/>
      <c r="L46" s="84"/>
      <c r="M46" s="84"/>
    </row>
    <row r="47" spans="1:13" s="64" customFormat="1" ht="12.75" customHeight="1" x14ac:dyDescent="0.3">
      <c r="A47" s="63">
        <v>89</v>
      </c>
      <c r="B47" s="64" t="s">
        <v>47</v>
      </c>
      <c r="C47" s="65">
        <v>41</v>
      </c>
      <c r="D47" s="68">
        <v>9</v>
      </c>
      <c r="E47" s="68">
        <v>0</v>
      </c>
      <c r="F47" s="68">
        <v>22</v>
      </c>
      <c r="G47" s="60">
        <v>72</v>
      </c>
      <c r="I47" s="84"/>
      <c r="J47" s="84"/>
      <c r="K47" s="84"/>
      <c r="L47" s="84"/>
      <c r="M47" s="84"/>
    </row>
    <row r="48" spans="1:13" s="64" customFormat="1" ht="12.75" customHeight="1" x14ac:dyDescent="0.3">
      <c r="A48" s="63">
        <v>93</v>
      </c>
      <c r="B48" s="64" t="s">
        <v>67</v>
      </c>
      <c r="C48" s="65">
        <v>45</v>
      </c>
      <c r="D48" s="68">
        <v>0</v>
      </c>
      <c r="E48" s="68">
        <v>1</v>
      </c>
      <c r="F48" s="68">
        <v>25</v>
      </c>
      <c r="G48" s="60">
        <v>71</v>
      </c>
      <c r="I48" s="84"/>
      <c r="J48" s="84"/>
      <c r="K48" s="84"/>
      <c r="L48" s="84"/>
      <c r="M48" s="84"/>
    </row>
    <row r="49" spans="1:13" s="64" customFormat="1" ht="12.75" customHeight="1" x14ac:dyDescent="0.3">
      <c r="A49" s="63">
        <v>95</v>
      </c>
      <c r="B49" s="64" t="s">
        <v>53</v>
      </c>
      <c r="C49" s="65">
        <v>80</v>
      </c>
      <c r="D49" s="68">
        <v>0</v>
      </c>
      <c r="E49" s="68">
        <v>4</v>
      </c>
      <c r="F49" s="68">
        <v>63</v>
      </c>
      <c r="G49" s="60">
        <v>147</v>
      </c>
      <c r="I49" s="84"/>
      <c r="J49" s="84"/>
      <c r="K49" s="84"/>
      <c r="L49" s="84"/>
      <c r="M49" s="84"/>
    </row>
    <row r="50" spans="1:13" s="64" customFormat="1" ht="12.75" customHeight="1" x14ac:dyDescent="0.3">
      <c r="A50" s="63">
        <v>97</v>
      </c>
      <c r="B50" s="64" t="s">
        <v>55</v>
      </c>
      <c r="C50" s="65">
        <v>68</v>
      </c>
      <c r="D50" s="68">
        <v>19</v>
      </c>
      <c r="E50" s="68">
        <v>8</v>
      </c>
      <c r="F50" s="68">
        <v>16</v>
      </c>
      <c r="G50" s="60">
        <v>111</v>
      </c>
      <c r="I50" s="84"/>
      <c r="J50" s="84"/>
      <c r="K50" s="84"/>
      <c r="L50" s="84"/>
      <c r="M50" s="84"/>
    </row>
    <row r="51" spans="1:13" s="73" customFormat="1" ht="12.75" customHeight="1" x14ac:dyDescent="0.3">
      <c r="A51" s="63">
        <v>77</v>
      </c>
      <c r="B51" s="69" t="s">
        <v>26</v>
      </c>
      <c r="C51" s="70">
        <v>366</v>
      </c>
      <c r="D51" s="70">
        <v>0</v>
      </c>
      <c r="E51" s="71">
        <v>10</v>
      </c>
      <c r="F51" s="71">
        <v>82</v>
      </c>
      <c r="G51" s="72">
        <v>458</v>
      </c>
      <c r="I51" s="84"/>
      <c r="J51" s="84"/>
      <c r="K51" s="84"/>
      <c r="L51" s="84"/>
      <c r="M51" s="84"/>
    </row>
    <row r="52" spans="1:13" s="64" customFormat="1" ht="10.5" customHeight="1" x14ac:dyDescent="0.3">
      <c r="A52" s="63"/>
      <c r="C52" s="74"/>
      <c r="D52" s="74"/>
      <c r="E52" s="74"/>
      <c r="F52" s="74"/>
      <c r="G52" s="74"/>
      <c r="I52" s="75"/>
    </row>
    <row r="53" spans="1:13" s="64" customFormat="1" ht="13.5" customHeight="1" x14ac:dyDescent="0.3">
      <c r="A53" s="63"/>
      <c r="B53" s="64" t="s">
        <v>68</v>
      </c>
      <c r="H53" s="75"/>
      <c r="I53" s="75"/>
    </row>
    <row r="54" spans="1:13" s="64" customFormat="1" ht="13.5" customHeight="1" x14ac:dyDescent="0.3">
      <c r="A54" s="63"/>
      <c r="H54" s="75"/>
      <c r="I54" s="75"/>
    </row>
    <row r="55" spans="1:13" s="64" customFormat="1" x14ac:dyDescent="0.3">
      <c r="A55" s="63"/>
      <c r="B55" s="76" t="s">
        <v>69</v>
      </c>
      <c r="H55" s="75"/>
      <c r="I55" s="75"/>
    </row>
    <row r="56" spans="1:13" x14ac:dyDescent="0.3">
      <c r="A56" s="63"/>
      <c r="F56" s="77"/>
      <c r="G56" s="77"/>
    </row>
    <row r="57" spans="1:13" x14ac:dyDescent="0.3">
      <c r="A57" s="63"/>
    </row>
    <row r="58" spans="1:13" x14ac:dyDescent="0.3">
      <c r="A58" s="63"/>
    </row>
    <row r="59" spans="1:13" x14ac:dyDescent="0.3">
      <c r="A59" s="63"/>
      <c r="E59" s="78"/>
    </row>
    <row r="62" spans="1:13" ht="13.8" x14ac:dyDescent="0.3">
      <c r="B62" s="64" t="s">
        <v>21</v>
      </c>
      <c r="C62" s="65">
        <v>9</v>
      </c>
      <c r="D62" s="65">
        <v>25</v>
      </c>
      <c r="E62" s="65">
        <v>3</v>
      </c>
      <c r="F62" s="65">
        <v>16</v>
      </c>
      <c r="G62" s="60">
        <v>53</v>
      </c>
    </row>
    <row r="63" spans="1:13" ht="13.8" x14ac:dyDescent="0.3">
      <c r="B63" s="64" t="s">
        <v>56</v>
      </c>
      <c r="C63" s="65">
        <v>12</v>
      </c>
      <c r="D63" s="65">
        <v>30</v>
      </c>
      <c r="E63" s="65">
        <v>6</v>
      </c>
      <c r="F63" s="65">
        <v>17</v>
      </c>
      <c r="G63" s="60">
        <v>65</v>
      </c>
    </row>
  </sheetData>
  <mergeCells count="1">
    <mergeCell ref="B1:G1"/>
  </mergeCells>
  <printOptions horizontalCentered="1" verticalCentered="1"/>
  <pageMargins left="0.2" right="0.34" top="0.32" bottom="0.25" header="0.51181102362204722" footer="0.51181102362204722"/>
  <pageSetup paperSize="9" scale="65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63"/>
  <sheetViews>
    <sheetView showGridLines="0" zoomScale="85" zoomScaleNormal="100" workbookViewId="0">
      <pane xSplit="2" ySplit="2" topLeftCell="C3" activePane="bottomRight" state="frozen"/>
      <selection activeCell="B1" sqref="B1"/>
      <selection pane="topRight" activeCell="C1" sqref="C1"/>
      <selection pane="bottomLeft" activeCell="B4" sqref="B4"/>
      <selection pane="bottomRight" activeCell="C3" sqref="C3"/>
    </sheetView>
  </sheetViews>
  <sheetFormatPr defaultRowHeight="13.2" x14ac:dyDescent="0.3"/>
  <cols>
    <col min="1" max="1" width="3.5546875" style="44" hidden="1" customWidth="1"/>
    <col min="2" max="2" width="27.5546875" style="44" bestFit="1" customWidth="1"/>
    <col min="3" max="3" width="20.21875" style="44" customWidth="1"/>
    <col min="4" max="4" width="21.77734375" style="44" customWidth="1"/>
    <col min="5" max="5" width="18.77734375" style="44" customWidth="1"/>
    <col min="6" max="6" width="21.44140625" style="44" customWidth="1"/>
    <col min="7" max="7" width="26.5546875" style="44" customWidth="1"/>
    <col min="8" max="256" width="9.21875" style="44"/>
    <col min="257" max="257" width="0" style="44" hidden="1" customWidth="1"/>
    <col min="258" max="258" width="27.5546875" style="44" bestFit="1" customWidth="1"/>
    <col min="259" max="259" width="20.21875" style="44" customWidth="1"/>
    <col min="260" max="260" width="21.77734375" style="44" customWidth="1"/>
    <col min="261" max="261" width="18.77734375" style="44" customWidth="1"/>
    <col min="262" max="262" width="21.44140625" style="44" customWidth="1"/>
    <col min="263" max="263" width="26.5546875" style="44" customWidth="1"/>
    <col min="264" max="512" width="9.21875" style="44"/>
    <col min="513" max="513" width="0" style="44" hidden="1" customWidth="1"/>
    <col min="514" max="514" width="27.5546875" style="44" bestFit="1" customWidth="1"/>
    <col min="515" max="515" width="20.21875" style="44" customWidth="1"/>
    <col min="516" max="516" width="21.77734375" style="44" customWidth="1"/>
    <col min="517" max="517" width="18.77734375" style="44" customWidth="1"/>
    <col min="518" max="518" width="21.44140625" style="44" customWidth="1"/>
    <col min="519" max="519" width="26.5546875" style="44" customWidth="1"/>
    <col min="520" max="768" width="9.21875" style="44"/>
    <col min="769" max="769" width="0" style="44" hidden="1" customWidth="1"/>
    <col min="770" max="770" width="27.5546875" style="44" bestFit="1" customWidth="1"/>
    <col min="771" max="771" width="20.21875" style="44" customWidth="1"/>
    <col min="772" max="772" width="21.77734375" style="44" customWidth="1"/>
    <col min="773" max="773" width="18.77734375" style="44" customWidth="1"/>
    <col min="774" max="774" width="21.44140625" style="44" customWidth="1"/>
    <col min="775" max="775" width="26.5546875" style="44" customWidth="1"/>
    <col min="776" max="1024" width="9.21875" style="44"/>
    <col min="1025" max="1025" width="0" style="44" hidden="1" customWidth="1"/>
    <col min="1026" max="1026" width="27.5546875" style="44" bestFit="1" customWidth="1"/>
    <col min="1027" max="1027" width="20.21875" style="44" customWidth="1"/>
    <col min="1028" max="1028" width="21.77734375" style="44" customWidth="1"/>
    <col min="1029" max="1029" width="18.77734375" style="44" customWidth="1"/>
    <col min="1030" max="1030" width="21.44140625" style="44" customWidth="1"/>
    <col min="1031" max="1031" width="26.5546875" style="44" customWidth="1"/>
    <col min="1032" max="1280" width="9.21875" style="44"/>
    <col min="1281" max="1281" width="0" style="44" hidden="1" customWidth="1"/>
    <col min="1282" max="1282" width="27.5546875" style="44" bestFit="1" customWidth="1"/>
    <col min="1283" max="1283" width="20.21875" style="44" customWidth="1"/>
    <col min="1284" max="1284" width="21.77734375" style="44" customWidth="1"/>
    <col min="1285" max="1285" width="18.77734375" style="44" customWidth="1"/>
    <col min="1286" max="1286" width="21.44140625" style="44" customWidth="1"/>
    <col min="1287" max="1287" width="26.5546875" style="44" customWidth="1"/>
    <col min="1288" max="1536" width="9.21875" style="44"/>
    <col min="1537" max="1537" width="0" style="44" hidden="1" customWidth="1"/>
    <col min="1538" max="1538" width="27.5546875" style="44" bestFit="1" customWidth="1"/>
    <col min="1539" max="1539" width="20.21875" style="44" customWidth="1"/>
    <col min="1540" max="1540" width="21.77734375" style="44" customWidth="1"/>
    <col min="1541" max="1541" width="18.77734375" style="44" customWidth="1"/>
    <col min="1542" max="1542" width="21.44140625" style="44" customWidth="1"/>
    <col min="1543" max="1543" width="26.5546875" style="44" customWidth="1"/>
    <col min="1544" max="1792" width="9.21875" style="44"/>
    <col min="1793" max="1793" width="0" style="44" hidden="1" customWidth="1"/>
    <col min="1794" max="1794" width="27.5546875" style="44" bestFit="1" customWidth="1"/>
    <col min="1795" max="1795" width="20.21875" style="44" customWidth="1"/>
    <col min="1796" max="1796" width="21.77734375" style="44" customWidth="1"/>
    <col min="1797" max="1797" width="18.77734375" style="44" customWidth="1"/>
    <col min="1798" max="1798" width="21.44140625" style="44" customWidth="1"/>
    <col min="1799" max="1799" width="26.5546875" style="44" customWidth="1"/>
    <col min="1800" max="2048" width="9.21875" style="44"/>
    <col min="2049" max="2049" width="0" style="44" hidden="1" customWidth="1"/>
    <col min="2050" max="2050" width="27.5546875" style="44" bestFit="1" customWidth="1"/>
    <col min="2051" max="2051" width="20.21875" style="44" customWidth="1"/>
    <col min="2052" max="2052" width="21.77734375" style="44" customWidth="1"/>
    <col min="2053" max="2053" width="18.77734375" style="44" customWidth="1"/>
    <col min="2054" max="2054" width="21.44140625" style="44" customWidth="1"/>
    <col min="2055" max="2055" width="26.5546875" style="44" customWidth="1"/>
    <col min="2056" max="2304" width="9.21875" style="44"/>
    <col min="2305" max="2305" width="0" style="44" hidden="1" customWidth="1"/>
    <col min="2306" max="2306" width="27.5546875" style="44" bestFit="1" customWidth="1"/>
    <col min="2307" max="2307" width="20.21875" style="44" customWidth="1"/>
    <col min="2308" max="2308" width="21.77734375" style="44" customWidth="1"/>
    <col min="2309" max="2309" width="18.77734375" style="44" customWidth="1"/>
    <col min="2310" max="2310" width="21.44140625" style="44" customWidth="1"/>
    <col min="2311" max="2311" width="26.5546875" style="44" customWidth="1"/>
    <col min="2312" max="2560" width="9.21875" style="44"/>
    <col min="2561" max="2561" width="0" style="44" hidden="1" customWidth="1"/>
    <col min="2562" max="2562" width="27.5546875" style="44" bestFit="1" customWidth="1"/>
    <col min="2563" max="2563" width="20.21875" style="44" customWidth="1"/>
    <col min="2564" max="2564" width="21.77734375" style="44" customWidth="1"/>
    <col min="2565" max="2565" width="18.77734375" style="44" customWidth="1"/>
    <col min="2566" max="2566" width="21.44140625" style="44" customWidth="1"/>
    <col min="2567" max="2567" width="26.5546875" style="44" customWidth="1"/>
    <col min="2568" max="2816" width="9.21875" style="44"/>
    <col min="2817" max="2817" width="0" style="44" hidden="1" customWidth="1"/>
    <col min="2818" max="2818" width="27.5546875" style="44" bestFit="1" customWidth="1"/>
    <col min="2819" max="2819" width="20.21875" style="44" customWidth="1"/>
    <col min="2820" max="2820" width="21.77734375" style="44" customWidth="1"/>
    <col min="2821" max="2821" width="18.77734375" style="44" customWidth="1"/>
    <col min="2822" max="2822" width="21.44140625" style="44" customWidth="1"/>
    <col min="2823" max="2823" width="26.5546875" style="44" customWidth="1"/>
    <col min="2824" max="3072" width="9.21875" style="44"/>
    <col min="3073" max="3073" width="0" style="44" hidden="1" customWidth="1"/>
    <col min="3074" max="3074" width="27.5546875" style="44" bestFit="1" customWidth="1"/>
    <col min="3075" max="3075" width="20.21875" style="44" customWidth="1"/>
    <col min="3076" max="3076" width="21.77734375" style="44" customWidth="1"/>
    <col min="3077" max="3077" width="18.77734375" style="44" customWidth="1"/>
    <col min="3078" max="3078" width="21.44140625" style="44" customWidth="1"/>
    <col min="3079" max="3079" width="26.5546875" style="44" customWidth="1"/>
    <col min="3080" max="3328" width="9.21875" style="44"/>
    <col min="3329" max="3329" width="0" style="44" hidden="1" customWidth="1"/>
    <col min="3330" max="3330" width="27.5546875" style="44" bestFit="1" customWidth="1"/>
    <col min="3331" max="3331" width="20.21875" style="44" customWidth="1"/>
    <col min="3332" max="3332" width="21.77734375" style="44" customWidth="1"/>
    <col min="3333" max="3333" width="18.77734375" style="44" customWidth="1"/>
    <col min="3334" max="3334" width="21.44140625" style="44" customWidth="1"/>
    <col min="3335" max="3335" width="26.5546875" style="44" customWidth="1"/>
    <col min="3336" max="3584" width="9.21875" style="44"/>
    <col min="3585" max="3585" width="0" style="44" hidden="1" customWidth="1"/>
    <col min="3586" max="3586" width="27.5546875" style="44" bestFit="1" customWidth="1"/>
    <col min="3587" max="3587" width="20.21875" style="44" customWidth="1"/>
    <col min="3588" max="3588" width="21.77734375" style="44" customWidth="1"/>
    <col min="3589" max="3589" width="18.77734375" style="44" customWidth="1"/>
    <col min="3590" max="3590" width="21.44140625" style="44" customWidth="1"/>
    <col min="3591" max="3591" width="26.5546875" style="44" customWidth="1"/>
    <col min="3592" max="3840" width="9.21875" style="44"/>
    <col min="3841" max="3841" width="0" style="44" hidden="1" customWidth="1"/>
    <col min="3842" max="3842" width="27.5546875" style="44" bestFit="1" customWidth="1"/>
    <col min="3843" max="3843" width="20.21875" style="44" customWidth="1"/>
    <col min="3844" max="3844" width="21.77734375" style="44" customWidth="1"/>
    <col min="3845" max="3845" width="18.77734375" style="44" customWidth="1"/>
    <col min="3846" max="3846" width="21.44140625" style="44" customWidth="1"/>
    <col min="3847" max="3847" width="26.5546875" style="44" customWidth="1"/>
    <col min="3848" max="4096" width="9.21875" style="44"/>
    <col min="4097" max="4097" width="0" style="44" hidden="1" customWidth="1"/>
    <col min="4098" max="4098" width="27.5546875" style="44" bestFit="1" customWidth="1"/>
    <col min="4099" max="4099" width="20.21875" style="44" customWidth="1"/>
    <col min="4100" max="4100" width="21.77734375" style="44" customWidth="1"/>
    <col min="4101" max="4101" width="18.77734375" style="44" customWidth="1"/>
    <col min="4102" max="4102" width="21.44140625" style="44" customWidth="1"/>
    <col min="4103" max="4103" width="26.5546875" style="44" customWidth="1"/>
    <col min="4104" max="4352" width="9.21875" style="44"/>
    <col min="4353" max="4353" width="0" style="44" hidden="1" customWidth="1"/>
    <col min="4354" max="4354" width="27.5546875" style="44" bestFit="1" customWidth="1"/>
    <col min="4355" max="4355" width="20.21875" style="44" customWidth="1"/>
    <col min="4356" max="4356" width="21.77734375" style="44" customWidth="1"/>
    <col min="4357" max="4357" width="18.77734375" style="44" customWidth="1"/>
    <col min="4358" max="4358" width="21.44140625" style="44" customWidth="1"/>
    <col min="4359" max="4359" width="26.5546875" style="44" customWidth="1"/>
    <col min="4360" max="4608" width="9.21875" style="44"/>
    <col min="4609" max="4609" width="0" style="44" hidden="1" customWidth="1"/>
    <col min="4610" max="4610" width="27.5546875" style="44" bestFit="1" customWidth="1"/>
    <col min="4611" max="4611" width="20.21875" style="44" customWidth="1"/>
    <col min="4612" max="4612" width="21.77734375" style="44" customWidth="1"/>
    <col min="4613" max="4613" width="18.77734375" style="44" customWidth="1"/>
    <col min="4614" max="4614" width="21.44140625" style="44" customWidth="1"/>
    <col min="4615" max="4615" width="26.5546875" style="44" customWidth="1"/>
    <col min="4616" max="4864" width="9.21875" style="44"/>
    <col min="4865" max="4865" width="0" style="44" hidden="1" customWidth="1"/>
    <col min="4866" max="4866" width="27.5546875" style="44" bestFit="1" customWidth="1"/>
    <col min="4867" max="4867" width="20.21875" style="44" customWidth="1"/>
    <col min="4868" max="4868" width="21.77734375" style="44" customWidth="1"/>
    <col min="4869" max="4869" width="18.77734375" style="44" customWidth="1"/>
    <col min="4870" max="4870" width="21.44140625" style="44" customWidth="1"/>
    <col min="4871" max="4871" width="26.5546875" style="44" customWidth="1"/>
    <col min="4872" max="5120" width="9.21875" style="44"/>
    <col min="5121" max="5121" width="0" style="44" hidden="1" customWidth="1"/>
    <col min="5122" max="5122" width="27.5546875" style="44" bestFit="1" customWidth="1"/>
    <col min="5123" max="5123" width="20.21875" style="44" customWidth="1"/>
    <col min="5124" max="5124" width="21.77734375" style="44" customWidth="1"/>
    <col min="5125" max="5125" width="18.77734375" style="44" customWidth="1"/>
    <col min="5126" max="5126" width="21.44140625" style="44" customWidth="1"/>
    <col min="5127" max="5127" width="26.5546875" style="44" customWidth="1"/>
    <col min="5128" max="5376" width="9.21875" style="44"/>
    <col min="5377" max="5377" width="0" style="44" hidden="1" customWidth="1"/>
    <col min="5378" max="5378" width="27.5546875" style="44" bestFit="1" customWidth="1"/>
    <col min="5379" max="5379" width="20.21875" style="44" customWidth="1"/>
    <col min="5380" max="5380" width="21.77734375" style="44" customWidth="1"/>
    <col min="5381" max="5381" width="18.77734375" style="44" customWidth="1"/>
    <col min="5382" max="5382" width="21.44140625" style="44" customWidth="1"/>
    <col min="5383" max="5383" width="26.5546875" style="44" customWidth="1"/>
    <col min="5384" max="5632" width="9.21875" style="44"/>
    <col min="5633" max="5633" width="0" style="44" hidden="1" customWidth="1"/>
    <col min="5634" max="5634" width="27.5546875" style="44" bestFit="1" customWidth="1"/>
    <col min="5635" max="5635" width="20.21875" style="44" customWidth="1"/>
    <col min="5636" max="5636" width="21.77734375" style="44" customWidth="1"/>
    <col min="5637" max="5637" width="18.77734375" style="44" customWidth="1"/>
    <col min="5638" max="5638" width="21.44140625" style="44" customWidth="1"/>
    <col min="5639" max="5639" width="26.5546875" style="44" customWidth="1"/>
    <col min="5640" max="5888" width="9.21875" style="44"/>
    <col min="5889" max="5889" width="0" style="44" hidden="1" customWidth="1"/>
    <col min="5890" max="5890" width="27.5546875" style="44" bestFit="1" customWidth="1"/>
    <col min="5891" max="5891" width="20.21875" style="44" customWidth="1"/>
    <col min="5892" max="5892" width="21.77734375" style="44" customWidth="1"/>
    <col min="5893" max="5893" width="18.77734375" style="44" customWidth="1"/>
    <col min="5894" max="5894" width="21.44140625" style="44" customWidth="1"/>
    <col min="5895" max="5895" width="26.5546875" style="44" customWidth="1"/>
    <col min="5896" max="6144" width="9.21875" style="44"/>
    <col min="6145" max="6145" width="0" style="44" hidden="1" customWidth="1"/>
    <col min="6146" max="6146" width="27.5546875" style="44" bestFit="1" customWidth="1"/>
    <col min="6147" max="6147" width="20.21875" style="44" customWidth="1"/>
    <col min="6148" max="6148" width="21.77734375" style="44" customWidth="1"/>
    <col min="6149" max="6149" width="18.77734375" style="44" customWidth="1"/>
    <col min="6150" max="6150" width="21.44140625" style="44" customWidth="1"/>
    <col min="6151" max="6151" width="26.5546875" style="44" customWidth="1"/>
    <col min="6152" max="6400" width="9.21875" style="44"/>
    <col min="6401" max="6401" width="0" style="44" hidden="1" customWidth="1"/>
    <col min="6402" max="6402" width="27.5546875" style="44" bestFit="1" customWidth="1"/>
    <col min="6403" max="6403" width="20.21875" style="44" customWidth="1"/>
    <col min="6404" max="6404" width="21.77734375" style="44" customWidth="1"/>
    <col min="6405" max="6405" width="18.77734375" style="44" customWidth="1"/>
    <col min="6406" max="6406" width="21.44140625" style="44" customWidth="1"/>
    <col min="6407" max="6407" width="26.5546875" style="44" customWidth="1"/>
    <col min="6408" max="6656" width="9.21875" style="44"/>
    <col min="6657" max="6657" width="0" style="44" hidden="1" customWidth="1"/>
    <col min="6658" max="6658" width="27.5546875" style="44" bestFit="1" customWidth="1"/>
    <col min="6659" max="6659" width="20.21875" style="44" customWidth="1"/>
    <col min="6660" max="6660" width="21.77734375" style="44" customWidth="1"/>
    <col min="6661" max="6661" width="18.77734375" style="44" customWidth="1"/>
    <col min="6662" max="6662" width="21.44140625" style="44" customWidth="1"/>
    <col min="6663" max="6663" width="26.5546875" style="44" customWidth="1"/>
    <col min="6664" max="6912" width="9.21875" style="44"/>
    <col min="6913" max="6913" width="0" style="44" hidden="1" customWidth="1"/>
    <col min="6914" max="6914" width="27.5546875" style="44" bestFit="1" customWidth="1"/>
    <col min="6915" max="6915" width="20.21875" style="44" customWidth="1"/>
    <col min="6916" max="6916" width="21.77734375" style="44" customWidth="1"/>
    <col min="6917" max="6917" width="18.77734375" style="44" customWidth="1"/>
    <col min="6918" max="6918" width="21.44140625" style="44" customWidth="1"/>
    <col min="6919" max="6919" width="26.5546875" style="44" customWidth="1"/>
    <col min="6920" max="7168" width="9.21875" style="44"/>
    <col min="7169" max="7169" width="0" style="44" hidden="1" customWidth="1"/>
    <col min="7170" max="7170" width="27.5546875" style="44" bestFit="1" customWidth="1"/>
    <col min="7171" max="7171" width="20.21875" style="44" customWidth="1"/>
    <col min="7172" max="7172" width="21.77734375" style="44" customWidth="1"/>
    <col min="7173" max="7173" width="18.77734375" style="44" customWidth="1"/>
    <col min="7174" max="7174" width="21.44140625" style="44" customWidth="1"/>
    <col min="7175" max="7175" width="26.5546875" style="44" customWidth="1"/>
    <col min="7176" max="7424" width="9.21875" style="44"/>
    <col min="7425" max="7425" width="0" style="44" hidden="1" customWidth="1"/>
    <col min="7426" max="7426" width="27.5546875" style="44" bestFit="1" customWidth="1"/>
    <col min="7427" max="7427" width="20.21875" style="44" customWidth="1"/>
    <col min="7428" max="7428" width="21.77734375" style="44" customWidth="1"/>
    <col min="7429" max="7429" width="18.77734375" style="44" customWidth="1"/>
    <col min="7430" max="7430" width="21.44140625" style="44" customWidth="1"/>
    <col min="7431" max="7431" width="26.5546875" style="44" customWidth="1"/>
    <col min="7432" max="7680" width="9.21875" style="44"/>
    <col min="7681" max="7681" width="0" style="44" hidden="1" customWidth="1"/>
    <col min="7682" max="7682" width="27.5546875" style="44" bestFit="1" customWidth="1"/>
    <col min="7683" max="7683" width="20.21875" style="44" customWidth="1"/>
    <col min="7684" max="7684" width="21.77734375" style="44" customWidth="1"/>
    <col min="7685" max="7685" width="18.77734375" style="44" customWidth="1"/>
    <col min="7686" max="7686" width="21.44140625" style="44" customWidth="1"/>
    <col min="7687" max="7687" width="26.5546875" style="44" customWidth="1"/>
    <col min="7688" max="7936" width="9.21875" style="44"/>
    <col min="7937" max="7937" width="0" style="44" hidden="1" customWidth="1"/>
    <col min="7938" max="7938" width="27.5546875" style="44" bestFit="1" customWidth="1"/>
    <col min="7939" max="7939" width="20.21875" style="44" customWidth="1"/>
    <col min="7940" max="7940" width="21.77734375" style="44" customWidth="1"/>
    <col min="7941" max="7941" width="18.77734375" style="44" customWidth="1"/>
    <col min="7942" max="7942" width="21.44140625" style="44" customWidth="1"/>
    <col min="7943" max="7943" width="26.5546875" style="44" customWidth="1"/>
    <col min="7944" max="8192" width="9.21875" style="44"/>
    <col min="8193" max="8193" width="0" style="44" hidden="1" customWidth="1"/>
    <col min="8194" max="8194" width="27.5546875" style="44" bestFit="1" customWidth="1"/>
    <col min="8195" max="8195" width="20.21875" style="44" customWidth="1"/>
    <col min="8196" max="8196" width="21.77734375" style="44" customWidth="1"/>
    <col min="8197" max="8197" width="18.77734375" style="44" customWidth="1"/>
    <col min="8198" max="8198" width="21.44140625" style="44" customWidth="1"/>
    <col min="8199" max="8199" width="26.5546875" style="44" customWidth="1"/>
    <col min="8200" max="8448" width="9.21875" style="44"/>
    <col min="8449" max="8449" width="0" style="44" hidden="1" customWidth="1"/>
    <col min="8450" max="8450" width="27.5546875" style="44" bestFit="1" customWidth="1"/>
    <col min="8451" max="8451" width="20.21875" style="44" customWidth="1"/>
    <col min="8452" max="8452" width="21.77734375" style="44" customWidth="1"/>
    <col min="8453" max="8453" width="18.77734375" style="44" customWidth="1"/>
    <col min="8454" max="8454" width="21.44140625" style="44" customWidth="1"/>
    <col min="8455" max="8455" width="26.5546875" style="44" customWidth="1"/>
    <col min="8456" max="8704" width="9.21875" style="44"/>
    <col min="8705" max="8705" width="0" style="44" hidden="1" customWidth="1"/>
    <col min="8706" max="8706" width="27.5546875" style="44" bestFit="1" customWidth="1"/>
    <col min="8707" max="8707" width="20.21875" style="44" customWidth="1"/>
    <col min="8708" max="8708" width="21.77734375" style="44" customWidth="1"/>
    <col min="8709" max="8709" width="18.77734375" style="44" customWidth="1"/>
    <col min="8710" max="8710" width="21.44140625" style="44" customWidth="1"/>
    <col min="8711" max="8711" width="26.5546875" style="44" customWidth="1"/>
    <col min="8712" max="8960" width="9.21875" style="44"/>
    <col min="8961" max="8961" width="0" style="44" hidden="1" customWidth="1"/>
    <col min="8962" max="8962" width="27.5546875" style="44" bestFit="1" customWidth="1"/>
    <col min="8963" max="8963" width="20.21875" style="44" customWidth="1"/>
    <col min="8964" max="8964" width="21.77734375" style="44" customWidth="1"/>
    <col min="8965" max="8965" width="18.77734375" style="44" customWidth="1"/>
    <col min="8966" max="8966" width="21.44140625" style="44" customWidth="1"/>
    <col min="8967" max="8967" width="26.5546875" style="44" customWidth="1"/>
    <col min="8968" max="9216" width="9.21875" style="44"/>
    <col min="9217" max="9217" width="0" style="44" hidden="1" customWidth="1"/>
    <col min="9218" max="9218" width="27.5546875" style="44" bestFit="1" customWidth="1"/>
    <col min="9219" max="9219" width="20.21875" style="44" customWidth="1"/>
    <col min="9220" max="9220" width="21.77734375" style="44" customWidth="1"/>
    <col min="9221" max="9221" width="18.77734375" style="44" customWidth="1"/>
    <col min="9222" max="9222" width="21.44140625" style="44" customWidth="1"/>
    <col min="9223" max="9223" width="26.5546875" style="44" customWidth="1"/>
    <col min="9224" max="9472" width="9.21875" style="44"/>
    <col min="9473" max="9473" width="0" style="44" hidden="1" customWidth="1"/>
    <col min="9474" max="9474" width="27.5546875" style="44" bestFit="1" customWidth="1"/>
    <col min="9475" max="9475" width="20.21875" style="44" customWidth="1"/>
    <col min="9476" max="9476" width="21.77734375" style="44" customWidth="1"/>
    <col min="9477" max="9477" width="18.77734375" style="44" customWidth="1"/>
    <col min="9478" max="9478" width="21.44140625" style="44" customWidth="1"/>
    <col min="9479" max="9479" width="26.5546875" style="44" customWidth="1"/>
    <col min="9480" max="9728" width="9.21875" style="44"/>
    <col min="9729" max="9729" width="0" style="44" hidden="1" customWidth="1"/>
    <col min="9730" max="9730" width="27.5546875" style="44" bestFit="1" customWidth="1"/>
    <col min="9731" max="9731" width="20.21875" style="44" customWidth="1"/>
    <col min="9732" max="9732" width="21.77734375" style="44" customWidth="1"/>
    <col min="9733" max="9733" width="18.77734375" style="44" customWidth="1"/>
    <col min="9734" max="9734" width="21.44140625" style="44" customWidth="1"/>
    <col min="9735" max="9735" width="26.5546875" style="44" customWidth="1"/>
    <col min="9736" max="9984" width="9.21875" style="44"/>
    <col min="9985" max="9985" width="0" style="44" hidden="1" customWidth="1"/>
    <col min="9986" max="9986" width="27.5546875" style="44" bestFit="1" customWidth="1"/>
    <col min="9987" max="9987" width="20.21875" style="44" customWidth="1"/>
    <col min="9988" max="9988" width="21.77734375" style="44" customWidth="1"/>
    <col min="9989" max="9989" width="18.77734375" style="44" customWidth="1"/>
    <col min="9990" max="9990" width="21.44140625" style="44" customWidth="1"/>
    <col min="9991" max="9991" width="26.5546875" style="44" customWidth="1"/>
    <col min="9992" max="10240" width="9.21875" style="44"/>
    <col min="10241" max="10241" width="0" style="44" hidden="1" customWidth="1"/>
    <col min="10242" max="10242" width="27.5546875" style="44" bestFit="1" customWidth="1"/>
    <col min="10243" max="10243" width="20.21875" style="44" customWidth="1"/>
    <col min="10244" max="10244" width="21.77734375" style="44" customWidth="1"/>
    <col min="10245" max="10245" width="18.77734375" style="44" customWidth="1"/>
    <col min="10246" max="10246" width="21.44140625" style="44" customWidth="1"/>
    <col min="10247" max="10247" width="26.5546875" style="44" customWidth="1"/>
    <col min="10248" max="10496" width="9.21875" style="44"/>
    <col min="10497" max="10497" width="0" style="44" hidden="1" customWidth="1"/>
    <col min="10498" max="10498" width="27.5546875" style="44" bestFit="1" customWidth="1"/>
    <col min="10499" max="10499" width="20.21875" style="44" customWidth="1"/>
    <col min="10500" max="10500" width="21.77734375" style="44" customWidth="1"/>
    <col min="10501" max="10501" width="18.77734375" style="44" customWidth="1"/>
    <col min="10502" max="10502" width="21.44140625" style="44" customWidth="1"/>
    <col min="10503" max="10503" width="26.5546875" style="44" customWidth="1"/>
    <col min="10504" max="10752" width="9.21875" style="44"/>
    <col min="10753" max="10753" width="0" style="44" hidden="1" customWidth="1"/>
    <col min="10754" max="10754" width="27.5546875" style="44" bestFit="1" customWidth="1"/>
    <col min="10755" max="10755" width="20.21875" style="44" customWidth="1"/>
    <col min="10756" max="10756" width="21.77734375" style="44" customWidth="1"/>
    <col min="10757" max="10757" width="18.77734375" style="44" customWidth="1"/>
    <col min="10758" max="10758" width="21.44140625" style="44" customWidth="1"/>
    <col min="10759" max="10759" width="26.5546875" style="44" customWidth="1"/>
    <col min="10760" max="11008" width="9.21875" style="44"/>
    <col min="11009" max="11009" width="0" style="44" hidden="1" customWidth="1"/>
    <col min="11010" max="11010" width="27.5546875" style="44" bestFit="1" customWidth="1"/>
    <col min="11011" max="11011" width="20.21875" style="44" customWidth="1"/>
    <col min="11012" max="11012" width="21.77734375" style="44" customWidth="1"/>
    <col min="11013" max="11013" width="18.77734375" style="44" customWidth="1"/>
    <col min="11014" max="11014" width="21.44140625" style="44" customWidth="1"/>
    <col min="11015" max="11015" width="26.5546875" style="44" customWidth="1"/>
    <col min="11016" max="11264" width="9.21875" style="44"/>
    <col min="11265" max="11265" width="0" style="44" hidden="1" customWidth="1"/>
    <col min="11266" max="11266" width="27.5546875" style="44" bestFit="1" customWidth="1"/>
    <col min="11267" max="11267" width="20.21875" style="44" customWidth="1"/>
    <col min="11268" max="11268" width="21.77734375" style="44" customWidth="1"/>
    <col min="11269" max="11269" width="18.77734375" style="44" customWidth="1"/>
    <col min="11270" max="11270" width="21.44140625" style="44" customWidth="1"/>
    <col min="11271" max="11271" width="26.5546875" style="44" customWidth="1"/>
    <col min="11272" max="11520" width="9.21875" style="44"/>
    <col min="11521" max="11521" width="0" style="44" hidden="1" customWidth="1"/>
    <col min="11522" max="11522" width="27.5546875" style="44" bestFit="1" customWidth="1"/>
    <col min="11523" max="11523" width="20.21875" style="44" customWidth="1"/>
    <col min="11524" max="11524" width="21.77734375" style="44" customWidth="1"/>
    <col min="11525" max="11525" width="18.77734375" style="44" customWidth="1"/>
    <col min="11526" max="11526" width="21.44140625" style="44" customWidth="1"/>
    <col min="11527" max="11527" width="26.5546875" style="44" customWidth="1"/>
    <col min="11528" max="11776" width="9.21875" style="44"/>
    <col min="11777" max="11777" width="0" style="44" hidden="1" customWidth="1"/>
    <col min="11778" max="11778" width="27.5546875" style="44" bestFit="1" customWidth="1"/>
    <col min="11779" max="11779" width="20.21875" style="44" customWidth="1"/>
    <col min="11780" max="11780" width="21.77734375" style="44" customWidth="1"/>
    <col min="11781" max="11781" width="18.77734375" style="44" customWidth="1"/>
    <col min="11782" max="11782" width="21.44140625" style="44" customWidth="1"/>
    <col min="11783" max="11783" width="26.5546875" style="44" customWidth="1"/>
    <col min="11784" max="12032" width="9.21875" style="44"/>
    <col min="12033" max="12033" width="0" style="44" hidden="1" customWidth="1"/>
    <col min="12034" max="12034" width="27.5546875" style="44" bestFit="1" customWidth="1"/>
    <col min="12035" max="12035" width="20.21875" style="44" customWidth="1"/>
    <col min="12036" max="12036" width="21.77734375" style="44" customWidth="1"/>
    <col min="12037" max="12037" width="18.77734375" style="44" customWidth="1"/>
    <col min="12038" max="12038" width="21.44140625" style="44" customWidth="1"/>
    <col min="12039" max="12039" width="26.5546875" style="44" customWidth="1"/>
    <col min="12040" max="12288" width="9.21875" style="44"/>
    <col min="12289" max="12289" width="0" style="44" hidden="1" customWidth="1"/>
    <col min="12290" max="12290" width="27.5546875" style="44" bestFit="1" customWidth="1"/>
    <col min="12291" max="12291" width="20.21875" style="44" customWidth="1"/>
    <col min="12292" max="12292" width="21.77734375" style="44" customWidth="1"/>
    <col min="12293" max="12293" width="18.77734375" style="44" customWidth="1"/>
    <col min="12294" max="12294" width="21.44140625" style="44" customWidth="1"/>
    <col min="12295" max="12295" width="26.5546875" style="44" customWidth="1"/>
    <col min="12296" max="12544" width="9.21875" style="44"/>
    <col min="12545" max="12545" width="0" style="44" hidden="1" customWidth="1"/>
    <col min="12546" max="12546" width="27.5546875" style="44" bestFit="1" customWidth="1"/>
    <col min="12547" max="12547" width="20.21875" style="44" customWidth="1"/>
    <col min="12548" max="12548" width="21.77734375" style="44" customWidth="1"/>
    <col min="12549" max="12549" width="18.77734375" style="44" customWidth="1"/>
    <col min="12550" max="12550" width="21.44140625" style="44" customWidth="1"/>
    <col min="12551" max="12551" width="26.5546875" style="44" customWidth="1"/>
    <col min="12552" max="12800" width="9.21875" style="44"/>
    <col min="12801" max="12801" width="0" style="44" hidden="1" customWidth="1"/>
    <col min="12802" max="12802" width="27.5546875" style="44" bestFit="1" customWidth="1"/>
    <col min="12803" max="12803" width="20.21875" style="44" customWidth="1"/>
    <col min="12804" max="12804" width="21.77734375" style="44" customWidth="1"/>
    <col min="12805" max="12805" width="18.77734375" style="44" customWidth="1"/>
    <col min="12806" max="12806" width="21.44140625" style="44" customWidth="1"/>
    <col min="12807" max="12807" width="26.5546875" style="44" customWidth="1"/>
    <col min="12808" max="13056" width="9.21875" style="44"/>
    <col min="13057" max="13057" width="0" style="44" hidden="1" customWidth="1"/>
    <col min="13058" max="13058" width="27.5546875" style="44" bestFit="1" customWidth="1"/>
    <col min="13059" max="13059" width="20.21875" style="44" customWidth="1"/>
    <col min="13060" max="13060" width="21.77734375" style="44" customWidth="1"/>
    <col min="13061" max="13061" width="18.77734375" style="44" customWidth="1"/>
    <col min="13062" max="13062" width="21.44140625" style="44" customWidth="1"/>
    <col min="13063" max="13063" width="26.5546875" style="44" customWidth="1"/>
    <col min="13064" max="13312" width="9.21875" style="44"/>
    <col min="13313" max="13313" width="0" style="44" hidden="1" customWidth="1"/>
    <col min="13314" max="13314" width="27.5546875" style="44" bestFit="1" customWidth="1"/>
    <col min="13315" max="13315" width="20.21875" style="44" customWidth="1"/>
    <col min="13316" max="13316" width="21.77734375" style="44" customWidth="1"/>
    <col min="13317" max="13317" width="18.77734375" style="44" customWidth="1"/>
    <col min="13318" max="13318" width="21.44140625" style="44" customWidth="1"/>
    <col min="13319" max="13319" width="26.5546875" style="44" customWidth="1"/>
    <col min="13320" max="13568" width="9.21875" style="44"/>
    <col min="13569" max="13569" width="0" style="44" hidden="1" customWidth="1"/>
    <col min="13570" max="13570" width="27.5546875" style="44" bestFit="1" customWidth="1"/>
    <col min="13571" max="13571" width="20.21875" style="44" customWidth="1"/>
    <col min="13572" max="13572" width="21.77734375" style="44" customWidth="1"/>
    <col min="13573" max="13573" width="18.77734375" style="44" customWidth="1"/>
    <col min="13574" max="13574" width="21.44140625" style="44" customWidth="1"/>
    <col min="13575" max="13575" width="26.5546875" style="44" customWidth="1"/>
    <col min="13576" max="13824" width="9.21875" style="44"/>
    <col min="13825" max="13825" width="0" style="44" hidden="1" customWidth="1"/>
    <col min="13826" max="13826" width="27.5546875" style="44" bestFit="1" customWidth="1"/>
    <col min="13827" max="13827" width="20.21875" style="44" customWidth="1"/>
    <col min="13828" max="13828" width="21.77734375" style="44" customWidth="1"/>
    <col min="13829" max="13829" width="18.77734375" style="44" customWidth="1"/>
    <col min="13830" max="13830" width="21.44140625" style="44" customWidth="1"/>
    <col min="13831" max="13831" width="26.5546875" style="44" customWidth="1"/>
    <col min="13832" max="14080" width="9.21875" style="44"/>
    <col min="14081" max="14081" width="0" style="44" hidden="1" customWidth="1"/>
    <col min="14082" max="14082" width="27.5546875" style="44" bestFit="1" customWidth="1"/>
    <col min="14083" max="14083" width="20.21875" style="44" customWidth="1"/>
    <col min="14084" max="14084" width="21.77734375" style="44" customWidth="1"/>
    <col min="14085" max="14085" width="18.77734375" style="44" customWidth="1"/>
    <col min="14086" max="14086" width="21.44140625" style="44" customWidth="1"/>
    <col min="14087" max="14087" width="26.5546875" style="44" customWidth="1"/>
    <col min="14088" max="14336" width="9.21875" style="44"/>
    <col min="14337" max="14337" width="0" style="44" hidden="1" customWidth="1"/>
    <col min="14338" max="14338" width="27.5546875" style="44" bestFit="1" customWidth="1"/>
    <col min="14339" max="14339" width="20.21875" style="44" customWidth="1"/>
    <col min="14340" max="14340" width="21.77734375" style="44" customWidth="1"/>
    <col min="14341" max="14341" width="18.77734375" style="44" customWidth="1"/>
    <col min="14342" max="14342" width="21.44140625" style="44" customWidth="1"/>
    <col min="14343" max="14343" width="26.5546875" style="44" customWidth="1"/>
    <col min="14344" max="14592" width="9.21875" style="44"/>
    <col min="14593" max="14593" width="0" style="44" hidden="1" customWidth="1"/>
    <col min="14594" max="14594" width="27.5546875" style="44" bestFit="1" customWidth="1"/>
    <col min="14595" max="14595" width="20.21875" style="44" customWidth="1"/>
    <col min="14596" max="14596" width="21.77734375" style="44" customWidth="1"/>
    <col min="14597" max="14597" width="18.77734375" style="44" customWidth="1"/>
    <col min="14598" max="14598" width="21.44140625" style="44" customWidth="1"/>
    <col min="14599" max="14599" width="26.5546875" style="44" customWidth="1"/>
    <col min="14600" max="14848" width="9.21875" style="44"/>
    <col min="14849" max="14849" width="0" style="44" hidden="1" customWidth="1"/>
    <col min="14850" max="14850" width="27.5546875" style="44" bestFit="1" customWidth="1"/>
    <col min="14851" max="14851" width="20.21875" style="44" customWidth="1"/>
    <col min="14852" max="14852" width="21.77734375" style="44" customWidth="1"/>
    <col min="14853" max="14853" width="18.77734375" style="44" customWidth="1"/>
    <col min="14854" max="14854" width="21.44140625" style="44" customWidth="1"/>
    <col min="14855" max="14855" width="26.5546875" style="44" customWidth="1"/>
    <col min="14856" max="15104" width="9.21875" style="44"/>
    <col min="15105" max="15105" width="0" style="44" hidden="1" customWidth="1"/>
    <col min="15106" max="15106" width="27.5546875" style="44" bestFit="1" customWidth="1"/>
    <col min="15107" max="15107" width="20.21875" style="44" customWidth="1"/>
    <col min="15108" max="15108" width="21.77734375" style="44" customWidth="1"/>
    <col min="15109" max="15109" width="18.77734375" style="44" customWidth="1"/>
    <col min="15110" max="15110" width="21.44140625" style="44" customWidth="1"/>
    <col min="15111" max="15111" width="26.5546875" style="44" customWidth="1"/>
    <col min="15112" max="15360" width="9.21875" style="44"/>
    <col min="15361" max="15361" width="0" style="44" hidden="1" customWidth="1"/>
    <col min="15362" max="15362" width="27.5546875" style="44" bestFit="1" customWidth="1"/>
    <col min="15363" max="15363" width="20.21875" style="44" customWidth="1"/>
    <col min="15364" max="15364" width="21.77734375" style="44" customWidth="1"/>
    <col min="15365" max="15365" width="18.77734375" style="44" customWidth="1"/>
    <col min="15366" max="15366" width="21.44140625" style="44" customWidth="1"/>
    <col min="15367" max="15367" width="26.5546875" style="44" customWidth="1"/>
    <col min="15368" max="15616" width="9.21875" style="44"/>
    <col min="15617" max="15617" width="0" style="44" hidden="1" customWidth="1"/>
    <col min="15618" max="15618" width="27.5546875" style="44" bestFit="1" customWidth="1"/>
    <col min="15619" max="15619" width="20.21875" style="44" customWidth="1"/>
    <col min="15620" max="15620" width="21.77734375" style="44" customWidth="1"/>
    <col min="15621" max="15621" width="18.77734375" style="44" customWidth="1"/>
    <col min="15622" max="15622" width="21.44140625" style="44" customWidth="1"/>
    <col min="15623" max="15623" width="26.5546875" style="44" customWidth="1"/>
    <col min="15624" max="15872" width="9.21875" style="44"/>
    <col min="15873" max="15873" width="0" style="44" hidden="1" customWidth="1"/>
    <col min="15874" max="15874" width="27.5546875" style="44" bestFit="1" customWidth="1"/>
    <col min="15875" max="15875" width="20.21875" style="44" customWidth="1"/>
    <col min="15876" max="15876" width="21.77734375" style="44" customWidth="1"/>
    <col min="15877" max="15877" width="18.77734375" style="44" customWidth="1"/>
    <col min="15878" max="15878" width="21.44140625" style="44" customWidth="1"/>
    <col min="15879" max="15879" width="26.5546875" style="44" customWidth="1"/>
    <col min="15880" max="16128" width="9.21875" style="44"/>
    <col min="16129" max="16129" width="0" style="44" hidden="1" customWidth="1"/>
    <col min="16130" max="16130" width="27.5546875" style="44" bestFit="1" customWidth="1"/>
    <col min="16131" max="16131" width="20.21875" style="44" customWidth="1"/>
    <col min="16132" max="16132" width="21.77734375" style="44" customWidth="1"/>
    <col min="16133" max="16133" width="18.77734375" style="44" customWidth="1"/>
    <col min="16134" max="16134" width="21.44140625" style="44" customWidth="1"/>
    <col min="16135" max="16135" width="26.5546875" style="44" customWidth="1"/>
    <col min="16136" max="16384" width="9.21875" style="44"/>
  </cols>
  <sheetData>
    <row r="1" spans="1:13" s="22" customFormat="1" ht="41.25" customHeight="1" x14ac:dyDescent="0.3">
      <c r="B1" s="181" t="s">
        <v>58</v>
      </c>
      <c r="C1" s="182"/>
      <c r="D1" s="182"/>
      <c r="E1" s="182"/>
      <c r="F1" s="182"/>
      <c r="G1" s="183"/>
    </row>
    <row r="2" spans="1:13" s="23" customFormat="1" ht="28.5" customHeight="1" x14ac:dyDescent="0.3">
      <c r="C2" s="24" t="s">
        <v>1</v>
      </c>
      <c r="D2" s="24" t="s">
        <v>59</v>
      </c>
      <c r="E2" s="24" t="s">
        <v>60</v>
      </c>
      <c r="F2" s="24" t="s">
        <v>61</v>
      </c>
      <c r="G2" s="25" t="s">
        <v>5</v>
      </c>
    </row>
    <row r="3" spans="1:13" s="23" customFormat="1" ht="28.5" customHeight="1" x14ac:dyDescent="0.3">
      <c r="B3" s="26" t="s">
        <v>0</v>
      </c>
      <c r="C3" s="27">
        <v>1413</v>
      </c>
      <c r="D3" s="27">
        <v>1571</v>
      </c>
      <c r="E3" s="27">
        <v>195</v>
      </c>
      <c r="F3" s="27">
        <v>1034</v>
      </c>
      <c r="G3" s="27">
        <v>4213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26" t="s">
        <v>62</v>
      </c>
      <c r="C4" s="31">
        <v>815</v>
      </c>
      <c r="D4" s="31">
        <v>1513</v>
      </c>
      <c r="E4" s="31">
        <v>147</v>
      </c>
      <c r="F4" s="31">
        <v>715</v>
      </c>
      <c r="G4" s="27">
        <v>3190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33" t="s">
        <v>10</v>
      </c>
      <c r="C5" s="34">
        <v>30</v>
      </c>
      <c r="D5" s="34">
        <v>14</v>
      </c>
      <c r="E5" s="34">
        <v>0</v>
      </c>
      <c r="F5" s="34">
        <v>21</v>
      </c>
      <c r="G5" s="27">
        <v>65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33" t="s">
        <v>11</v>
      </c>
      <c r="C6" s="34">
        <v>17</v>
      </c>
      <c r="D6" s="34">
        <v>22</v>
      </c>
      <c r="E6" s="34">
        <v>3</v>
      </c>
      <c r="F6" s="34">
        <v>19</v>
      </c>
      <c r="G6" s="27">
        <v>61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33" t="s">
        <v>12</v>
      </c>
      <c r="C7" s="34">
        <v>16</v>
      </c>
      <c r="D7" s="34">
        <v>14</v>
      </c>
      <c r="E7" s="34">
        <v>7</v>
      </c>
      <c r="F7" s="34">
        <v>15</v>
      </c>
      <c r="G7" s="27">
        <v>52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33" t="s">
        <v>13</v>
      </c>
      <c r="C8" s="34">
        <v>21</v>
      </c>
      <c r="D8" s="34">
        <v>34</v>
      </c>
      <c r="E8" s="34">
        <v>0</v>
      </c>
      <c r="F8" s="34">
        <v>23</v>
      </c>
      <c r="G8" s="27">
        <v>78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33" t="s">
        <v>14</v>
      </c>
      <c r="C9" s="34">
        <v>19</v>
      </c>
      <c r="D9" s="34">
        <v>62</v>
      </c>
      <c r="E9" s="34">
        <v>3</v>
      </c>
      <c r="F9" s="34">
        <v>10</v>
      </c>
      <c r="G9" s="27">
        <v>94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33" t="s">
        <v>15</v>
      </c>
      <c r="C10" s="34">
        <v>31</v>
      </c>
      <c r="D10" s="34">
        <v>38</v>
      </c>
      <c r="E10" s="34">
        <v>23</v>
      </c>
      <c r="F10" s="34">
        <v>35</v>
      </c>
      <c r="G10" s="27">
        <v>127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33" t="s">
        <v>16</v>
      </c>
      <c r="C11" s="34">
        <v>26</v>
      </c>
      <c r="D11" s="34">
        <v>9</v>
      </c>
      <c r="E11" s="34">
        <v>1</v>
      </c>
      <c r="F11" s="34">
        <v>18</v>
      </c>
      <c r="G11" s="27">
        <v>54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33" t="s">
        <v>17</v>
      </c>
      <c r="C12" s="34">
        <v>8</v>
      </c>
      <c r="D12" s="34">
        <v>27</v>
      </c>
      <c r="E12" s="34">
        <v>5</v>
      </c>
      <c r="F12" s="34">
        <v>31</v>
      </c>
      <c r="G12" s="27">
        <v>71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33" t="s">
        <v>18</v>
      </c>
      <c r="C13" s="34">
        <v>13</v>
      </c>
      <c r="D13" s="34">
        <v>50</v>
      </c>
      <c r="E13" s="34">
        <v>0</v>
      </c>
      <c r="F13" s="34">
        <v>9</v>
      </c>
      <c r="G13" s="27">
        <v>72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33" t="s">
        <v>19</v>
      </c>
      <c r="C14" s="34">
        <v>17</v>
      </c>
      <c r="D14" s="34">
        <v>42</v>
      </c>
      <c r="E14" s="34">
        <v>2</v>
      </c>
      <c r="F14" s="34">
        <v>10</v>
      </c>
      <c r="G14" s="27">
        <v>71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35" t="s">
        <v>63</v>
      </c>
      <c r="C15" s="34">
        <v>21</v>
      </c>
      <c r="D15" s="34">
        <v>159</v>
      </c>
      <c r="E15" s="34">
        <v>3</v>
      </c>
      <c r="F15" s="34">
        <v>28</v>
      </c>
      <c r="G15" s="27">
        <v>211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33" t="s">
        <v>105</v>
      </c>
      <c r="C16" s="34">
        <f>C62+C63</f>
        <v>19</v>
      </c>
      <c r="D16" s="34">
        <f t="shared" ref="D16:G16" si="0">D62+D63</f>
        <v>53</v>
      </c>
      <c r="E16" s="34">
        <f t="shared" si="0"/>
        <v>7</v>
      </c>
      <c r="F16" s="34">
        <f t="shared" si="0"/>
        <v>25</v>
      </c>
      <c r="G16" s="34">
        <f t="shared" si="0"/>
        <v>104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33" t="s">
        <v>22</v>
      </c>
      <c r="C17" s="34">
        <v>15</v>
      </c>
      <c r="D17" s="34">
        <v>21</v>
      </c>
      <c r="E17" s="34">
        <v>0</v>
      </c>
      <c r="F17" s="34">
        <v>2</v>
      </c>
      <c r="G17" s="27">
        <v>38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33" t="s">
        <v>23</v>
      </c>
      <c r="C18" s="34">
        <v>21</v>
      </c>
      <c r="D18" s="34">
        <v>29</v>
      </c>
      <c r="E18" s="34">
        <v>13</v>
      </c>
      <c r="F18" s="34">
        <v>21</v>
      </c>
      <c r="G18" s="27">
        <v>84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33" t="s">
        <v>24</v>
      </c>
      <c r="C19" s="34">
        <v>28</v>
      </c>
      <c r="D19" s="34">
        <v>51</v>
      </c>
      <c r="E19" s="34">
        <v>7</v>
      </c>
      <c r="F19" s="34">
        <v>51</v>
      </c>
      <c r="G19" s="27">
        <v>137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33" t="s">
        <v>25</v>
      </c>
      <c r="C20" s="34">
        <v>7</v>
      </c>
      <c r="D20" s="34">
        <v>30</v>
      </c>
      <c r="E20" s="34">
        <v>0</v>
      </c>
      <c r="F20" s="34">
        <v>4</v>
      </c>
      <c r="G20" s="27">
        <v>41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33" t="s">
        <v>28</v>
      </c>
      <c r="C21" s="34">
        <v>54</v>
      </c>
      <c r="D21" s="34">
        <v>126</v>
      </c>
      <c r="E21" s="34">
        <v>2</v>
      </c>
      <c r="F21" s="34">
        <v>54</v>
      </c>
      <c r="G21" s="27">
        <v>236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33" t="s">
        <v>64</v>
      </c>
      <c r="C22" s="34">
        <v>11</v>
      </c>
      <c r="D22" s="34">
        <v>49</v>
      </c>
      <c r="E22" s="34">
        <v>2</v>
      </c>
      <c r="F22" s="34">
        <v>20</v>
      </c>
      <c r="G22" s="27">
        <v>82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33" t="s">
        <v>30</v>
      </c>
      <c r="C23" s="34">
        <v>40</v>
      </c>
      <c r="D23" s="34">
        <v>17</v>
      </c>
      <c r="E23" s="34">
        <v>0</v>
      </c>
      <c r="F23" s="34">
        <v>16</v>
      </c>
      <c r="G23" s="27">
        <v>73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33" t="s">
        <v>31</v>
      </c>
      <c r="C24" s="34">
        <v>30</v>
      </c>
      <c r="D24" s="34">
        <v>23</v>
      </c>
      <c r="E24" s="34">
        <v>4</v>
      </c>
      <c r="F24" s="34">
        <v>45</v>
      </c>
      <c r="G24" s="27">
        <v>102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33" t="s">
        <v>65</v>
      </c>
      <c r="C25" s="34">
        <v>6</v>
      </c>
      <c r="D25" s="34">
        <v>14</v>
      </c>
      <c r="E25" s="34">
        <v>0</v>
      </c>
      <c r="F25" s="34">
        <v>2</v>
      </c>
      <c r="G25" s="27">
        <v>22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33" t="s">
        <v>34</v>
      </c>
      <c r="C26" s="34">
        <v>53</v>
      </c>
      <c r="D26" s="34">
        <v>79</v>
      </c>
      <c r="E26" s="34">
        <v>1</v>
      </c>
      <c r="F26" s="34">
        <v>26</v>
      </c>
      <c r="G26" s="27">
        <v>159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33" t="s">
        <v>35</v>
      </c>
      <c r="C27" s="34">
        <v>46</v>
      </c>
      <c r="D27" s="34">
        <v>43</v>
      </c>
      <c r="E27" s="34">
        <v>34</v>
      </c>
      <c r="F27" s="34">
        <v>45</v>
      </c>
      <c r="G27" s="27">
        <v>168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33" t="s">
        <v>36</v>
      </c>
      <c r="C28" s="34">
        <v>35</v>
      </c>
      <c r="D28" s="34">
        <v>42</v>
      </c>
      <c r="E28" s="34">
        <v>1</v>
      </c>
      <c r="F28" s="34">
        <v>13</v>
      </c>
      <c r="G28" s="27">
        <v>91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33" t="s">
        <v>37</v>
      </c>
      <c r="C29" s="34">
        <v>12</v>
      </c>
      <c r="D29" s="34">
        <v>54</v>
      </c>
      <c r="E29" s="34">
        <v>3</v>
      </c>
      <c r="F29" s="34">
        <v>7</v>
      </c>
      <c r="G29" s="27">
        <v>76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33" t="s">
        <v>39</v>
      </c>
      <c r="C30" s="34">
        <v>16</v>
      </c>
      <c r="D30" s="34">
        <v>37</v>
      </c>
      <c r="E30" s="34">
        <v>3</v>
      </c>
      <c r="F30" s="34">
        <v>13</v>
      </c>
      <c r="G30" s="27">
        <v>69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80" t="s">
        <v>40</v>
      </c>
      <c r="C31" s="81"/>
      <c r="D31" s="81"/>
      <c r="E31" s="81">
        <v>2</v>
      </c>
      <c r="F31" s="81">
        <v>1</v>
      </c>
      <c r="G31" s="82">
        <v>3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33" t="s">
        <v>41</v>
      </c>
      <c r="C32" s="34">
        <v>6</v>
      </c>
      <c r="D32" s="34">
        <v>42</v>
      </c>
      <c r="E32" s="34">
        <v>2</v>
      </c>
      <c r="F32" s="34">
        <v>7</v>
      </c>
      <c r="G32" s="27">
        <v>57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33" t="s">
        <v>42</v>
      </c>
      <c r="C33" s="34">
        <v>16</v>
      </c>
      <c r="D33" s="34">
        <v>20</v>
      </c>
      <c r="E33" s="34">
        <v>2</v>
      </c>
      <c r="F33" s="34">
        <v>6</v>
      </c>
      <c r="G33" s="27">
        <v>44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33" t="s">
        <v>43</v>
      </c>
      <c r="C34" s="34">
        <v>12</v>
      </c>
      <c r="D34" s="34">
        <v>31</v>
      </c>
      <c r="E34" s="34">
        <v>0</v>
      </c>
      <c r="F34" s="34">
        <v>8</v>
      </c>
      <c r="G34" s="27">
        <v>51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33" t="s">
        <v>44</v>
      </c>
      <c r="C35" s="34">
        <v>16</v>
      </c>
      <c r="D35" s="34">
        <v>19</v>
      </c>
      <c r="E35" s="34">
        <v>2</v>
      </c>
      <c r="F35" s="34">
        <v>24</v>
      </c>
      <c r="G35" s="27">
        <v>61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33" t="s">
        <v>45</v>
      </c>
      <c r="C36" s="34">
        <v>20</v>
      </c>
      <c r="D36" s="34">
        <v>50</v>
      </c>
      <c r="E36" s="34">
        <v>9</v>
      </c>
      <c r="F36" s="34">
        <v>13</v>
      </c>
      <c r="G36" s="27">
        <v>92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33" t="s">
        <v>46</v>
      </c>
      <c r="C37" s="34">
        <v>9</v>
      </c>
      <c r="D37" s="34">
        <v>26</v>
      </c>
      <c r="E37" s="34">
        <v>1</v>
      </c>
      <c r="F37" s="34">
        <v>12</v>
      </c>
      <c r="G37" s="27">
        <v>48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33" t="s">
        <v>48</v>
      </c>
      <c r="C38" s="34">
        <v>16</v>
      </c>
      <c r="D38" s="34">
        <v>63</v>
      </c>
      <c r="E38" s="34">
        <v>0</v>
      </c>
      <c r="F38" s="34">
        <v>31</v>
      </c>
      <c r="G38" s="27">
        <v>110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33" t="s">
        <v>49</v>
      </c>
      <c r="C39" s="34">
        <v>37</v>
      </c>
      <c r="D39" s="34">
        <v>29</v>
      </c>
      <c r="E39" s="34">
        <v>0</v>
      </c>
      <c r="F39" s="34">
        <v>19</v>
      </c>
      <c r="G39" s="27">
        <v>85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33" t="s">
        <v>50</v>
      </c>
      <c r="C40" s="34">
        <v>29</v>
      </c>
      <c r="D40" s="34">
        <v>5</v>
      </c>
      <c r="E40" s="34">
        <v>2</v>
      </c>
      <c r="F40" s="34">
        <v>16</v>
      </c>
      <c r="G40" s="27">
        <v>52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33" t="s">
        <v>52</v>
      </c>
      <c r="C41" s="34">
        <v>24</v>
      </c>
      <c r="D41" s="34">
        <v>29</v>
      </c>
      <c r="E41" s="34">
        <v>3</v>
      </c>
      <c r="F41" s="34">
        <v>8</v>
      </c>
      <c r="G41" s="27">
        <v>64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33" t="s">
        <v>54</v>
      </c>
      <c r="C42" s="34">
        <v>16</v>
      </c>
      <c r="D42" s="34">
        <v>55</v>
      </c>
      <c r="E42" s="34">
        <v>0</v>
      </c>
      <c r="F42" s="34">
        <v>7</v>
      </c>
      <c r="G42" s="27">
        <v>78</v>
      </c>
      <c r="H42" s="36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33" t="s">
        <v>33</v>
      </c>
      <c r="C43" s="34">
        <v>2</v>
      </c>
      <c r="D43" s="34">
        <v>5</v>
      </c>
      <c r="E43" s="34">
        <v>0</v>
      </c>
      <c r="F43" s="34">
        <v>0</v>
      </c>
      <c r="G43" s="27">
        <v>7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26" t="s">
        <v>66</v>
      </c>
      <c r="C44" s="31">
        <v>598</v>
      </c>
      <c r="D44" s="31">
        <v>58</v>
      </c>
      <c r="E44" s="31">
        <v>48</v>
      </c>
      <c r="F44" s="31">
        <v>319</v>
      </c>
      <c r="G44" s="27">
        <v>1023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33" t="s">
        <v>27</v>
      </c>
      <c r="C45" s="34">
        <v>83</v>
      </c>
      <c r="D45" s="37">
        <v>9</v>
      </c>
      <c r="E45" s="37">
        <v>22</v>
      </c>
      <c r="F45" s="37">
        <v>108</v>
      </c>
      <c r="G45" s="27">
        <v>222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33" t="s">
        <v>38</v>
      </c>
      <c r="C46" s="34">
        <v>49</v>
      </c>
      <c r="D46" s="37">
        <v>4</v>
      </c>
      <c r="E46" s="37">
        <v>1</v>
      </c>
      <c r="F46" s="37">
        <v>36</v>
      </c>
      <c r="G46" s="27">
        <v>90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33" t="s">
        <v>47</v>
      </c>
      <c r="C47" s="34">
        <v>46</v>
      </c>
      <c r="D47" s="37">
        <v>5</v>
      </c>
      <c r="E47" s="37">
        <v>1</v>
      </c>
      <c r="F47" s="37">
        <v>26</v>
      </c>
      <c r="G47" s="27">
        <v>78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33" t="s">
        <v>67</v>
      </c>
      <c r="C48" s="34">
        <v>58</v>
      </c>
      <c r="D48" s="37">
        <v>3</v>
      </c>
      <c r="E48" s="37">
        <v>2</v>
      </c>
      <c r="F48" s="37">
        <v>30</v>
      </c>
      <c r="G48" s="27">
        <v>93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33" t="s">
        <v>53</v>
      </c>
      <c r="C49" s="34">
        <v>73</v>
      </c>
      <c r="D49" s="37">
        <v>0</v>
      </c>
      <c r="E49" s="37">
        <v>7</v>
      </c>
      <c r="F49" s="37">
        <v>40</v>
      </c>
      <c r="G49" s="27">
        <v>120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33" t="s">
        <v>55</v>
      </c>
      <c r="C50" s="34">
        <v>58</v>
      </c>
      <c r="D50" s="37">
        <v>37</v>
      </c>
      <c r="E50" s="37">
        <v>9</v>
      </c>
      <c r="F50" s="37">
        <v>17</v>
      </c>
      <c r="G50" s="27">
        <v>121</v>
      </c>
      <c r="I50" s="29"/>
      <c r="J50" s="29"/>
      <c r="K50" s="29"/>
      <c r="L50" s="29"/>
      <c r="M50" s="29"/>
    </row>
    <row r="51" spans="1:13" s="42" customFormat="1" ht="12.75" customHeight="1" x14ac:dyDescent="0.3">
      <c r="A51" s="32">
        <v>77</v>
      </c>
      <c r="B51" s="38" t="s">
        <v>26</v>
      </c>
      <c r="C51" s="39">
        <v>231</v>
      </c>
      <c r="D51" s="39">
        <v>0</v>
      </c>
      <c r="E51" s="40">
        <v>6</v>
      </c>
      <c r="F51" s="40">
        <v>62</v>
      </c>
      <c r="G51" s="41">
        <v>299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43"/>
      <c r="D52" s="43"/>
      <c r="E52" s="43"/>
      <c r="F52" s="43"/>
      <c r="G52" s="43"/>
      <c r="I52" s="44"/>
    </row>
    <row r="53" spans="1:13" s="33" customFormat="1" ht="13.5" customHeight="1" x14ac:dyDescent="0.3">
      <c r="A53" s="32"/>
      <c r="B53" s="33" t="s">
        <v>68</v>
      </c>
      <c r="H53" s="44"/>
      <c r="I53" s="44"/>
    </row>
    <row r="54" spans="1:13" s="33" customFormat="1" ht="13.5" customHeight="1" x14ac:dyDescent="0.3">
      <c r="A54" s="32"/>
      <c r="H54" s="44"/>
      <c r="I54" s="44"/>
    </row>
    <row r="55" spans="1:13" s="33" customFormat="1" x14ac:dyDescent="0.3">
      <c r="A55" s="32"/>
      <c r="B55" s="45" t="s">
        <v>69</v>
      </c>
      <c r="H55" s="44"/>
      <c r="I55" s="44"/>
    </row>
    <row r="56" spans="1:13" x14ac:dyDescent="0.3">
      <c r="A56" s="32"/>
      <c r="F56" s="46"/>
      <c r="G56" s="46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7"/>
    </row>
    <row r="62" spans="1:13" ht="13.8" x14ac:dyDescent="0.3">
      <c r="B62" s="33" t="s">
        <v>21</v>
      </c>
      <c r="C62" s="34">
        <v>13</v>
      </c>
      <c r="D62" s="34">
        <v>19</v>
      </c>
      <c r="E62" s="34">
        <v>5</v>
      </c>
      <c r="F62" s="34">
        <v>17</v>
      </c>
      <c r="G62" s="27">
        <v>54</v>
      </c>
    </row>
    <row r="63" spans="1:13" ht="13.8" x14ac:dyDescent="0.3">
      <c r="B63" s="33" t="s">
        <v>56</v>
      </c>
      <c r="C63" s="34">
        <v>6</v>
      </c>
      <c r="D63" s="34">
        <v>34</v>
      </c>
      <c r="E63" s="34">
        <v>2</v>
      </c>
      <c r="F63" s="34">
        <v>8</v>
      </c>
      <c r="G63" s="27">
        <v>50</v>
      </c>
    </row>
  </sheetData>
  <mergeCells count="1">
    <mergeCell ref="B1:G1"/>
  </mergeCells>
  <printOptions horizontalCentered="1" verticalCentered="1"/>
  <pageMargins left="0.2" right="0.34" top="0.32" bottom="0.25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63"/>
  <sheetViews>
    <sheetView topLeftCell="B1" workbookViewId="0">
      <selection activeCell="C3" sqref="C3"/>
    </sheetView>
  </sheetViews>
  <sheetFormatPr defaultRowHeight="13.2" x14ac:dyDescent="0.3"/>
  <cols>
    <col min="1" max="1" width="3.5546875" style="44" hidden="1" customWidth="1"/>
    <col min="2" max="2" width="27.5546875" style="44" bestFit="1" customWidth="1"/>
    <col min="3" max="3" width="20.21875" style="44" customWidth="1"/>
    <col min="4" max="4" width="21.77734375" style="44" customWidth="1"/>
    <col min="5" max="5" width="18.77734375" style="44" customWidth="1"/>
    <col min="6" max="6" width="21.44140625" style="44" customWidth="1"/>
    <col min="7" max="7" width="26.5546875" style="44" customWidth="1"/>
    <col min="8" max="256" width="9.21875" style="44"/>
    <col min="257" max="257" width="0" style="44" hidden="1" customWidth="1"/>
    <col min="258" max="258" width="27.5546875" style="44" bestFit="1" customWidth="1"/>
    <col min="259" max="259" width="20.21875" style="44" customWidth="1"/>
    <col min="260" max="260" width="21.77734375" style="44" customWidth="1"/>
    <col min="261" max="261" width="18.77734375" style="44" customWidth="1"/>
    <col min="262" max="262" width="21.44140625" style="44" customWidth="1"/>
    <col min="263" max="263" width="26.5546875" style="44" customWidth="1"/>
    <col min="264" max="512" width="9.21875" style="44"/>
    <col min="513" max="513" width="0" style="44" hidden="1" customWidth="1"/>
    <col min="514" max="514" width="27.5546875" style="44" bestFit="1" customWidth="1"/>
    <col min="515" max="515" width="20.21875" style="44" customWidth="1"/>
    <col min="516" max="516" width="21.77734375" style="44" customWidth="1"/>
    <col min="517" max="517" width="18.77734375" style="44" customWidth="1"/>
    <col min="518" max="518" width="21.44140625" style="44" customWidth="1"/>
    <col min="519" max="519" width="26.5546875" style="44" customWidth="1"/>
    <col min="520" max="768" width="9.21875" style="44"/>
    <col min="769" max="769" width="0" style="44" hidden="1" customWidth="1"/>
    <col min="770" max="770" width="27.5546875" style="44" bestFit="1" customWidth="1"/>
    <col min="771" max="771" width="20.21875" style="44" customWidth="1"/>
    <col min="772" max="772" width="21.77734375" style="44" customWidth="1"/>
    <col min="773" max="773" width="18.77734375" style="44" customWidth="1"/>
    <col min="774" max="774" width="21.44140625" style="44" customWidth="1"/>
    <col min="775" max="775" width="26.5546875" style="44" customWidth="1"/>
    <col min="776" max="1024" width="9.21875" style="44"/>
    <col min="1025" max="1025" width="0" style="44" hidden="1" customWidth="1"/>
    <col min="1026" max="1026" width="27.5546875" style="44" bestFit="1" customWidth="1"/>
    <col min="1027" max="1027" width="20.21875" style="44" customWidth="1"/>
    <col min="1028" max="1028" width="21.77734375" style="44" customWidth="1"/>
    <col min="1029" max="1029" width="18.77734375" style="44" customWidth="1"/>
    <col min="1030" max="1030" width="21.44140625" style="44" customWidth="1"/>
    <col min="1031" max="1031" width="26.5546875" style="44" customWidth="1"/>
    <col min="1032" max="1280" width="9.21875" style="44"/>
    <col min="1281" max="1281" width="0" style="44" hidden="1" customWidth="1"/>
    <col min="1282" max="1282" width="27.5546875" style="44" bestFit="1" customWidth="1"/>
    <col min="1283" max="1283" width="20.21875" style="44" customWidth="1"/>
    <col min="1284" max="1284" width="21.77734375" style="44" customWidth="1"/>
    <col min="1285" max="1285" width="18.77734375" style="44" customWidth="1"/>
    <col min="1286" max="1286" width="21.44140625" style="44" customWidth="1"/>
    <col min="1287" max="1287" width="26.5546875" style="44" customWidth="1"/>
    <col min="1288" max="1536" width="9.21875" style="44"/>
    <col min="1537" max="1537" width="0" style="44" hidden="1" customWidth="1"/>
    <col min="1538" max="1538" width="27.5546875" style="44" bestFit="1" customWidth="1"/>
    <col min="1539" max="1539" width="20.21875" style="44" customWidth="1"/>
    <col min="1540" max="1540" width="21.77734375" style="44" customWidth="1"/>
    <col min="1541" max="1541" width="18.77734375" style="44" customWidth="1"/>
    <col min="1542" max="1542" width="21.44140625" style="44" customWidth="1"/>
    <col min="1543" max="1543" width="26.5546875" style="44" customWidth="1"/>
    <col min="1544" max="1792" width="9.21875" style="44"/>
    <col min="1793" max="1793" width="0" style="44" hidden="1" customWidth="1"/>
    <col min="1794" max="1794" width="27.5546875" style="44" bestFit="1" customWidth="1"/>
    <col min="1795" max="1795" width="20.21875" style="44" customWidth="1"/>
    <col min="1796" max="1796" width="21.77734375" style="44" customWidth="1"/>
    <col min="1797" max="1797" width="18.77734375" style="44" customWidth="1"/>
    <col min="1798" max="1798" width="21.44140625" style="44" customWidth="1"/>
    <col min="1799" max="1799" width="26.5546875" style="44" customWidth="1"/>
    <col min="1800" max="2048" width="9.21875" style="44"/>
    <col min="2049" max="2049" width="0" style="44" hidden="1" customWidth="1"/>
    <col min="2050" max="2050" width="27.5546875" style="44" bestFit="1" customWidth="1"/>
    <col min="2051" max="2051" width="20.21875" style="44" customWidth="1"/>
    <col min="2052" max="2052" width="21.77734375" style="44" customWidth="1"/>
    <col min="2053" max="2053" width="18.77734375" style="44" customWidth="1"/>
    <col min="2054" max="2054" width="21.44140625" style="44" customWidth="1"/>
    <col min="2055" max="2055" width="26.5546875" style="44" customWidth="1"/>
    <col min="2056" max="2304" width="9.21875" style="44"/>
    <col min="2305" max="2305" width="0" style="44" hidden="1" customWidth="1"/>
    <col min="2306" max="2306" width="27.5546875" style="44" bestFit="1" customWidth="1"/>
    <col min="2307" max="2307" width="20.21875" style="44" customWidth="1"/>
    <col min="2308" max="2308" width="21.77734375" style="44" customWidth="1"/>
    <col min="2309" max="2309" width="18.77734375" style="44" customWidth="1"/>
    <col min="2310" max="2310" width="21.44140625" style="44" customWidth="1"/>
    <col min="2311" max="2311" width="26.5546875" style="44" customWidth="1"/>
    <col min="2312" max="2560" width="9.21875" style="44"/>
    <col min="2561" max="2561" width="0" style="44" hidden="1" customWidth="1"/>
    <col min="2562" max="2562" width="27.5546875" style="44" bestFit="1" customWidth="1"/>
    <col min="2563" max="2563" width="20.21875" style="44" customWidth="1"/>
    <col min="2564" max="2564" width="21.77734375" style="44" customWidth="1"/>
    <col min="2565" max="2565" width="18.77734375" style="44" customWidth="1"/>
    <col min="2566" max="2566" width="21.44140625" style="44" customWidth="1"/>
    <col min="2567" max="2567" width="26.5546875" style="44" customWidth="1"/>
    <col min="2568" max="2816" width="9.21875" style="44"/>
    <col min="2817" max="2817" width="0" style="44" hidden="1" customWidth="1"/>
    <col min="2818" max="2818" width="27.5546875" style="44" bestFit="1" customWidth="1"/>
    <col min="2819" max="2819" width="20.21875" style="44" customWidth="1"/>
    <col min="2820" max="2820" width="21.77734375" style="44" customWidth="1"/>
    <col min="2821" max="2821" width="18.77734375" style="44" customWidth="1"/>
    <col min="2822" max="2822" width="21.44140625" style="44" customWidth="1"/>
    <col min="2823" max="2823" width="26.5546875" style="44" customWidth="1"/>
    <col min="2824" max="3072" width="9.21875" style="44"/>
    <col min="3073" max="3073" width="0" style="44" hidden="1" customWidth="1"/>
    <col min="3074" max="3074" width="27.5546875" style="44" bestFit="1" customWidth="1"/>
    <col min="3075" max="3075" width="20.21875" style="44" customWidth="1"/>
    <col min="3076" max="3076" width="21.77734375" style="44" customWidth="1"/>
    <col min="3077" max="3077" width="18.77734375" style="44" customWidth="1"/>
    <col min="3078" max="3078" width="21.44140625" style="44" customWidth="1"/>
    <col min="3079" max="3079" width="26.5546875" style="44" customWidth="1"/>
    <col min="3080" max="3328" width="9.21875" style="44"/>
    <col min="3329" max="3329" width="0" style="44" hidden="1" customWidth="1"/>
    <col min="3330" max="3330" width="27.5546875" style="44" bestFit="1" customWidth="1"/>
    <col min="3331" max="3331" width="20.21875" style="44" customWidth="1"/>
    <col min="3332" max="3332" width="21.77734375" style="44" customWidth="1"/>
    <col min="3333" max="3333" width="18.77734375" style="44" customWidth="1"/>
    <col min="3334" max="3334" width="21.44140625" style="44" customWidth="1"/>
    <col min="3335" max="3335" width="26.5546875" style="44" customWidth="1"/>
    <col min="3336" max="3584" width="9.21875" style="44"/>
    <col min="3585" max="3585" width="0" style="44" hidden="1" customWidth="1"/>
    <col min="3586" max="3586" width="27.5546875" style="44" bestFit="1" customWidth="1"/>
    <col min="3587" max="3587" width="20.21875" style="44" customWidth="1"/>
    <col min="3588" max="3588" width="21.77734375" style="44" customWidth="1"/>
    <col min="3589" max="3589" width="18.77734375" style="44" customWidth="1"/>
    <col min="3590" max="3590" width="21.44140625" style="44" customWidth="1"/>
    <col min="3591" max="3591" width="26.5546875" style="44" customWidth="1"/>
    <col min="3592" max="3840" width="9.21875" style="44"/>
    <col min="3841" max="3841" width="0" style="44" hidden="1" customWidth="1"/>
    <col min="3842" max="3842" width="27.5546875" style="44" bestFit="1" customWidth="1"/>
    <col min="3843" max="3843" width="20.21875" style="44" customWidth="1"/>
    <col min="3844" max="3844" width="21.77734375" style="44" customWidth="1"/>
    <col min="3845" max="3845" width="18.77734375" style="44" customWidth="1"/>
    <col min="3846" max="3846" width="21.44140625" style="44" customWidth="1"/>
    <col min="3847" max="3847" width="26.5546875" style="44" customWidth="1"/>
    <col min="3848" max="4096" width="9.21875" style="44"/>
    <col min="4097" max="4097" width="0" style="44" hidden="1" customWidth="1"/>
    <col min="4098" max="4098" width="27.5546875" style="44" bestFit="1" customWidth="1"/>
    <col min="4099" max="4099" width="20.21875" style="44" customWidth="1"/>
    <col min="4100" max="4100" width="21.77734375" style="44" customWidth="1"/>
    <col min="4101" max="4101" width="18.77734375" style="44" customWidth="1"/>
    <col min="4102" max="4102" width="21.44140625" style="44" customWidth="1"/>
    <col min="4103" max="4103" width="26.5546875" style="44" customWidth="1"/>
    <col min="4104" max="4352" width="9.21875" style="44"/>
    <col min="4353" max="4353" width="0" style="44" hidden="1" customWidth="1"/>
    <col min="4354" max="4354" width="27.5546875" style="44" bestFit="1" customWidth="1"/>
    <col min="4355" max="4355" width="20.21875" style="44" customWidth="1"/>
    <col min="4356" max="4356" width="21.77734375" style="44" customWidth="1"/>
    <col min="4357" max="4357" width="18.77734375" style="44" customWidth="1"/>
    <col min="4358" max="4358" width="21.44140625" style="44" customWidth="1"/>
    <col min="4359" max="4359" width="26.5546875" style="44" customWidth="1"/>
    <col min="4360" max="4608" width="9.21875" style="44"/>
    <col min="4609" max="4609" width="0" style="44" hidden="1" customWidth="1"/>
    <col min="4610" max="4610" width="27.5546875" style="44" bestFit="1" customWidth="1"/>
    <col min="4611" max="4611" width="20.21875" style="44" customWidth="1"/>
    <col min="4612" max="4612" width="21.77734375" style="44" customWidth="1"/>
    <col min="4613" max="4613" width="18.77734375" style="44" customWidth="1"/>
    <col min="4614" max="4614" width="21.44140625" style="44" customWidth="1"/>
    <col min="4615" max="4615" width="26.5546875" style="44" customWidth="1"/>
    <col min="4616" max="4864" width="9.21875" style="44"/>
    <col min="4865" max="4865" width="0" style="44" hidden="1" customWidth="1"/>
    <col min="4866" max="4866" width="27.5546875" style="44" bestFit="1" customWidth="1"/>
    <col min="4867" max="4867" width="20.21875" style="44" customWidth="1"/>
    <col min="4868" max="4868" width="21.77734375" style="44" customWidth="1"/>
    <col min="4869" max="4869" width="18.77734375" style="44" customWidth="1"/>
    <col min="4870" max="4870" width="21.44140625" style="44" customWidth="1"/>
    <col min="4871" max="4871" width="26.5546875" style="44" customWidth="1"/>
    <col min="4872" max="5120" width="9.21875" style="44"/>
    <col min="5121" max="5121" width="0" style="44" hidden="1" customWidth="1"/>
    <col min="5122" max="5122" width="27.5546875" style="44" bestFit="1" customWidth="1"/>
    <col min="5123" max="5123" width="20.21875" style="44" customWidth="1"/>
    <col min="5124" max="5124" width="21.77734375" style="44" customWidth="1"/>
    <col min="5125" max="5125" width="18.77734375" style="44" customWidth="1"/>
    <col min="5126" max="5126" width="21.44140625" style="44" customWidth="1"/>
    <col min="5127" max="5127" width="26.5546875" style="44" customWidth="1"/>
    <col min="5128" max="5376" width="9.21875" style="44"/>
    <col min="5377" max="5377" width="0" style="44" hidden="1" customWidth="1"/>
    <col min="5378" max="5378" width="27.5546875" style="44" bestFit="1" customWidth="1"/>
    <col min="5379" max="5379" width="20.21875" style="44" customWidth="1"/>
    <col min="5380" max="5380" width="21.77734375" style="44" customWidth="1"/>
    <col min="5381" max="5381" width="18.77734375" style="44" customWidth="1"/>
    <col min="5382" max="5382" width="21.44140625" style="44" customWidth="1"/>
    <col min="5383" max="5383" width="26.5546875" style="44" customWidth="1"/>
    <col min="5384" max="5632" width="9.21875" style="44"/>
    <col min="5633" max="5633" width="0" style="44" hidden="1" customWidth="1"/>
    <col min="5634" max="5634" width="27.5546875" style="44" bestFit="1" customWidth="1"/>
    <col min="5635" max="5635" width="20.21875" style="44" customWidth="1"/>
    <col min="5636" max="5636" width="21.77734375" style="44" customWidth="1"/>
    <col min="5637" max="5637" width="18.77734375" style="44" customWidth="1"/>
    <col min="5638" max="5638" width="21.44140625" style="44" customWidth="1"/>
    <col min="5639" max="5639" width="26.5546875" style="44" customWidth="1"/>
    <col min="5640" max="5888" width="9.21875" style="44"/>
    <col min="5889" max="5889" width="0" style="44" hidden="1" customWidth="1"/>
    <col min="5890" max="5890" width="27.5546875" style="44" bestFit="1" customWidth="1"/>
    <col min="5891" max="5891" width="20.21875" style="44" customWidth="1"/>
    <col min="5892" max="5892" width="21.77734375" style="44" customWidth="1"/>
    <col min="5893" max="5893" width="18.77734375" style="44" customWidth="1"/>
    <col min="5894" max="5894" width="21.44140625" style="44" customWidth="1"/>
    <col min="5895" max="5895" width="26.5546875" style="44" customWidth="1"/>
    <col min="5896" max="6144" width="9.21875" style="44"/>
    <col min="6145" max="6145" width="0" style="44" hidden="1" customWidth="1"/>
    <col min="6146" max="6146" width="27.5546875" style="44" bestFit="1" customWidth="1"/>
    <col min="6147" max="6147" width="20.21875" style="44" customWidth="1"/>
    <col min="6148" max="6148" width="21.77734375" style="44" customWidth="1"/>
    <col min="6149" max="6149" width="18.77734375" style="44" customWidth="1"/>
    <col min="6150" max="6150" width="21.44140625" style="44" customWidth="1"/>
    <col min="6151" max="6151" width="26.5546875" style="44" customWidth="1"/>
    <col min="6152" max="6400" width="9.21875" style="44"/>
    <col min="6401" max="6401" width="0" style="44" hidden="1" customWidth="1"/>
    <col min="6402" max="6402" width="27.5546875" style="44" bestFit="1" customWidth="1"/>
    <col min="6403" max="6403" width="20.21875" style="44" customWidth="1"/>
    <col min="6404" max="6404" width="21.77734375" style="44" customWidth="1"/>
    <col min="6405" max="6405" width="18.77734375" style="44" customWidth="1"/>
    <col min="6406" max="6406" width="21.44140625" style="44" customWidth="1"/>
    <col min="6407" max="6407" width="26.5546875" style="44" customWidth="1"/>
    <col min="6408" max="6656" width="9.21875" style="44"/>
    <col min="6657" max="6657" width="0" style="44" hidden="1" customWidth="1"/>
    <col min="6658" max="6658" width="27.5546875" style="44" bestFit="1" customWidth="1"/>
    <col min="6659" max="6659" width="20.21875" style="44" customWidth="1"/>
    <col min="6660" max="6660" width="21.77734375" style="44" customWidth="1"/>
    <col min="6661" max="6661" width="18.77734375" style="44" customWidth="1"/>
    <col min="6662" max="6662" width="21.44140625" style="44" customWidth="1"/>
    <col min="6663" max="6663" width="26.5546875" style="44" customWidth="1"/>
    <col min="6664" max="6912" width="9.21875" style="44"/>
    <col min="6913" max="6913" width="0" style="44" hidden="1" customWidth="1"/>
    <col min="6914" max="6914" width="27.5546875" style="44" bestFit="1" customWidth="1"/>
    <col min="6915" max="6915" width="20.21875" style="44" customWidth="1"/>
    <col min="6916" max="6916" width="21.77734375" style="44" customWidth="1"/>
    <col min="6917" max="6917" width="18.77734375" style="44" customWidth="1"/>
    <col min="6918" max="6918" width="21.44140625" style="44" customWidth="1"/>
    <col min="6919" max="6919" width="26.5546875" style="44" customWidth="1"/>
    <col min="6920" max="7168" width="9.21875" style="44"/>
    <col min="7169" max="7169" width="0" style="44" hidden="1" customWidth="1"/>
    <col min="7170" max="7170" width="27.5546875" style="44" bestFit="1" customWidth="1"/>
    <col min="7171" max="7171" width="20.21875" style="44" customWidth="1"/>
    <col min="7172" max="7172" width="21.77734375" style="44" customWidth="1"/>
    <col min="7173" max="7173" width="18.77734375" style="44" customWidth="1"/>
    <col min="7174" max="7174" width="21.44140625" style="44" customWidth="1"/>
    <col min="7175" max="7175" width="26.5546875" style="44" customWidth="1"/>
    <col min="7176" max="7424" width="9.21875" style="44"/>
    <col min="7425" max="7425" width="0" style="44" hidden="1" customWidth="1"/>
    <col min="7426" max="7426" width="27.5546875" style="44" bestFit="1" customWidth="1"/>
    <col min="7427" max="7427" width="20.21875" style="44" customWidth="1"/>
    <col min="7428" max="7428" width="21.77734375" style="44" customWidth="1"/>
    <col min="7429" max="7429" width="18.77734375" style="44" customWidth="1"/>
    <col min="7430" max="7430" width="21.44140625" style="44" customWidth="1"/>
    <col min="7431" max="7431" width="26.5546875" style="44" customWidth="1"/>
    <col min="7432" max="7680" width="9.21875" style="44"/>
    <col min="7681" max="7681" width="0" style="44" hidden="1" customWidth="1"/>
    <col min="7682" max="7682" width="27.5546875" style="44" bestFit="1" customWidth="1"/>
    <col min="7683" max="7683" width="20.21875" style="44" customWidth="1"/>
    <col min="7684" max="7684" width="21.77734375" style="44" customWidth="1"/>
    <col min="7685" max="7685" width="18.77734375" style="44" customWidth="1"/>
    <col min="7686" max="7686" width="21.44140625" style="44" customWidth="1"/>
    <col min="7687" max="7687" width="26.5546875" style="44" customWidth="1"/>
    <col min="7688" max="7936" width="9.21875" style="44"/>
    <col min="7937" max="7937" width="0" style="44" hidden="1" customWidth="1"/>
    <col min="7938" max="7938" width="27.5546875" style="44" bestFit="1" customWidth="1"/>
    <col min="7939" max="7939" width="20.21875" style="44" customWidth="1"/>
    <col min="7940" max="7940" width="21.77734375" style="44" customWidth="1"/>
    <col min="7941" max="7941" width="18.77734375" style="44" customWidth="1"/>
    <col min="7942" max="7942" width="21.44140625" style="44" customWidth="1"/>
    <col min="7943" max="7943" width="26.5546875" style="44" customWidth="1"/>
    <col min="7944" max="8192" width="9.21875" style="44"/>
    <col min="8193" max="8193" width="0" style="44" hidden="1" customWidth="1"/>
    <col min="8194" max="8194" width="27.5546875" style="44" bestFit="1" customWidth="1"/>
    <col min="8195" max="8195" width="20.21875" style="44" customWidth="1"/>
    <col min="8196" max="8196" width="21.77734375" style="44" customWidth="1"/>
    <col min="8197" max="8197" width="18.77734375" style="44" customWidth="1"/>
    <col min="8198" max="8198" width="21.44140625" style="44" customWidth="1"/>
    <col min="8199" max="8199" width="26.5546875" style="44" customWidth="1"/>
    <col min="8200" max="8448" width="9.21875" style="44"/>
    <col min="8449" max="8449" width="0" style="44" hidden="1" customWidth="1"/>
    <col min="8450" max="8450" width="27.5546875" style="44" bestFit="1" customWidth="1"/>
    <col min="8451" max="8451" width="20.21875" style="44" customWidth="1"/>
    <col min="8452" max="8452" width="21.77734375" style="44" customWidth="1"/>
    <col min="8453" max="8453" width="18.77734375" style="44" customWidth="1"/>
    <col min="8454" max="8454" width="21.44140625" style="44" customWidth="1"/>
    <col min="8455" max="8455" width="26.5546875" style="44" customWidth="1"/>
    <col min="8456" max="8704" width="9.21875" style="44"/>
    <col min="8705" max="8705" width="0" style="44" hidden="1" customWidth="1"/>
    <col min="8706" max="8706" width="27.5546875" style="44" bestFit="1" customWidth="1"/>
    <col min="8707" max="8707" width="20.21875" style="44" customWidth="1"/>
    <col min="8708" max="8708" width="21.77734375" style="44" customWidth="1"/>
    <col min="8709" max="8709" width="18.77734375" style="44" customWidth="1"/>
    <col min="8710" max="8710" width="21.44140625" style="44" customWidth="1"/>
    <col min="8711" max="8711" width="26.5546875" style="44" customWidth="1"/>
    <col min="8712" max="8960" width="9.21875" style="44"/>
    <col min="8961" max="8961" width="0" style="44" hidden="1" customWidth="1"/>
    <col min="8962" max="8962" width="27.5546875" style="44" bestFit="1" customWidth="1"/>
    <col min="8963" max="8963" width="20.21875" style="44" customWidth="1"/>
    <col min="8964" max="8964" width="21.77734375" style="44" customWidth="1"/>
    <col min="8965" max="8965" width="18.77734375" style="44" customWidth="1"/>
    <col min="8966" max="8966" width="21.44140625" style="44" customWidth="1"/>
    <col min="8967" max="8967" width="26.5546875" style="44" customWidth="1"/>
    <col min="8968" max="9216" width="9.21875" style="44"/>
    <col min="9217" max="9217" width="0" style="44" hidden="1" customWidth="1"/>
    <col min="9218" max="9218" width="27.5546875" style="44" bestFit="1" customWidth="1"/>
    <col min="9219" max="9219" width="20.21875" style="44" customWidth="1"/>
    <col min="9220" max="9220" width="21.77734375" style="44" customWidth="1"/>
    <col min="9221" max="9221" width="18.77734375" style="44" customWidth="1"/>
    <col min="9222" max="9222" width="21.44140625" style="44" customWidth="1"/>
    <col min="9223" max="9223" width="26.5546875" style="44" customWidth="1"/>
    <col min="9224" max="9472" width="9.21875" style="44"/>
    <col min="9473" max="9473" width="0" style="44" hidden="1" customWidth="1"/>
    <col min="9474" max="9474" width="27.5546875" style="44" bestFit="1" customWidth="1"/>
    <col min="9475" max="9475" width="20.21875" style="44" customWidth="1"/>
    <col min="9476" max="9476" width="21.77734375" style="44" customWidth="1"/>
    <col min="9477" max="9477" width="18.77734375" style="44" customWidth="1"/>
    <col min="9478" max="9478" width="21.44140625" style="44" customWidth="1"/>
    <col min="9479" max="9479" width="26.5546875" style="44" customWidth="1"/>
    <col min="9480" max="9728" width="9.21875" style="44"/>
    <col min="9729" max="9729" width="0" style="44" hidden="1" customWidth="1"/>
    <col min="9730" max="9730" width="27.5546875" style="44" bestFit="1" customWidth="1"/>
    <col min="9731" max="9731" width="20.21875" style="44" customWidth="1"/>
    <col min="9732" max="9732" width="21.77734375" style="44" customWidth="1"/>
    <col min="9733" max="9733" width="18.77734375" style="44" customWidth="1"/>
    <col min="9734" max="9734" width="21.44140625" style="44" customWidth="1"/>
    <col min="9735" max="9735" width="26.5546875" style="44" customWidth="1"/>
    <col min="9736" max="9984" width="9.21875" style="44"/>
    <col min="9985" max="9985" width="0" style="44" hidden="1" customWidth="1"/>
    <col min="9986" max="9986" width="27.5546875" style="44" bestFit="1" customWidth="1"/>
    <col min="9987" max="9987" width="20.21875" style="44" customWidth="1"/>
    <col min="9988" max="9988" width="21.77734375" style="44" customWidth="1"/>
    <col min="9989" max="9989" width="18.77734375" style="44" customWidth="1"/>
    <col min="9990" max="9990" width="21.44140625" style="44" customWidth="1"/>
    <col min="9991" max="9991" width="26.5546875" style="44" customWidth="1"/>
    <col min="9992" max="10240" width="9.21875" style="44"/>
    <col min="10241" max="10241" width="0" style="44" hidden="1" customWidth="1"/>
    <col min="10242" max="10242" width="27.5546875" style="44" bestFit="1" customWidth="1"/>
    <col min="10243" max="10243" width="20.21875" style="44" customWidth="1"/>
    <col min="10244" max="10244" width="21.77734375" style="44" customWidth="1"/>
    <col min="10245" max="10245" width="18.77734375" style="44" customWidth="1"/>
    <col min="10246" max="10246" width="21.44140625" style="44" customWidth="1"/>
    <col min="10247" max="10247" width="26.5546875" style="44" customWidth="1"/>
    <col min="10248" max="10496" width="9.21875" style="44"/>
    <col min="10497" max="10497" width="0" style="44" hidden="1" customWidth="1"/>
    <col min="10498" max="10498" width="27.5546875" style="44" bestFit="1" customWidth="1"/>
    <col min="10499" max="10499" width="20.21875" style="44" customWidth="1"/>
    <col min="10500" max="10500" width="21.77734375" style="44" customWidth="1"/>
    <col min="10501" max="10501" width="18.77734375" style="44" customWidth="1"/>
    <col min="10502" max="10502" width="21.44140625" style="44" customWidth="1"/>
    <col min="10503" max="10503" width="26.5546875" style="44" customWidth="1"/>
    <col min="10504" max="10752" width="9.21875" style="44"/>
    <col min="10753" max="10753" width="0" style="44" hidden="1" customWidth="1"/>
    <col min="10754" max="10754" width="27.5546875" style="44" bestFit="1" customWidth="1"/>
    <col min="10755" max="10755" width="20.21875" style="44" customWidth="1"/>
    <col min="10756" max="10756" width="21.77734375" style="44" customWidth="1"/>
    <col min="10757" max="10757" width="18.77734375" style="44" customWidth="1"/>
    <col min="10758" max="10758" width="21.44140625" style="44" customWidth="1"/>
    <col min="10759" max="10759" width="26.5546875" style="44" customWidth="1"/>
    <col min="10760" max="11008" width="9.21875" style="44"/>
    <col min="11009" max="11009" width="0" style="44" hidden="1" customWidth="1"/>
    <col min="11010" max="11010" width="27.5546875" style="44" bestFit="1" customWidth="1"/>
    <col min="11011" max="11011" width="20.21875" style="44" customWidth="1"/>
    <col min="11012" max="11012" width="21.77734375" style="44" customWidth="1"/>
    <col min="11013" max="11013" width="18.77734375" style="44" customWidth="1"/>
    <col min="11014" max="11014" width="21.44140625" style="44" customWidth="1"/>
    <col min="11015" max="11015" width="26.5546875" style="44" customWidth="1"/>
    <col min="11016" max="11264" width="9.21875" style="44"/>
    <col min="11265" max="11265" width="0" style="44" hidden="1" customWidth="1"/>
    <col min="11266" max="11266" width="27.5546875" style="44" bestFit="1" customWidth="1"/>
    <col min="11267" max="11267" width="20.21875" style="44" customWidth="1"/>
    <col min="11268" max="11268" width="21.77734375" style="44" customWidth="1"/>
    <col min="11269" max="11269" width="18.77734375" style="44" customWidth="1"/>
    <col min="11270" max="11270" width="21.44140625" style="44" customWidth="1"/>
    <col min="11271" max="11271" width="26.5546875" style="44" customWidth="1"/>
    <col min="11272" max="11520" width="9.21875" style="44"/>
    <col min="11521" max="11521" width="0" style="44" hidden="1" customWidth="1"/>
    <col min="11522" max="11522" width="27.5546875" style="44" bestFit="1" customWidth="1"/>
    <col min="11523" max="11523" width="20.21875" style="44" customWidth="1"/>
    <col min="11524" max="11524" width="21.77734375" style="44" customWidth="1"/>
    <col min="11525" max="11525" width="18.77734375" style="44" customWidth="1"/>
    <col min="11526" max="11526" width="21.44140625" style="44" customWidth="1"/>
    <col min="11527" max="11527" width="26.5546875" style="44" customWidth="1"/>
    <col min="11528" max="11776" width="9.21875" style="44"/>
    <col min="11777" max="11777" width="0" style="44" hidden="1" customWidth="1"/>
    <col min="11778" max="11778" width="27.5546875" style="44" bestFit="1" customWidth="1"/>
    <col min="11779" max="11779" width="20.21875" style="44" customWidth="1"/>
    <col min="11780" max="11780" width="21.77734375" style="44" customWidth="1"/>
    <col min="11781" max="11781" width="18.77734375" style="44" customWidth="1"/>
    <col min="11782" max="11782" width="21.44140625" style="44" customWidth="1"/>
    <col min="11783" max="11783" width="26.5546875" style="44" customWidth="1"/>
    <col min="11784" max="12032" width="9.21875" style="44"/>
    <col min="12033" max="12033" width="0" style="44" hidden="1" customWidth="1"/>
    <col min="12034" max="12034" width="27.5546875" style="44" bestFit="1" customWidth="1"/>
    <col min="12035" max="12035" width="20.21875" style="44" customWidth="1"/>
    <col min="12036" max="12036" width="21.77734375" style="44" customWidth="1"/>
    <col min="12037" max="12037" width="18.77734375" style="44" customWidth="1"/>
    <col min="12038" max="12038" width="21.44140625" style="44" customWidth="1"/>
    <col min="12039" max="12039" width="26.5546875" style="44" customWidth="1"/>
    <col min="12040" max="12288" width="9.21875" style="44"/>
    <col min="12289" max="12289" width="0" style="44" hidden="1" customWidth="1"/>
    <col min="12290" max="12290" width="27.5546875" style="44" bestFit="1" customWidth="1"/>
    <col min="12291" max="12291" width="20.21875" style="44" customWidth="1"/>
    <col min="12292" max="12292" width="21.77734375" style="44" customWidth="1"/>
    <col min="12293" max="12293" width="18.77734375" style="44" customWidth="1"/>
    <col min="12294" max="12294" width="21.44140625" style="44" customWidth="1"/>
    <col min="12295" max="12295" width="26.5546875" style="44" customWidth="1"/>
    <col min="12296" max="12544" width="9.21875" style="44"/>
    <col min="12545" max="12545" width="0" style="44" hidden="1" customWidth="1"/>
    <col min="12546" max="12546" width="27.5546875" style="44" bestFit="1" customWidth="1"/>
    <col min="12547" max="12547" width="20.21875" style="44" customWidth="1"/>
    <col min="12548" max="12548" width="21.77734375" style="44" customWidth="1"/>
    <col min="12549" max="12549" width="18.77734375" style="44" customWidth="1"/>
    <col min="12550" max="12550" width="21.44140625" style="44" customWidth="1"/>
    <col min="12551" max="12551" width="26.5546875" style="44" customWidth="1"/>
    <col min="12552" max="12800" width="9.21875" style="44"/>
    <col min="12801" max="12801" width="0" style="44" hidden="1" customWidth="1"/>
    <col min="12802" max="12802" width="27.5546875" style="44" bestFit="1" customWidth="1"/>
    <col min="12803" max="12803" width="20.21875" style="44" customWidth="1"/>
    <col min="12804" max="12804" width="21.77734375" style="44" customWidth="1"/>
    <col min="12805" max="12805" width="18.77734375" style="44" customWidth="1"/>
    <col min="12806" max="12806" width="21.44140625" style="44" customWidth="1"/>
    <col min="12807" max="12807" width="26.5546875" style="44" customWidth="1"/>
    <col min="12808" max="13056" width="9.21875" style="44"/>
    <col min="13057" max="13057" width="0" style="44" hidden="1" customWidth="1"/>
    <col min="13058" max="13058" width="27.5546875" style="44" bestFit="1" customWidth="1"/>
    <col min="13059" max="13059" width="20.21875" style="44" customWidth="1"/>
    <col min="13060" max="13060" width="21.77734375" style="44" customWidth="1"/>
    <col min="13061" max="13061" width="18.77734375" style="44" customWidth="1"/>
    <col min="13062" max="13062" width="21.44140625" style="44" customWidth="1"/>
    <col min="13063" max="13063" width="26.5546875" style="44" customWidth="1"/>
    <col min="13064" max="13312" width="9.21875" style="44"/>
    <col min="13313" max="13313" width="0" style="44" hidden="1" customWidth="1"/>
    <col min="13314" max="13314" width="27.5546875" style="44" bestFit="1" customWidth="1"/>
    <col min="13315" max="13315" width="20.21875" style="44" customWidth="1"/>
    <col min="13316" max="13316" width="21.77734375" style="44" customWidth="1"/>
    <col min="13317" max="13317" width="18.77734375" style="44" customWidth="1"/>
    <col min="13318" max="13318" width="21.44140625" style="44" customWidth="1"/>
    <col min="13319" max="13319" width="26.5546875" style="44" customWidth="1"/>
    <col min="13320" max="13568" width="9.21875" style="44"/>
    <col min="13569" max="13569" width="0" style="44" hidden="1" customWidth="1"/>
    <col min="13570" max="13570" width="27.5546875" style="44" bestFit="1" customWidth="1"/>
    <col min="13571" max="13571" width="20.21875" style="44" customWidth="1"/>
    <col min="13572" max="13572" width="21.77734375" style="44" customWidth="1"/>
    <col min="13573" max="13573" width="18.77734375" style="44" customWidth="1"/>
    <col min="13574" max="13574" width="21.44140625" style="44" customWidth="1"/>
    <col min="13575" max="13575" width="26.5546875" style="44" customWidth="1"/>
    <col min="13576" max="13824" width="9.21875" style="44"/>
    <col min="13825" max="13825" width="0" style="44" hidden="1" customWidth="1"/>
    <col min="13826" max="13826" width="27.5546875" style="44" bestFit="1" customWidth="1"/>
    <col min="13827" max="13827" width="20.21875" style="44" customWidth="1"/>
    <col min="13828" max="13828" width="21.77734375" style="44" customWidth="1"/>
    <col min="13829" max="13829" width="18.77734375" style="44" customWidth="1"/>
    <col min="13830" max="13830" width="21.44140625" style="44" customWidth="1"/>
    <col min="13831" max="13831" width="26.5546875" style="44" customWidth="1"/>
    <col min="13832" max="14080" width="9.21875" style="44"/>
    <col min="14081" max="14081" width="0" style="44" hidden="1" customWidth="1"/>
    <col min="14082" max="14082" width="27.5546875" style="44" bestFit="1" customWidth="1"/>
    <col min="14083" max="14083" width="20.21875" style="44" customWidth="1"/>
    <col min="14084" max="14084" width="21.77734375" style="44" customWidth="1"/>
    <col min="14085" max="14085" width="18.77734375" style="44" customWidth="1"/>
    <col min="14086" max="14086" width="21.44140625" style="44" customWidth="1"/>
    <col min="14087" max="14087" width="26.5546875" style="44" customWidth="1"/>
    <col min="14088" max="14336" width="9.21875" style="44"/>
    <col min="14337" max="14337" width="0" style="44" hidden="1" customWidth="1"/>
    <col min="14338" max="14338" width="27.5546875" style="44" bestFit="1" customWidth="1"/>
    <col min="14339" max="14339" width="20.21875" style="44" customWidth="1"/>
    <col min="14340" max="14340" width="21.77734375" style="44" customWidth="1"/>
    <col min="14341" max="14341" width="18.77734375" style="44" customWidth="1"/>
    <col min="14342" max="14342" width="21.44140625" style="44" customWidth="1"/>
    <col min="14343" max="14343" width="26.5546875" style="44" customWidth="1"/>
    <col min="14344" max="14592" width="9.21875" style="44"/>
    <col min="14593" max="14593" width="0" style="44" hidden="1" customWidth="1"/>
    <col min="14594" max="14594" width="27.5546875" style="44" bestFit="1" customWidth="1"/>
    <col min="14595" max="14595" width="20.21875" style="44" customWidth="1"/>
    <col min="14596" max="14596" width="21.77734375" style="44" customWidth="1"/>
    <col min="14597" max="14597" width="18.77734375" style="44" customWidth="1"/>
    <col min="14598" max="14598" width="21.44140625" style="44" customWidth="1"/>
    <col min="14599" max="14599" width="26.5546875" style="44" customWidth="1"/>
    <col min="14600" max="14848" width="9.21875" style="44"/>
    <col min="14849" max="14849" width="0" style="44" hidden="1" customWidth="1"/>
    <col min="14850" max="14850" width="27.5546875" style="44" bestFit="1" customWidth="1"/>
    <col min="14851" max="14851" width="20.21875" style="44" customWidth="1"/>
    <col min="14852" max="14852" width="21.77734375" style="44" customWidth="1"/>
    <col min="14853" max="14853" width="18.77734375" style="44" customWidth="1"/>
    <col min="14854" max="14854" width="21.44140625" style="44" customWidth="1"/>
    <col min="14855" max="14855" width="26.5546875" style="44" customWidth="1"/>
    <col min="14856" max="15104" width="9.21875" style="44"/>
    <col min="15105" max="15105" width="0" style="44" hidden="1" customWidth="1"/>
    <col min="15106" max="15106" width="27.5546875" style="44" bestFit="1" customWidth="1"/>
    <col min="15107" max="15107" width="20.21875" style="44" customWidth="1"/>
    <col min="15108" max="15108" width="21.77734375" style="44" customWidth="1"/>
    <col min="15109" max="15109" width="18.77734375" style="44" customWidth="1"/>
    <col min="15110" max="15110" width="21.44140625" style="44" customWidth="1"/>
    <col min="15111" max="15111" width="26.5546875" style="44" customWidth="1"/>
    <col min="15112" max="15360" width="9.21875" style="44"/>
    <col min="15361" max="15361" width="0" style="44" hidden="1" customWidth="1"/>
    <col min="15362" max="15362" width="27.5546875" style="44" bestFit="1" customWidth="1"/>
    <col min="15363" max="15363" width="20.21875" style="44" customWidth="1"/>
    <col min="15364" max="15364" width="21.77734375" style="44" customWidth="1"/>
    <col min="15365" max="15365" width="18.77734375" style="44" customWidth="1"/>
    <col min="15366" max="15366" width="21.44140625" style="44" customWidth="1"/>
    <col min="15367" max="15367" width="26.5546875" style="44" customWidth="1"/>
    <col min="15368" max="15616" width="9.21875" style="44"/>
    <col min="15617" max="15617" width="0" style="44" hidden="1" customWidth="1"/>
    <col min="15618" max="15618" width="27.5546875" style="44" bestFit="1" customWidth="1"/>
    <col min="15619" max="15619" width="20.21875" style="44" customWidth="1"/>
    <col min="15620" max="15620" width="21.77734375" style="44" customWidth="1"/>
    <col min="15621" max="15621" width="18.77734375" style="44" customWidth="1"/>
    <col min="15622" max="15622" width="21.44140625" style="44" customWidth="1"/>
    <col min="15623" max="15623" width="26.5546875" style="44" customWidth="1"/>
    <col min="15624" max="15872" width="9.21875" style="44"/>
    <col min="15873" max="15873" width="0" style="44" hidden="1" customWidth="1"/>
    <col min="15874" max="15874" width="27.5546875" style="44" bestFit="1" customWidth="1"/>
    <col min="15875" max="15875" width="20.21875" style="44" customWidth="1"/>
    <col min="15876" max="15876" width="21.77734375" style="44" customWidth="1"/>
    <col min="15877" max="15877" width="18.77734375" style="44" customWidth="1"/>
    <col min="15878" max="15878" width="21.44140625" style="44" customWidth="1"/>
    <col min="15879" max="15879" width="26.5546875" style="44" customWidth="1"/>
    <col min="15880" max="16128" width="9.21875" style="44"/>
    <col min="16129" max="16129" width="0" style="44" hidden="1" customWidth="1"/>
    <col min="16130" max="16130" width="27.5546875" style="44" bestFit="1" customWidth="1"/>
    <col min="16131" max="16131" width="20.21875" style="44" customWidth="1"/>
    <col min="16132" max="16132" width="21.77734375" style="44" customWidth="1"/>
    <col min="16133" max="16133" width="18.77734375" style="44" customWidth="1"/>
    <col min="16134" max="16134" width="21.44140625" style="44" customWidth="1"/>
    <col min="16135" max="16135" width="26.5546875" style="44" customWidth="1"/>
    <col min="16136" max="16384" width="9.21875" style="44"/>
  </cols>
  <sheetData>
    <row r="1" spans="1:13" s="22" customFormat="1" ht="41.25" customHeight="1" x14ac:dyDescent="0.3">
      <c r="B1" s="181" t="s">
        <v>74</v>
      </c>
      <c r="C1" s="182"/>
      <c r="D1" s="182"/>
      <c r="E1" s="182"/>
      <c r="F1" s="182"/>
      <c r="G1" s="183"/>
    </row>
    <row r="2" spans="1:13" s="23" customFormat="1" ht="28.5" customHeight="1" x14ac:dyDescent="0.3">
      <c r="C2" s="24" t="s">
        <v>1</v>
      </c>
      <c r="D2" s="24" t="s">
        <v>59</v>
      </c>
      <c r="E2" s="24" t="s">
        <v>60</v>
      </c>
      <c r="F2" s="24" t="s">
        <v>61</v>
      </c>
      <c r="G2" s="25" t="s">
        <v>5</v>
      </c>
    </row>
    <row r="3" spans="1:13" s="23" customFormat="1" ht="28.5" customHeight="1" x14ac:dyDescent="0.3">
      <c r="B3" s="26" t="s">
        <v>0</v>
      </c>
      <c r="C3" s="27">
        <v>1625</v>
      </c>
      <c r="D3" s="27">
        <v>1568</v>
      </c>
      <c r="E3" s="27">
        <v>125</v>
      </c>
      <c r="F3" s="27">
        <v>1015</v>
      </c>
      <c r="G3" s="27">
        <v>4333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26" t="s">
        <v>62</v>
      </c>
      <c r="C4" s="31">
        <v>892</v>
      </c>
      <c r="D4" s="31">
        <v>1527</v>
      </c>
      <c r="E4" s="31">
        <v>99</v>
      </c>
      <c r="F4" s="31">
        <v>692</v>
      </c>
      <c r="G4" s="31">
        <v>3210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33" t="s">
        <v>10</v>
      </c>
      <c r="C5" s="79">
        <v>31</v>
      </c>
      <c r="D5" s="79">
        <v>12</v>
      </c>
      <c r="E5" s="79">
        <v>2</v>
      </c>
      <c r="F5" s="79">
        <v>19</v>
      </c>
      <c r="G5" s="31">
        <v>64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33" t="s">
        <v>11</v>
      </c>
      <c r="C6" s="79">
        <v>21</v>
      </c>
      <c r="D6" s="79">
        <v>23</v>
      </c>
      <c r="E6" s="79">
        <v>3</v>
      </c>
      <c r="F6" s="79">
        <v>14</v>
      </c>
      <c r="G6" s="31">
        <v>61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33" t="s">
        <v>12</v>
      </c>
      <c r="C7" s="79">
        <v>23</v>
      </c>
      <c r="D7" s="79">
        <v>20</v>
      </c>
      <c r="E7" s="79">
        <v>6</v>
      </c>
      <c r="F7" s="79">
        <v>26</v>
      </c>
      <c r="G7" s="31">
        <v>75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33" t="s">
        <v>13</v>
      </c>
      <c r="C8" s="79">
        <v>36</v>
      </c>
      <c r="D8" s="79">
        <v>54</v>
      </c>
      <c r="E8" s="79">
        <v>15</v>
      </c>
      <c r="F8" s="79">
        <v>27</v>
      </c>
      <c r="G8" s="31">
        <v>132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33" t="s">
        <v>14</v>
      </c>
      <c r="C9" s="79">
        <v>15</v>
      </c>
      <c r="D9" s="79">
        <v>39</v>
      </c>
      <c r="E9" s="79">
        <v>4</v>
      </c>
      <c r="F9" s="79">
        <v>8</v>
      </c>
      <c r="G9" s="31">
        <v>66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33" t="s">
        <v>15</v>
      </c>
      <c r="C10" s="79">
        <v>34</v>
      </c>
      <c r="D10" s="79">
        <v>31</v>
      </c>
      <c r="E10" s="79">
        <v>0</v>
      </c>
      <c r="F10" s="79">
        <v>29</v>
      </c>
      <c r="G10" s="31">
        <v>94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33" t="s">
        <v>16</v>
      </c>
      <c r="C11" s="79">
        <v>34</v>
      </c>
      <c r="D11" s="79">
        <v>8</v>
      </c>
      <c r="E11" s="79">
        <v>1</v>
      </c>
      <c r="F11" s="79">
        <v>17</v>
      </c>
      <c r="G11" s="31">
        <v>60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33" t="s">
        <v>17</v>
      </c>
      <c r="C12" s="79">
        <v>10</v>
      </c>
      <c r="D12" s="79">
        <v>41</v>
      </c>
      <c r="E12" s="79">
        <v>3</v>
      </c>
      <c r="F12" s="79">
        <v>19</v>
      </c>
      <c r="G12" s="31">
        <v>73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33" t="s">
        <v>18</v>
      </c>
      <c r="C13" s="79">
        <v>6</v>
      </c>
      <c r="D13" s="79">
        <v>51</v>
      </c>
      <c r="E13" s="79">
        <v>0</v>
      </c>
      <c r="F13" s="79">
        <v>5</v>
      </c>
      <c r="G13" s="31">
        <v>62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33" t="s">
        <v>19</v>
      </c>
      <c r="C14" s="79">
        <v>20</v>
      </c>
      <c r="D14" s="79">
        <v>34</v>
      </c>
      <c r="E14" s="79">
        <v>1</v>
      </c>
      <c r="F14" s="79">
        <v>14</v>
      </c>
      <c r="G14" s="31">
        <v>69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35" t="s">
        <v>63</v>
      </c>
      <c r="C15" s="79">
        <v>34</v>
      </c>
      <c r="D15" s="79">
        <v>128</v>
      </c>
      <c r="E15" s="79">
        <v>5</v>
      </c>
      <c r="F15" s="79">
        <v>28</v>
      </c>
      <c r="G15" s="31">
        <v>195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33" t="s">
        <v>105</v>
      </c>
      <c r="C16" s="79">
        <v>30</v>
      </c>
      <c r="D16" s="79">
        <v>69</v>
      </c>
      <c r="E16" s="79">
        <v>12</v>
      </c>
      <c r="F16" s="79">
        <v>45</v>
      </c>
      <c r="G16" s="79">
        <v>156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33" t="s">
        <v>22</v>
      </c>
      <c r="C17" s="79">
        <v>23</v>
      </c>
      <c r="D17" s="79">
        <v>17</v>
      </c>
      <c r="E17" s="79">
        <v>1</v>
      </c>
      <c r="F17" s="79">
        <v>6</v>
      </c>
      <c r="G17" s="31">
        <v>47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33" t="s">
        <v>23</v>
      </c>
      <c r="C18" s="79">
        <v>26</v>
      </c>
      <c r="D18" s="79">
        <v>16</v>
      </c>
      <c r="E18" s="79">
        <v>3</v>
      </c>
      <c r="F18" s="79">
        <v>10</v>
      </c>
      <c r="G18" s="31">
        <v>55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33" t="s">
        <v>24</v>
      </c>
      <c r="C19" s="79">
        <v>43</v>
      </c>
      <c r="D19" s="79">
        <v>62</v>
      </c>
      <c r="E19" s="79">
        <v>2</v>
      </c>
      <c r="F19" s="79">
        <v>42</v>
      </c>
      <c r="G19" s="31">
        <v>149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33" t="s">
        <v>25</v>
      </c>
      <c r="C20" s="79">
        <v>15</v>
      </c>
      <c r="D20" s="79">
        <v>35</v>
      </c>
      <c r="E20" s="79">
        <v>3</v>
      </c>
      <c r="F20" s="79">
        <v>8</v>
      </c>
      <c r="G20" s="31">
        <v>61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33" t="s">
        <v>28</v>
      </c>
      <c r="C21" s="79">
        <v>69</v>
      </c>
      <c r="D21" s="79">
        <v>120</v>
      </c>
      <c r="E21" s="79">
        <v>4</v>
      </c>
      <c r="F21" s="79">
        <v>53</v>
      </c>
      <c r="G21" s="31">
        <v>246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33" t="s">
        <v>64</v>
      </c>
      <c r="C22" s="79">
        <v>22</v>
      </c>
      <c r="D22" s="79">
        <v>47</v>
      </c>
      <c r="E22" s="79">
        <v>3</v>
      </c>
      <c r="F22" s="79">
        <v>28</v>
      </c>
      <c r="G22" s="31">
        <v>100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33" t="s">
        <v>30</v>
      </c>
      <c r="C23" s="79">
        <v>33</v>
      </c>
      <c r="D23" s="79">
        <v>33</v>
      </c>
      <c r="E23" s="79">
        <v>2</v>
      </c>
      <c r="F23" s="79">
        <v>24</v>
      </c>
      <c r="G23" s="31">
        <v>92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33" t="s">
        <v>31</v>
      </c>
      <c r="C24" s="79">
        <v>33</v>
      </c>
      <c r="D24" s="79">
        <v>19</v>
      </c>
      <c r="E24" s="79">
        <v>0</v>
      </c>
      <c r="F24" s="79">
        <v>37</v>
      </c>
      <c r="G24" s="31">
        <v>89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33" t="s">
        <v>65</v>
      </c>
      <c r="C25" s="79">
        <v>3</v>
      </c>
      <c r="D25" s="79">
        <v>11</v>
      </c>
      <c r="E25" s="79">
        <v>0</v>
      </c>
      <c r="F25" s="79">
        <v>4</v>
      </c>
      <c r="G25" s="31">
        <v>18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33" t="s">
        <v>34</v>
      </c>
      <c r="C26" s="79">
        <v>36</v>
      </c>
      <c r="D26" s="79">
        <v>74</v>
      </c>
      <c r="E26" s="79">
        <v>1</v>
      </c>
      <c r="F26" s="79">
        <v>23</v>
      </c>
      <c r="G26" s="31">
        <v>134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33" t="s">
        <v>35</v>
      </c>
      <c r="C27" s="79">
        <v>41</v>
      </c>
      <c r="D27" s="79">
        <v>66</v>
      </c>
      <c r="E27" s="79">
        <v>0</v>
      </c>
      <c r="F27" s="79">
        <v>19</v>
      </c>
      <c r="G27" s="31">
        <v>126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33" t="s">
        <v>36</v>
      </c>
      <c r="C28" s="79">
        <v>19</v>
      </c>
      <c r="D28" s="79">
        <v>35</v>
      </c>
      <c r="E28" s="79">
        <v>4</v>
      </c>
      <c r="F28" s="79">
        <v>20</v>
      </c>
      <c r="G28" s="31">
        <v>78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33" t="s">
        <v>37</v>
      </c>
      <c r="C29" s="79">
        <v>9</v>
      </c>
      <c r="D29" s="79">
        <v>40</v>
      </c>
      <c r="E29" s="79">
        <v>1</v>
      </c>
      <c r="F29" s="79">
        <v>13</v>
      </c>
      <c r="G29" s="31">
        <v>63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33" t="s">
        <v>39</v>
      </c>
      <c r="C30" s="79">
        <v>15</v>
      </c>
      <c r="D30" s="79">
        <v>51</v>
      </c>
      <c r="E30" s="79">
        <v>2</v>
      </c>
      <c r="F30" s="79">
        <v>13</v>
      </c>
      <c r="G30" s="31">
        <v>81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33" t="s">
        <v>40</v>
      </c>
      <c r="C31" s="79">
        <v>0</v>
      </c>
      <c r="D31" s="79">
        <v>0</v>
      </c>
      <c r="E31" s="79">
        <v>3</v>
      </c>
      <c r="F31" s="79">
        <v>0</v>
      </c>
      <c r="G31" s="31">
        <v>3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33" t="s">
        <v>41</v>
      </c>
      <c r="C32" s="79">
        <v>18</v>
      </c>
      <c r="D32" s="79">
        <v>55</v>
      </c>
      <c r="E32" s="79">
        <v>1</v>
      </c>
      <c r="F32" s="79">
        <v>11</v>
      </c>
      <c r="G32" s="31">
        <v>85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33" t="s">
        <v>42</v>
      </c>
      <c r="C33" s="79">
        <v>26</v>
      </c>
      <c r="D33" s="79">
        <v>26</v>
      </c>
      <c r="E33" s="79">
        <v>1</v>
      </c>
      <c r="F33" s="79">
        <v>8</v>
      </c>
      <c r="G33" s="31">
        <v>61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33" t="s">
        <v>43</v>
      </c>
      <c r="C34" s="79">
        <v>13</v>
      </c>
      <c r="D34" s="79">
        <v>28</v>
      </c>
      <c r="E34" s="79">
        <v>2</v>
      </c>
      <c r="F34" s="79">
        <v>8</v>
      </c>
      <c r="G34" s="31">
        <v>51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33" t="s">
        <v>44</v>
      </c>
      <c r="C35" s="79">
        <v>29</v>
      </c>
      <c r="D35" s="79">
        <v>32</v>
      </c>
      <c r="E35" s="79">
        <v>0</v>
      </c>
      <c r="F35" s="79">
        <v>23</v>
      </c>
      <c r="G35" s="31">
        <v>84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33" t="s">
        <v>45</v>
      </c>
      <c r="C36" s="79">
        <v>15</v>
      </c>
      <c r="D36" s="79">
        <v>55</v>
      </c>
      <c r="E36" s="79">
        <v>14</v>
      </c>
      <c r="F36" s="79">
        <v>13</v>
      </c>
      <c r="G36" s="31">
        <v>97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33" t="s">
        <v>46</v>
      </c>
      <c r="C37" s="79">
        <v>2</v>
      </c>
      <c r="D37" s="79">
        <v>19</v>
      </c>
      <c r="E37" s="79">
        <v>0</v>
      </c>
      <c r="F37" s="79">
        <v>5</v>
      </c>
      <c r="G37" s="31">
        <v>26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33" t="s">
        <v>48</v>
      </c>
      <c r="C38" s="79">
        <v>33</v>
      </c>
      <c r="D38" s="79">
        <v>63</v>
      </c>
      <c r="E38" s="79">
        <v>0</v>
      </c>
      <c r="F38" s="79">
        <v>19</v>
      </c>
      <c r="G38" s="31">
        <v>115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33" t="s">
        <v>49</v>
      </c>
      <c r="C39" s="79">
        <v>8</v>
      </c>
      <c r="D39" s="79">
        <v>40</v>
      </c>
      <c r="E39" s="79">
        <v>0</v>
      </c>
      <c r="F39" s="79">
        <v>8</v>
      </c>
      <c r="G39" s="31">
        <v>56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33" t="s">
        <v>50</v>
      </c>
      <c r="C40" s="79">
        <v>36</v>
      </c>
      <c r="D40" s="79">
        <v>9</v>
      </c>
      <c r="E40" s="79">
        <v>0</v>
      </c>
      <c r="F40" s="79">
        <v>7</v>
      </c>
      <c r="G40" s="31">
        <v>52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33" t="s">
        <v>52</v>
      </c>
      <c r="C41" s="79">
        <v>12</v>
      </c>
      <c r="D41" s="79">
        <v>18</v>
      </c>
      <c r="E41" s="79">
        <v>0</v>
      </c>
      <c r="F41" s="79">
        <v>11</v>
      </c>
      <c r="G41" s="31">
        <v>41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33" t="s">
        <v>54</v>
      </c>
      <c r="C42" s="79">
        <v>19</v>
      </c>
      <c r="D42" s="79">
        <v>42</v>
      </c>
      <c r="E42" s="79">
        <v>0</v>
      </c>
      <c r="F42" s="79">
        <v>27</v>
      </c>
      <c r="G42" s="31">
        <v>88</v>
      </c>
      <c r="H42" s="36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33" t="s">
        <v>33</v>
      </c>
      <c r="C43" s="79">
        <v>0</v>
      </c>
      <c r="D43" s="79">
        <v>4</v>
      </c>
      <c r="E43" s="79">
        <v>0</v>
      </c>
      <c r="F43" s="79">
        <v>1</v>
      </c>
      <c r="G43" s="31">
        <v>5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26" t="s">
        <v>66</v>
      </c>
      <c r="C44" s="31">
        <v>733</v>
      </c>
      <c r="D44" s="31">
        <v>41</v>
      </c>
      <c r="E44" s="31">
        <v>26</v>
      </c>
      <c r="F44" s="31">
        <v>323</v>
      </c>
      <c r="G44" s="31">
        <v>1123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33" t="s">
        <v>27</v>
      </c>
      <c r="C45" s="79">
        <v>91</v>
      </c>
      <c r="D45" s="79">
        <v>6</v>
      </c>
      <c r="E45" s="79">
        <v>0</v>
      </c>
      <c r="F45" s="79">
        <v>82</v>
      </c>
      <c r="G45" s="31">
        <v>179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33" t="s">
        <v>38</v>
      </c>
      <c r="C46" s="79">
        <v>60</v>
      </c>
      <c r="D46" s="79">
        <v>11</v>
      </c>
      <c r="E46" s="79">
        <v>2</v>
      </c>
      <c r="F46" s="79">
        <v>55</v>
      </c>
      <c r="G46" s="31">
        <v>128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33" t="s">
        <v>47</v>
      </c>
      <c r="C47" s="79">
        <v>33</v>
      </c>
      <c r="D47" s="79">
        <v>3</v>
      </c>
      <c r="E47" s="79">
        <v>7</v>
      </c>
      <c r="F47" s="79">
        <v>34</v>
      </c>
      <c r="G47" s="31">
        <v>77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33" t="s">
        <v>67</v>
      </c>
      <c r="C48" s="79">
        <v>50</v>
      </c>
      <c r="D48" s="79">
        <v>1</v>
      </c>
      <c r="E48" s="79">
        <v>2</v>
      </c>
      <c r="F48" s="79">
        <v>27</v>
      </c>
      <c r="G48" s="31">
        <v>80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33" t="s">
        <v>53</v>
      </c>
      <c r="C49" s="79">
        <v>86</v>
      </c>
      <c r="D49" s="79">
        <v>1</v>
      </c>
      <c r="E49" s="79">
        <v>4</v>
      </c>
      <c r="F49" s="79">
        <v>38</v>
      </c>
      <c r="G49" s="31">
        <v>129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33" t="s">
        <v>55</v>
      </c>
      <c r="C50" s="79">
        <v>95</v>
      </c>
      <c r="D50" s="79">
        <v>19</v>
      </c>
      <c r="E50" s="79">
        <v>1</v>
      </c>
      <c r="F50" s="79">
        <v>21</v>
      </c>
      <c r="G50" s="31">
        <v>136</v>
      </c>
      <c r="I50" s="29"/>
      <c r="J50" s="29"/>
      <c r="K50" s="29"/>
      <c r="L50" s="29"/>
      <c r="M50" s="29"/>
    </row>
    <row r="51" spans="1:13" s="42" customFormat="1" ht="12.75" customHeight="1" x14ac:dyDescent="0.3">
      <c r="A51" s="32">
        <v>77</v>
      </c>
      <c r="B51" s="38" t="s">
        <v>26</v>
      </c>
      <c r="C51" s="79">
        <v>318</v>
      </c>
      <c r="D51" s="79">
        <v>0</v>
      </c>
      <c r="E51" s="79">
        <v>10</v>
      </c>
      <c r="F51" s="79">
        <v>66</v>
      </c>
      <c r="G51" s="31">
        <v>394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43"/>
      <c r="D52" s="43"/>
      <c r="E52" s="43"/>
      <c r="F52" s="43"/>
      <c r="G52" s="43"/>
      <c r="I52" s="44"/>
    </row>
    <row r="53" spans="1:13" s="33" customFormat="1" ht="13.5" customHeight="1" x14ac:dyDescent="0.3">
      <c r="A53" s="32"/>
      <c r="H53" s="44"/>
      <c r="I53" s="44"/>
    </row>
    <row r="54" spans="1:13" s="33" customFormat="1" ht="13.5" customHeight="1" x14ac:dyDescent="0.3">
      <c r="A54" s="32"/>
      <c r="H54" s="44"/>
      <c r="I54" s="44"/>
    </row>
    <row r="55" spans="1:13" s="33" customFormat="1" x14ac:dyDescent="0.3">
      <c r="A55" s="32"/>
      <c r="B55" s="45"/>
      <c r="H55" s="44"/>
      <c r="I55" s="44"/>
    </row>
    <row r="56" spans="1:13" x14ac:dyDescent="0.3">
      <c r="A56" s="32"/>
      <c r="F56" s="46"/>
      <c r="G56" s="46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7"/>
    </row>
    <row r="62" spans="1:13" ht="13.8" x14ac:dyDescent="0.3">
      <c r="B62" s="33" t="s">
        <v>21</v>
      </c>
      <c r="C62" s="79">
        <v>17</v>
      </c>
      <c r="D62" s="79">
        <v>41</v>
      </c>
      <c r="E62" s="79">
        <v>8</v>
      </c>
      <c r="F62" s="79">
        <v>21</v>
      </c>
      <c r="G62" s="31">
        <v>87</v>
      </c>
    </row>
    <row r="63" spans="1:13" ht="13.8" x14ac:dyDescent="0.3">
      <c r="B63" s="33" t="s">
        <v>56</v>
      </c>
      <c r="C63" s="79">
        <v>13</v>
      </c>
      <c r="D63" s="79">
        <v>28</v>
      </c>
      <c r="E63" s="79">
        <v>4</v>
      </c>
      <c r="F63" s="79">
        <v>24</v>
      </c>
      <c r="G63" s="31">
        <v>69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59"/>
  <sheetViews>
    <sheetView topLeftCell="B1" workbookViewId="0">
      <selection activeCell="C3" sqref="C3"/>
    </sheetView>
  </sheetViews>
  <sheetFormatPr defaultRowHeight="13.2" x14ac:dyDescent="0.3"/>
  <cols>
    <col min="1" max="1" width="3.5546875" style="44" hidden="1" customWidth="1"/>
    <col min="2" max="2" width="27.5546875" style="44" bestFit="1" customWidth="1"/>
    <col min="3" max="3" width="20.21875" style="44" customWidth="1"/>
    <col min="4" max="4" width="21.77734375" style="44" customWidth="1"/>
    <col min="5" max="5" width="18.77734375" style="44" customWidth="1"/>
    <col min="6" max="6" width="21.44140625" style="44" customWidth="1"/>
    <col min="7" max="7" width="26.5546875" style="44" customWidth="1"/>
    <col min="8" max="8" width="9.21875" style="44"/>
    <col min="9" max="9" width="10.21875" style="44" bestFit="1" customWidth="1"/>
    <col min="10" max="256" width="9.21875" style="44"/>
    <col min="257" max="257" width="0" style="44" hidden="1" customWidth="1"/>
    <col min="258" max="258" width="27.5546875" style="44" bestFit="1" customWidth="1"/>
    <col min="259" max="259" width="20.21875" style="44" customWidth="1"/>
    <col min="260" max="260" width="21.77734375" style="44" customWidth="1"/>
    <col min="261" max="261" width="18.77734375" style="44" customWidth="1"/>
    <col min="262" max="262" width="21.44140625" style="44" customWidth="1"/>
    <col min="263" max="263" width="26.5546875" style="44" customWidth="1"/>
    <col min="264" max="512" width="9.21875" style="44"/>
    <col min="513" max="513" width="0" style="44" hidden="1" customWidth="1"/>
    <col min="514" max="514" width="27.5546875" style="44" bestFit="1" customWidth="1"/>
    <col min="515" max="515" width="20.21875" style="44" customWidth="1"/>
    <col min="516" max="516" width="21.77734375" style="44" customWidth="1"/>
    <col min="517" max="517" width="18.77734375" style="44" customWidth="1"/>
    <col min="518" max="518" width="21.44140625" style="44" customWidth="1"/>
    <col min="519" max="519" width="26.5546875" style="44" customWidth="1"/>
    <col min="520" max="768" width="9.21875" style="44"/>
    <col min="769" max="769" width="0" style="44" hidden="1" customWidth="1"/>
    <col min="770" max="770" width="27.5546875" style="44" bestFit="1" customWidth="1"/>
    <col min="771" max="771" width="20.21875" style="44" customWidth="1"/>
    <col min="772" max="772" width="21.77734375" style="44" customWidth="1"/>
    <col min="773" max="773" width="18.77734375" style="44" customWidth="1"/>
    <col min="774" max="774" width="21.44140625" style="44" customWidth="1"/>
    <col min="775" max="775" width="26.5546875" style="44" customWidth="1"/>
    <col min="776" max="1024" width="9.21875" style="44"/>
    <col min="1025" max="1025" width="0" style="44" hidden="1" customWidth="1"/>
    <col min="1026" max="1026" width="27.5546875" style="44" bestFit="1" customWidth="1"/>
    <col min="1027" max="1027" width="20.21875" style="44" customWidth="1"/>
    <col min="1028" max="1028" width="21.77734375" style="44" customWidth="1"/>
    <col min="1029" max="1029" width="18.77734375" style="44" customWidth="1"/>
    <col min="1030" max="1030" width="21.44140625" style="44" customWidth="1"/>
    <col min="1031" max="1031" width="26.5546875" style="44" customWidth="1"/>
    <col min="1032" max="1280" width="9.21875" style="44"/>
    <col min="1281" max="1281" width="0" style="44" hidden="1" customWidth="1"/>
    <col min="1282" max="1282" width="27.5546875" style="44" bestFit="1" customWidth="1"/>
    <col min="1283" max="1283" width="20.21875" style="44" customWidth="1"/>
    <col min="1284" max="1284" width="21.77734375" style="44" customWidth="1"/>
    <col min="1285" max="1285" width="18.77734375" style="44" customWidth="1"/>
    <col min="1286" max="1286" width="21.44140625" style="44" customWidth="1"/>
    <col min="1287" max="1287" width="26.5546875" style="44" customWidth="1"/>
    <col min="1288" max="1536" width="9.21875" style="44"/>
    <col min="1537" max="1537" width="0" style="44" hidden="1" customWidth="1"/>
    <col min="1538" max="1538" width="27.5546875" style="44" bestFit="1" customWidth="1"/>
    <col min="1539" max="1539" width="20.21875" style="44" customWidth="1"/>
    <col min="1540" max="1540" width="21.77734375" style="44" customWidth="1"/>
    <col min="1541" max="1541" width="18.77734375" style="44" customWidth="1"/>
    <col min="1542" max="1542" width="21.44140625" style="44" customWidth="1"/>
    <col min="1543" max="1543" width="26.5546875" style="44" customWidth="1"/>
    <col min="1544" max="1792" width="9.21875" style="44"/>
    <col min="1793" max="1793" width="0" style="44" hidden="1" customWidth="1"/>
    <col min="1794" max="1794" width="27.5546875" style="44" bestFit="1" customWidth="1"/>
    <col min="1795" max="1795" width="20.21875" style="44" customWidth="1"/>
    <col min="1796" max="1796" width="21.77734375" style="44" customWidth="1"/>
    <col min="1797" max="1797" width="18.77734375" style="44" customWidth="1"/>
    <col min="1798" max="1798" width="21.44140625" style="44" customWidth="1"/>
    <col min="1799" max="1799" width="26.5546875" style="44" customWidth="1"/>
    <col min="1800" max="2048" width="9.21875" style="44"/>
    <col min="2049" max="2049" width="0" style="44" hidden="1" customWidth="1"/>
    <col min="2050" max="2050" width="27.5546875" style="44" bestFit="1" customWidth="1"/>
    <col min="2051" max="2051" width="20.21875" style="44" customWidth="1"/>
    <col min="2052" max="2052" width="21.77734375" style="44" customWidth="1"/>
    <col min="2053" max="2053" width="18.77734375" style="44" customWidth="1"/>
    <col min="2054" max="2054" width="21.44140625" style="44" customWidth="1"/>
    <col min="2055" max="2055" width="26.5546875" style="44" customWidth="1"/>
    <col min="2056" max="2304" width="9.21875" style="44"/>
    <col min="2305" max="2305" width="0" style="44" hidden="1" customWidth="1"/>
    <col min="2306" max="2306" width="27.5546875" style="44" bestFit="1" customWidth="1"/>
    <col min="2307" max="2307" width="20.21875" style="44" customWidth="1"/>
    <col min="2308" max="2308" width="21.77734375" style="44" customWidth="1"/>
    <col min="2309" max="2309" width="18.77734375" style="44" customWidth="1"/>
    <col min="2310" max="2310" width="21.44140625" style="44" customWidth="1"/>
    <col min="2311" max="2311" width="26.5546875" style="44" customWidth="1"/>
    <col min="2312" max="2560" width="9.21875" style="44"/>
    <col min="2561" max="2561" width="0" style="44" hidden="1" customWidth="1"/>
    <col min="2562" max="2562" width="27.5546875" style="44" bestFit="1" customWidth="1"/>
    <col min="2563" max="2563" width="20.21875" style="44" customWidth="1"/>
    <col min="2564" max="2564" width="21.77734375" style="44" customWidth="1"/>
    <col min="2565" max="2565" width="18.77734375" style="44" customWidth="1"/>
    <col min="2566" max="2566" width="21.44140625" style="44" customWidth="1"/>
    <col min="2567" max="2567" width="26.5546875" style="44" customWidth="1"/>
    <col min="2568" max="2816" width="9.21875" style="44"/>
    <col min="2817" max="2817" width="0" style="44" hidden="1" customWidth="1"/>
    <col min="2818" max="2818" width="27.5546875" style="44" bestFit="1" customWidth="1"/>
    <col min="2819" max="2819" width="20.21875" style="44" customWidth="1"/>
    <col min="2820" max="2820" width="21.77734375" style="44" customWidth="1"/>
    <col min="2821" max="2821" width="18.77734375" style="44" customWidth="1"/>
    <col min="2822" max="2822" width="21.44140625" style="44" customWidth="1"/>
    <col min="2823" max="2823" width="26.5546875" style="44" customWidth="1"/>
    <col min="2824" max="3072" width="9.21875" style="44"/>
    <col min="3073" max="3073" width="0" style="44" hidden="1" customWidth="1"/>
    <col min="3074" max="3074" width="27.5546875" style="44" bestFit="1" customWidth="1"/>
    <col min="3075" max="3075" width="20.21875" style="44" customWidth="1"/>
    <col min="3076" max="3076" width="21.77734375" style="44" customWidth="1"/>
    <col min="3077" max="3077" width="18.77734375" style="44" customWidth="1"/>
    <col min="3078" max="3078" width="21.44140625" style="44" customWidth="1"/>
    <col min="3079" max="3079" width="26.5546875" style="44" customWidth="1"/>
    <col min="3080" max="3328" width="9.21875" style="44"/>
    <col min="3329" max="3329" width="0" style="44" hidden="1" customWidth="1"/>
    <col min="3330" max="3330" width="27.5546875" style="44" bestFit="1" customWidth="1"/>
    <col min="3331" max="3331" width="20.21875" style="44" customWidth="1"/>
    <col min="3332" max="3332" width="21.77734375" style="44" customWidth="1"/>
    <col min="3333" max="3333" width="18.77734375" style="44" customWidth="1"/>
    <col min="3334" max="3334" width="21.44140625" style="44" customWidth="1"/>
    <col min="3335" max="3335" width="26.5546875" style="44" customWidth="1"/>
    <col min="3336" max="3584" width="9.21875" style="44"/>
    <col min="3585" max="3585" width="0" style="44" hidden="1" customWidth="1"/>
    <col min="3586" max="3586" width="27.5546875" style="44" bestFit="1" customWidth="1"/>
    <col min="3587" max="3587" width="20.21875" style="44" customWidth="1"/>
    <col min="3588" max="3588" width="21.77734375" style="44" customWidth="1"/>
    <col min="3589" max="3589" width="18.77734375" style="44" customWidth="1"/>
    <col min="3590" max="3590" width="21.44140625" style="44" customWidth="1"/>
    <col min="3591" max="3591" width="26.5546875" style="44" customWidth="1"/>
    <col min="3592" max="3840" width="9.21875" style="44"/>
    <col min="3841" max="3841" width="0" style="44" hidden="1" customWidth="1"/>
    <col min="3842" max="3842" width="27.5546875" style="44" bestFit="1" customWidth="1"/>
    <col min="3843" max="3843" width="20.21875" style="44" customWidth="1"/>
    <col min="3844" max="3844" width="21.77734375" style="44" customWidth="1"/>
    <col min="3845" max="3845" width="18.77734375" style="44" customWidth="1"/>
    <col min="3846" max="3846" width="21.44140625" style="44" customWidth="1"/>
    <col min="3847" max="3847" width="26.5546875" style="44" customWidth="1"/>
    <col min="3848" max="4096" width="9.21875" style="44"/>
    <col min="4097" max="4097" width="0" style="44" hidden="1" customWidth="1"/>
    <col min="4098" max="4098" width="27.5546875" style="44" bestFit="1" customWidth="1"/>
    <col min="4099" max="4099" width="20.21875" style="44" customWidth="1"/>
    <col min="4100" max="4100" width="21.77734375" style="44" customWidth="1"/>
    <col min="4101" max="4101" width="18.77734375" style="44" customWidth="1"/>
    <col min="4102" max="4102" width="21.44140625" style="44" customWidth="1"/>
    <col min="4103" max="4103" width="26.5546875" style="44" customWidth="1"/>
    <col min="4104" max="4352" width="9.21875" style="44"/>
    <col min="4353" max="4353" width="0" style="44" hidden="1" customWidth="1"/>
    <col min="4354" max="4354" width="27.5546875" style="44" bestFit="1" customWidth="1"/>
    <col min="4355" max="4355" width="20.21875" style="44" customWidth="1"/>
    <col min="4356" max="4356" width="21.77734375" style="44" customWidth="1"/>
    <col min="4357" max="4357" width="18.77734375" style="44" customWidth="1"/>
    <col min="4358" max="4358" width="21.44140625" style="44" customWidth="1"/>
    <col min="4359" max="4359" width="26.5546875" style="44" customWidth="1"/>
    <col min="4360" max="4608" width="9.21875" style="44"/>
    <col min="4609" max="4609" width="0" style="44" hidden="1" customWidth="1"/>
    <col min="4610" max="4610" width="27.5546875" style="44" bestFit="1" customWidth="1"/>
    <col min="4611" max="4611" width="20.21875" style="44" customWidth="1"/>
    <col min="4612" max="4612" width="21.77734375" style="44" customWidth="1"/>
    <col min="4613" max="4613" width="18.77734375" style="44" customWidth="1"/>
    <col min="4614" max="4614" width="21.44140625" style="44" customWidth="1"/>
    <col min="4615" max="4615" width="26.5546875" style="44" customWidth="1"/>
    <col min="4616" max="4864" width="9.21875" style="44"/>
    <col min="4865" max="4865" width="0" style="44" hidden="1" customWidth="1"/>
    <col min="4866" max="4866" width="27.5546875" style="44" bestFit="1" customWidth="1"/>
    <col min="4867" max="4867" width="20.21875" style="44" customWidth="1"/>
    <col min="4868" max="4868" width="21.77734375" style="44" customWidth="1"/>
    <col min="4869" max="4869" width="18.77734375" style="44" customWidth="1"/>
    <col min="4870" max="4870" width="21.44140625" style="44" customWidth="1"/>
    <col min="4871" max="4871" width="26.5546875" style="44" customWidth="1"/>
    <col min="4872" max="5120" width="9.21875" style="44"/>
    <col min="5121" max="5121" width="0" style="44" hidden="1" customWidth="1"/>
    <col min="5122" max="5122" width="27.5546875" style="44" bestFit="1" customWidth="1"/>
    <col min="5123" max="5123" width="20.21875" style="44" customWidth="1"/>
    <col min="5124" max="5124" width="21.77734375" style="44" customWidth="1"/>
    <col min="5125" max="5125" width="18.77734375" style="44" customWidth="1"/>
    <col min="5126" max="5126" width="21.44140625" style="44" customWidth="1"/>
    <col min="5127" max="5127" width="26.5546875" style="44" customWidth="1"/>
    <col min="5128" max="5376" width="9.21875" style="44"/>
    <col min="5377" max="5377" width="0" style="44" hidden="1" customWidth="1"/>
    <col min="5378" max="5378" width="27.5546875" style="44" bestFit="1" customWidth="1"/>
    <col min="5379" max="5379" width="20.21875" style="44" customWidth="1"/>
    <col min="5380" max="5380" width="21.77734375" style="44" customWidth="1"/>
    <col min="5381" max="5381" width="18.77734375" style="44" customWidth="1"/>
    <col min="5382" max="5382" width="21.44140625" style="44" customWidth="1"/>
    <col min="5383" max="5383" width="26.5546875" style="44" customWidth="1"/>
    <col min="5384" max="5632" width="9.21875" style="44"/>
    <col min="5633" max="5633" width="0" style="44" hidden="1" customWidth="1"/>
    <col min="5634" max="5634" width="27.5546875" style="44" bestFit="1" customWidth="1"/>
    <col min="5635" max="5635" width="20.21875" style="44" customWidth="1"/>
    <col min="5636" max="5636" width="21.77734375" style="44" customWidth="1"/>
    <col min="5637" max="5637" width="18.77734375" style="44" customWidth="1"/>
    <col min="5638" max="5638" width="21.44140625" style="44" customWidth="1"/>
    <col min="5639" max="5639" width="26.5546875" style="44" customWidth="1"/>
    <col min="5640" max="5888" width="9.21875" style="44"/>
    <col min="5889" max="5889" width="0" style="44" hidden="1" customWidth="1"/>
    <col min="5890" max="5890" width="27.5546875" style="44" bestFit="1" customWidth="1"/>
    <col min="5891" max="5891" width="20.21875" style="44" customWidth="1"/>
    <col min="5892" max="5892" width="21.77734375" style="44" customWidth="1"/>
    <col min="5893" max="5893" width="18.77734375" style="44" customWidth="1"/>
    <col min="5894" max="5894" width="21.44140625" style="44" customWidth="1"/>
    <col min="5895" max="5895" width="26.5546875" style="44" customWidth="1"/>
    <col min="5896" max="6144" width="9.21875" style="44"/>
    <col min="6145" max="6145" width="0" style="44" hidden="1" customWidth="1"/>
    <col min="6146" max="6146" width="27.5546875" style="44" bestFit="1" customWidth="1"/>
    <col min="6147" max="6147" width="20.21875" style="44" customWidth="1"/>
    <col min="6148" max="6148" width="21.77734375" style="44" customWidth="1"/>
    <col min="6149" max="6149" width="18.77734375" style="44" customWidth="1"/>
    <col min="6150" max="6150" width="21.44140625" style="44" customWidth="1"/>
    <col min="6151" max="6151" width="26.5546875" style="44" customWidth="1"/>
    <col min="6152" max="6400" width="9.21875" style="44"/>
    <col min="6401" max="6401" width="0" style="44" hidden="1" customWidth="1"/>
    <col min="6402" max="6402" width="27.5546875" style="44" bestFit="1" customWidth="1"/>
    <col min="6403" max="6403" width="20.21875" style="44" customWidth="1"/>
    <col min="6404" max="6404" width="21.77734375" style="44" customWidth="1"/>
    <col min="6405" max="6405" width="18.77734375" style="44" customWidth="1"/>
    <col min="6406" max="6406" width="21.44140625" style="44" customWidth="1"/>
    <col min="6407" max="6407" width="26.5546875" style="44" customWidth="1"/>
    <col min="6408" max="6656" width="9.21875" style="44"/>
    <col min="6657" max="6657" width="0" style="44" hidden="1" customWidth="1"/>
    <col min="6658" max="6658" width="27.5546875" style="44" bestFit="1" customWidth="1"/>
    <col min="6659" max="6659" width="20.21875" style="44" customWidth="1"/>
    <col min="6660" max="6660" width="21.77734375" style="44" customWidth="1"/>
    <col min="6661" max="6661" width="18.77734375" style="44" customWidth="1"/>
    <col min="6662" max="6662" width="21.44140625" style="44" customWidth="1"/>
    <col min="6663" max="6663" width="26.5546875" style="44" customWidth="1"/>
    <col min="6664" max="6912" width="9.21875" style="44"/>
    <col min="6913" max="6913" width="0" style="44" hidden="1" customWidth="1"/>
    <col min="6914" max="6914" width="27.5546875" style="44" bestFit="1" customWidth="1"/>
    <col min="6915" max="6915" width="20.21875" style="44" customWidth="1"/>
    <col min="6916" max="6916" width="21.77734375" style="44" customWidth="1"/>
    <col min="6917" max="6917" width="18.77734375" style="44" customWidth="1"/>
    <col min="6918" max="6918" width="21.44140625" style="44" customWidth="1"/>
    <col min="6919" max="6919" width="26.5546875" style="44" customWidth="1"/>
    <col min="6920" max="7168" width="9.21875" style="44"/>
    <col min="7169" max="7169" width="0" style="44" hidden="1" customWidth="1"/>
    <col min="7170" max="7170" width="27.5546875" style="44" bestFit="1" customWidth="1"/>
    <col min="7171" max="7171" width="20.21875" style="44" customWidth="1"/>
    <col min="7172" max="7172" width="21.77734375" style="44" customWidth="1"/>
    <col min="7173" max="7173" width="18.77734375" style="44" customWidth="1"/>
    <col min="7174" max="7174" width="21.44140625" style="44" customWidth="1"/>
    <col min="7175" max="7175" width="26.5546875" style="44" customWidth="1"/>
    <col min="7176" max="7424" width="9.21875" style="44"/>
    <col min="7425" max="7425" width="0" style="44" hidden="1" customWidth="1"/>
    <col min="7426" max="7426" width="27.5546875" style="44" bestFit="1" customWidth="1"/>
    <col min="7427" max="7427" width="20.21875" style="44" customWidth="1"/>
    <col min="7428" max="7428" width="21.77734375" style="44" customWidth="1"/>
    <col min="7429" max="7429" width="18.77734375" style="44" customWidth="1"/>
    <col min="7430" max="7430" width="21.44140625" style="44" customWidth="1"/>
    <col min="7431" max="7431" width="26.5546875" style="44" customWidth="1"/>
    <col min="7432" max="7680" width="9.21875" style="44"/>
    <col min="7681" max="7681" width="0" style="44" hidden="1" customWidth="1"/>
    <col min="7682" max="7682" width="27.5546875" style="44" bestFit="1" customWidth="1"/>
    <col min="7683" max="7683" width="20.21875" style="44" customWidth="1"/>
    <col min="7684" max="7684" width="21.77734375" style="44" customWidth="1"/>
    <col min="7685" max="7685" width="18.77734375" style="44" customWidth="1"/>
    <col min="7686" max="7686" width="21.44140625" style="44" customWidth="1"/>
    <col min="7687" max="7687" width="26.5546875" style="44" customWidth="1"/>
    <col min="7688" max="7936" width="9.21875" style="44"/>
    <col min="7937" max="7937" width="0" style="44" hidden="1" customWidth="1"/>
    <col min="7938" max="7938" width="27.5546875" style="44" bestFit="1" customWidth="1"/>
    <col min="7939" max="7939" width="20.21875" style="44" customWidth="1"/>
    <col min="7940" max="7940" width="21.77734375" style="44" customWidth="1"/>
    <col min="7941" max="7941" width="18.77734375" style="44" customWidth="1"/>
    <col min="7942" max="7942" width="21.44140625" style="44" customWidth="1"/>
    <col min="7943" max="7943" width="26.5546875" style="44" customWidth="1"/>
    <col min="7944" max="8192" width="9.21875" style="44"/>
    <col min="8193" max="8193" width="0" style="44" hidden="1" customWidth="1"/>
    <col min="8194" max="8194" width="27.5546875" style="44" bestFit="1" customWidth="1"/>
    <col min="8195" max="8195" width="20.21875" style="44" customWidth="1"/>
    <col min="8196" max="8196" width="21.77734375" style="44" customWidth="1"/>
    <col min="8197" max="8197" width="18.77734375" style="44" customWidth="1"/>
    <col min="8198" max="8198" width="21.44140625" style="44" customWidth="1"/>
    <col min="8199" max="8199" width="26.5546875" style="44" customWidth="1"/>
    <col min="8200" max="8448" width="9.21875" style="44"/>
    <col min="8449" max="8449" width="0" style="44" hidden="1" customWidth="1"/>
    <col min="8450" max="8450" width="27.5546875" style="44" bestFit="1" customWidth="1"/>
    <col min="8451" max="8451" width="20.21875" style="44" customWidth="1"/>
    <col min="8452" max="8452" width="21.77734375" style="44" customWidth="1"/>
    <col min="8453" max="8453" width="18.77734375" style="44" customWidth="1"/>
    <col min="8454" max="8454" width="21.44140625" style="44" customWidth="1"/>
    <col min="8455" max="8455" width="26.5546875" style="44" customWidth="1"/>
    <col min="8456" max="8704" width="9.21875" style="44"/>
    <col min="8705" max="8705" width="0" style="44" hidden="1" customWidth="1"/>
    <col min="8706" max="8706" width="27.5546875" style="44" bestFit="1" customWidth="1"/>
    <col min="8707" max="8707" width="20.21875" style="44" customWidth="1"/>
    <col min="8708" max="8708" width="21.77734375" style="44" customWidth="1"/>
    <col min="8709" max="8709" width="18.77734375" style="44" customWidth="1"/>
    <col min="8710" max="8710" width="21.44140625" style="44" customWidth="1"/>
    <col min="8711" max="8711" width="26.5546875" style="44" customWidth="1"/>
    <col min="8712" max="8960" width="9.21875" style="44"/>
    <col min="8961" max="8961" width="0" style="44" hidden="1" customWidth="1"/>
    <col min="8962" max="8962" width="27.5546875" style="44" bestFit="1" customWidth="1"/>
    <col min="8963" max="8963" width="20.21875" style="44" customWidth="1"/>
    <col min="8964" max="8964" width="21.77734375" style="44" customWidth="1"/>
    <col min="8965" max="8965" width="18.77734375" style="44" customWidth="1"/>
    <col min="8966" max="8966" width="21.44140625" style="44" customWidth="1"/>
    <col min="8967" max="8967" width="26.5546875" style="44" customWidth="1"/>
    <col min="8968" max="9216" width="9.21875" style="44"/>
    <col min="9217" max="9217" width="0" style="44" hidden="1" customWidth="1"/>
    <col min="9218" max="9218" width="27.5546875" style="44" bestFit="1" customWidth="1"/>
    <col min="9219" max="9219" width="20.21875" style="44" customWidth="1"/>
    <col min="9220" max="9220" width="21.77734375" style="44" customWidth="1"/>
    <col min="9221" max="9221" width="18.77734375" style="44" customWidth="1"/>
    <col min="9222" max="9222" width="21.44140625" style="44" customWidth="1"/>
    <col min="9223" max="9223" width="26.5546875" style="44" customWidth="1"/>
    <col min="9224" max="9472" width="9.21875" style="44"/>
    <col min="9473" max="9473" width="0" style="44" hidden="1" customWidth="1"/>
    <col min="9474" max="9474" width="27.5546875" style="44" bestFit="1" customWidth="1"/>
    <col min="9475" max="9475" width="20.21875" style="44" customWidth="1"/>
    <col min="9476" max="9476" width="21.77734375" style="44" customWidth="1"/>
    <col min="9477" max="9477" width="18.77734375" style="44" customWidth="1"/>
    <col min="9478" max="9478" width="21.44140625" style="44" customWidth="1"/>
    <col min="9479" max="9479" width="26.5546875" style="44" customWidth="1"/>
    <col min="9480" max="9728" width="9.21875" style="44"/>
    <col min="9729" max="9729" width="0" style="44" hidden="1" customWidth="1"/>
    <col min="9730" max="9730" width="27.5546875" style="44" bestFit="1" customWidth="1"/>
    <col min="9731" max="9731" width="20.21875" style="44" customWidth="1"/>
    <col min="9732" max="9732" width="21.77734375" style="44" customWidth="1"/>
    <col min="9733" max="9733" width="18.77734375" style="44" customWidth="1"/>
    <col min="9734" max="9734" width="21.44140625" style="44" customWidth="1"/>
    <col min="9735" max="9735" width="26.5546875" style="44" customWidth="1"/>
    <col min="9736" max="9984" width="9.21875" style="44"/>
    <col min="9985" max="9985" width="0" style="44" hidden="1" customWidth="1"/>
    <col min="9986" max="9986" width="27.5546875" style="44" bestFit="1" customWidth="1"/>
    <col min="9987" max="9987" width="20.21875" style="44" customWidth="1"/>
    <col min="9988" max="9988" width="21.77734375" style="44" customWidth="1"/>
    <col min="9989" max="9989" width="18.77734375" style="44" customWidth="1"/>
    <col min="9990" max="9990" width="21.44140625" style="44" customWidth="1"/>
    <col min="9991" max="9991" width="26.5546875" style="44" customWidth="1"/>
    <col min="9992" max="10240" width="9.21875" style="44"/>
    <col min="10241" max="10241" width="0" style="44" hidden="1" customWidth="1"/>
    <col min="10242" max="10242" width="27.5546875" style="44" bestFit="1" customWidth="1"/>
    <col min="10243" max="10243" width="20.21875" style="44" customWidth="1"/>
    <col min="10244" max="10244" width="21.77734375" style="44" customWidth="1"/>
    <col min="10245" max="10245" width="18.77734375" style="44" customWidth="1"/>
    <col min="10246" max="10246" width="21.44140625" style="44" customWidth="1"/>
    <col min="10247" max="10247" width="26.5546875" style="44" customWidth="1"/>
    <col min="10248" max="10496" width="9.21875" style="44"/>
    <col min="10497" max="10497" width="0" style="44" hidden="1" customWidth="1"/>
    <col min="10498" max="10498" width="27.5546875" style="44" bestFit="1" customWidth="1"/>
    <col min="10499" max="10499" width="20.21875" style="44" customWidth="1"/>
    <col min="10500" max="10500" width="21.77734375" style="44" customWidth="1"/>
    <col min="10501" max="10501" width="18.77734375" style="44" customWidth="1"/>
    <col min="10502" max="10502" width="21.44140625" style="44" customWidth="1"/>
    <col min="10503" max="10503" width="26.5546875" style="44" customWidth="1"/>
    <col min="10504" max="10752" width="9.21875" style="44"/>
    <col min="10753" max="10753" width="0" style="44" hidden="1" customWidth="1"/>
    <col min="10754" max="10754" width="27.5546875" style="44" bestFit="1" customWidth="1"/>
    <col min="10755" max="10755" width="20.21875" style="44" customWidth="1"/>
    <col min="10756" max="10756" width="21.77734375" style="44" customWidth="1"/>
    <col min="10757" max="10757" width="18.77734375" style="44" customWidth="1"/>
    <col min="10758" max="10758" width="21.44140625" style="44" customWidth="1"/>
    <col min="10759" max="10759" width="26.5546875" style="44" customWidth="1"/>
    <col min="10760" max="11008" width="9.21875" style="44"/>
    <col min="11009" max="11009" width="0" style="44" hidden="1" customWidth="1"/>
    <col min="11010" max="11010" width="27.5546875" style="44" bestFit="1" customWidth="1"/>
    <col min="11011" max="11011" width="20.21875" style="44" customWidth="1"/>
    <col min="11012" max="11012" width="21.77734375" style="44" customWidth="1"/>
    <col min="11013" max="11013" width="18.77734375" style="44" customWidth="1"/>
    <col min="11014" max="11014" width="21.44140625" style="44" customWidth="1"/>
    <col min="11015" max="11015" width="26.5546875" style="44" customWidth="1"/>
    <col min="11016" max="11264" width="9.21875" style="44"/>
    <col min="11265" max="11265" width="0" style="44" hidden="1" customWidth="1"/>
    <col min="11266" max="11266" width="27.5546875" style="44" bestFit="1" customWidth="1"/>
    <col min="11267" max="11267" width="20.21875" style="44" customWidth="1"/>
    <col min="11268" max="11268" width="21.77734375" style="44" customWidth="1"/>
    <col min="11269" max="11269" width="18.77734375" style="44" customWidth="1"/>
    <col min="11270" max="11270" width="21.44140625" style="44" customWidth="1"/>
    <col min="11271" max="11271" width="26.5546875" style="44" customWidth="1"/>
    <col min="11272" max="11520" width="9.21875" style="44"/>
    <col min="11521" max="11521" width="0" style="44" hidden="1" customWidth="1"/>
    <col min="11522" max="11522" width="27.5546875" style="44" bestFit="1" customWidth="1"/>
    <col min="11523" max="11523" width="20.21875" style="44" customWidth="1"/>
    <col min="11524" max="11524" width="21.77734375" style="44" customWidth="1"/>
    <col min="11525" max="11525" width="18.77734375" style="44" customWidth="1"/>
    <col min="11526" max="11526" width="21.44140625" style="44" customWidth="1"/>
    <col min="11527" max="11527" width="26.5546875" style="44" customWidth="1"/>
    <col min="11528" max="11776" width="9.21875" style="44"/>
    <col min="11777" max="11777" width="0" style="44" hidden="1" customWidth="1"/>
    <col min="11778" max="11778" width="27.5546875" style="44" bestFit="1" customWidth="1"/>
    <col min="11779" max="11779" width="20.21875" style="44" customWidth="1"/>
    <col min="11780" max="11780" width="21.77734375" style="44" customWidth="1"/>
    <col min="11781" max="11781" width="18.77734375" style="44" customWidth="1"/>
    <col min="11782" max="11782" width="21.44140625" style="44" customWidth="1"/>
    <col min="11783" max="11783" width="26.5546875" style="44" customWidth="1"/>
    <col min="11784" max="12032" width="9.21875" style="44"/>
    <col min="12033" max="12033" width="0" style="44" hidden="1" customWidth="1"/>
    <col min="12034" max="12034" width="27.5546875" style="44" bestFit="1" customWidth="1"/>
    <col min="12035" max="12035" width="20.21875" style="44" customWidth="1"/>
    <col min="12036" max="12036" width="21.77734375" style="44" customWidth="1"/>
    <col min="12037" max="12037" width="18.77734375" style="44" customWidth="1"/>
    <col min="12038" max="12038" width="21.44140625" style="44" customWidth="1"/>
    <col min="12039" max="12039" width="26.5546875" style="44" customWidth="1"/>
    <col min="12040" max="12288" width="9.21875" style="44"/>
    <col min="12289" max="12289" width="0" style="44" hidden="1" customWidth="1"/>
    <col min="12290" max="12290" width="27.5546875" style="44" bestFit="1" customWidth="1"/>
    <col min="12291" max="12291" width="20.21875" style="44" customWidth="1"/>
    <col min="12292" max="12292" width="21.77734375" style="44" customWidth="1"/>
    <col min="12293" max="12293" width="18.77734375" style="44" customWidth="1"/>
    <col min="12294" max="12294" width="21.44140625" style="44" customWidth="1"/>
    <col min="12295" max="12295" width="26.5546875" style="44" customWidth="1"/>
    <col min="12296" max="12544" width="9.21875" style="44"/>
    <col min="12545" max="12545" width="0" style="44" hidden="1" customWidth="1"/>
    <col min="12546" max="12546" width="27.5546875" style="44" bestFit="1" customWidth="1"/>
    <col min="12547" max="12547" width="20.21875" style="44" customWidth="1"/>
    <col min="12548" max="12548" width="21.77734375" style="44" customWidth="1"/>
    <col min="12549" max="12549" width="18.77734375" style="44" customWidth="1"/>
    <col min="12550" max="12550" width="21.44140625" style="44" customWidth="1"/>
    <col min="12551" max="12551" width="26.5546875" style="44" customWidth="1"/>
    <col min="12552" max="12800" width="9.21875" style="44"/>
    <col min="12801" max="12801" width="0" style="44" hidden="1" customWidth="1"/>
    <col min="12802" max="12802" width="27.5546875" style="44" bestFit="1" customWidth="1"/>
    <col min="12803" max="12803" width="20.21875" style="44" customWidth="1"/>
    <col min="12804" max="12804" width="21.77734375" style="44" customWidth="1"/>
    <col min="12805" max="12805" width="18.77734375" style="44" customWidth="1"/>
    <col min="12806" max="12806" width="21.44140625" style="44" customWidth="1"/>
    <col min="12807" max="12807" width="26.5546875" style="44" customWidth="1"/>
    <col min="12808" max="13056" width="9.21875" style="44"/>
    <col min="13057" max="13057" width="0" style="44" hidden="1" customWidth="1"/>
    <col min="13058" max="13058" width="27.5546875" style="44" bestFit="1" customWidth="1"/>
    <col min="13059" max="13059" width="20.21875" style="44" customWidth="1"/>
    <col min="13060" max="13060" width="21.77734375" style="44" customWidth="1"/>
    <col min="13061" max="13061" width="18.77734375" style="44" customWidth="1"/>
    <col min="13062" max="13062" width="21.44140625" style="44" customWidth="1"/>
    <col min="13063" max="13063" width="26.5546875" style="44" customWidth="1"/>
    <col min="13064" max="13312" width="9.21875" style="44"/>
    <col min="13313" max="13313" width="0" style="44" hidden="1" customWidth="1"/>
    <col min="13314" max="13314" width="27.5546875" style="44" bestFit="1" customWidth="1"/>
    <col min="13315" max="13315" width="20.21875" style="44" customWidth="1"/>
    <col min="13316" max="13316" width="21.77734375" style="44" customWidth="1"/>
    <col min="13317" max="13317" width="18.77734375" style="44" customWidth="1"/>
    <col min="13318" max="13318" width="21.44140625" style="44" customWidth="1"/>
    <col min="13319" max="13319" width="26.5546875" style="44" customWidth="1"/>
    <col min="13320" max="13568" width="9.21875" style="44"/>
    <col min="13569" max="13569" width="0" style="44" hidden="1" customWidth="1"/>
    <col min="13570" max="13570" width="27.5546875" style="44" bestFit="1" customWidth="1"/>
    <col min="13571" max="13571" width="20.21875" style="44" customWidth="1"/>
    <col min="13572" max="13572" width="21.77734375" style="44" customWidth="1"/>
    <col min="13573" max="13573" width="18.77734375" style="44" customWidth="1"/>
    <col min="13574" max="13574" width="21.44140625" style="44" customWidth="1"/>
    <col min="13575" max="13575" width="26.5546875" style="44" customWidth="1"/>
    <col min="13576" max="13824" width="9.21875" style="44"/>
    <col min="13825" max="13825" width="0" style="44" hidden="1" customWidth="1"/>
    <col min="13826" max="13826" width="27.5546875" style="44" bestFit="1" customWidth="1"/>
    <col min="13827" max="13827" width="20.21875" style="44" customWidth="1"/>
    <col min="13828" max="13828" width="21.77734375" style="44" customWidth="1"/>
    <col min="13829" max="13829" width="18.77734375" style="44" customWidth="1"/>
    <col min="13830" max="13830" width="21.44140625" style="44" customWidth="1"/>
    <col min="13831" max="13831" width="26.5546875" style="44" customWidth="1"/>
    <col min="13832" max="14080" width="9.21875" style="44"/>
    <col min="14081" max="14081" width="0" style="44" hidden="1" customWidth="1"/>
    <col min="14082" max="14082" width="27.5546875" style="44" bestFit="1" customWidth="1"/>
    <col min="14083" max="14083" width="20.21875" style="44" customWidth="1"/>
    <col min="14084" max="14084" width="21.77734375" style="44" customWidth="1"/>
    <col min="14085" max="14085" width="18.77734375" style="44" customWidth="1"/>
    <col min="14086" max="14086" width="21.44140625" style="44" customWidth="1"/>
    <col min="14087" max="14087" width="26.5546875" style="44" customWidth="1"/>
    <col min="14088" max="14336" width="9.21875" style="44"/>
    <col min="14337" max="14337" width="0" style="44" hidden="1" customWidth="1"/>
    <col min="14338" max="14338" width="27.5546875" style="44" bestFit="1" customWidth="1"/>
    <col min="14339" max="14339" width="20.21875" style="44" customWidth="1"/>
    <col min="14340" max="14340" width="21.77734375" style="44" customWidth="1"/>
    <col min="14341" max="14341" width="18.77734375" style="44" customWidth="1"/>
    <col min="14342" max="14342" width="21.44140625" style="44" customWidth="1"/>
    <col min="14343" max="14343" width="26.5546875" style="44" customWidth="1"/>
    <col min="14344" max="14592" width="9.21875" style="44"/>
    <col min="14593" max="14593" width="0" style="44" hidden="1" customWidth="1"/>
    <col min="14594" max="14594" width="27.5546875" style="44" bestFit="1" customWidth="1"/>
    <col min="14595" max="14595" width="20.21875" style="44" customWidth="1"/>
    <col min="14596" max="14596" width="21.77734375" style="44" customWidth="1"/>
    <col min="14597" max="14597" width="18.77734375" style="44" customWidth="1"/>
    <col min="14598" max="14598" width="21.44140625" style="44" customWidth="1"/>
    <col min="14599" max="14599" width="26.5546875" style="44" customWidth="1"/>
    <col min="14600" max="14848" width="9.21875" style="44"/>
    <col min="14849" max="14849" width="0" style="44" hidden="1" customWidth="1"/>
    <col min="14850" max="14850" width="27.5546875" style="44" bestFit="1" customWidth="1"/>
    <col min="14851" max="14851" width="20.21875" style="44" customWidth="1"/>
    <col min="14852" max="14852" width="21.77734375" style="44" customWidth="1"/>
    <col min="14853" max="14853" width="18.77734375" style="44" customWidth="1"/>
    <col min="14854" max="14854" width="21.44140625" style="44" customWidth="1"/>
    <col min="14855" max="14855" width="26.5546875" style="44" customWidth="1"/>
    <col min="14856" max="15104" width="9.21875" style="44"/>
    <col min="15105" max="15105" width="0" style="44" hidden="1" customWidth="1"/>
    <col min="15106" max="15106" width="27.5546875" style="44" bestFit="1" customWidth="1"/>
    <col min="15107" max="15107" width="20.21875" style="44" customWidth="1"/>
    <col min="15108" max="15108" width="21.77734375" style="44" customWidth="1"/>
    <col min="15109" max="15109" width="18.77734375" style="44" customWidth="1"/>
    <col min="15110" max="15110" width="21.44140625" style="44" customWidth="1"/>
    <col min="15111" max="15111" width="26.5546875" style="44" customWidth="1"/>
    <col min="15112" max="15360" width="9.21875" style="44"/>
    <col min="15361" max="15361" width="0" style="44" hidden="1" customWidth="1"/>
    <col min="15362" max="15362" width="27.5546875" style="44" bestFit="1" customWidth="1"/>
    <col min="15363" max="15363" width="20.21875" style="44" customWidth="1"/>
    <col min="15364" max="15364" width="21.77734375" style="44" customWidth="1"/>
    <col min="15365" max="15365" width="18.77734375" style="44" customWidth="1"/>
    <col min="15366" max="15366" width="21.44140625" style="44" customWidth="1"/>
    <col min="15367" max="15367" width="26.5546875" style="44" customWidth="1"/>
    <col min="15368" max="15616" width="9.21875" style="44"/>
    <col min="15617" max="15617" width="0" style="44" hidden="1" customWidth="1"/>
    <col min="15618" max="15618" width="27.5546875" style="44" bestFit="1" customWidth="1"/>
    <col min="15619" max="15619" width="20.21875" style="44" customWidth="1"/>
    <col min="15620" max="15620" width="21.77734375" style="44" customWidth="1"/>
    <col min="15621" max="15621" width="18.77734375" style="44" customWidth="1"/>
    <col min="15622" max="15622" width="21.44140625" style="44" customWidth="1"/>
    <col min="15623" max="15623" width="26.5546875" style="44" customWidth="1"/>
    <col min="15624" max="15872" width="9.21875" style="44"/>
    <col min="15873" max="15873" width="0" style="44" hidden="1" customWidth="1"/>
    <col min="15874" max="15874" width="27.5546875" style="44" bestFit="1" customWidth="1"/>
    <col min="15875" max="15875" width="20.21875" style="44" customWidth="1"/>
    <col min="15876" max="15876" width="21.77734375" style="44" customWidth="1"/>
    <col min="15877" max="15877" width="18.77734375" style="44" customWidth="1"/>
    <col min="15878" max="15878" width="21.44140625" style="44" customWidth="1"/>
    <col min="15879" max="15879" width="26.5546875" style="44" customWidth="1"/>
    <col min="15880" max="16128" width="9.21875" style="44"/>
    <col min="16129" max="16129" width="0" style="44" hidden="1" customWidth="1"/>
    <col min="16130" max="16130" width="27.5546875" style="44" bestFit="1" customWidth="1"/>
    <col min="16131" max="16131" width="20.21875" style="44" customWidth="1"/>
    <col min="16132" max="16132" width="21.77734375" style="44" customWidth="1"/>
    <col min="16133" max="16133" width="18.77734375" style="44" customWidth="1"/>
    <col min="16134" max="16134" width="21.44140625" style="44" customWidth="1"/>
    <col min="16135" max="16135" width="26.5546875" style="44" customWidth="1"/>
    <col min="16136" max="16384" width="9.21875" style="44"/>
  </cols>
  <sheetData>
    <row r="1" spans="1:13" s="22" customFormat="1" ht="41.25" customHeight="1" x14ac:dyDescent="0.3">
      <c r="B1" s="181" t="s">
        <v>104</v>
      </c>
      <c r="C1" s="182"/>
      <c r="D1" s="182"/>
      <c r="E1" s="182"/>
      <c r="F1" s="182"/>
      <c r="G1" s="183"/>
    </row>
    <row r="2" spans="1:13" s="23" customFormat="1" ht="28.5" customHeight="1" x14ac:dyDescent="0.3">
      <c r="C2" s="24" t="s">
        <v>1</v>
      </c>
      <c r="D2" s="24" t="s">
        <v>59</v>
      </c>
      <c r="E2" s="24" t="s">
        <v>60</v>
      </c>
      <c r="F2" s="24" t="s">
        <v>61</v>
      </c>
      <c r="G2" s="25" t="s">
        <v>5</v>
      </c>
    </row>
    <row r="3" spans="1:13" s="23" customFormat="1" ht="28.5" customHeight="1" x14ac:dyDescent="0.3">
      <c r="B3" s="26" t="s">
        <v>0</v>
      </c>
      <c r="C3" s="27">
        <f>C4+C44</f>
        <v>1643</v>
      </c>
      <c r="D3" s="27">
        <f>D4+D44</f>
        <v>1565.999</v>
      </c>
      <c r="E3" s="27">
        <f>E4+E44</f>
        <v>98</v>
      </c>
      <c r="F3" s="27">
        <f>F4+F44</f>
        <v>1118</v>
      </c>
      <c r="G3" s="27">
        <f>G4+G44</f>
        <v>4424.9989999999998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26" t="s">
        <v>62</v>
      </c>
      <c r="C4" s="31">
        <f>SUM(C5:C43)</f>
        <v>941</v>
      </c>
      <c r="D4" s="31">
        <f>SUM(D5:D43)</f>
        <v>1518</v>
      </c>
      <c r="E4" s="31">
        <f>SUM(E5:E43)</f>
        <v>72</v>
      </c>
      <c r="F4" s="31">
        <f>SUM(F5:F43)</f>
        <v>788</v>
      </c>
      <c r="G4" s="31">
        <f>SUM(G5:G43)</f>
        <v>3319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33" t="s">
        <v>10</v>
      </c>
      <c r="C5" s="79">
        <v>41</v>
      </c>
      <c r="D5" s="79">
        <v>20</v>
      </c>
      <c r="E5" s="79">
        <v>1</v>
      </c>
      <c r="F5" s="79">
        <v>14</v>
      </c>
      <c r="G5" s="31">
        <f>SUM(C5:F5)</f>
        <v>76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33" t="s">
        <v>11</v>
      </c>
      <c r="C6" s="79">
        <v>20</v>
      </c>
      <c r="D6" s="79">
        <v>25</v>
      </c>
      <c r="E6" s="79">
        <v>1</v>
      </c>
      <c r="F6" s="79">
        <v>19</v>
      </c>
      <c r="G6" s="31">
        <f t="shared" ref="G6:G43" si="0">SUM(C6:F6)</f>
        <v>65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33" t="s">
        <v>12</v>
      </c>
      <c r="C7" s="79">
        <v>16</v>
      </c>
      <c r="D7" s="79">
        <v>10</v>
      </c>
      <c r="E7" s="79">
        <v>6</v>
      </c>
      <c r="F7" s="79">
        <v>36</v>
      </c>
      <c r="G7" s="31">
        <f t="shared" si="0"/>
        <v>68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33" t="s">
        <v>13</v>
      </c>
      <c r="C8" s="79">
        <v>18</v>
      </c>
      <c r="D8" s="79">
        <v>23</v>
      </c>
      <c r="E8" s="79">
        <v>0</v>
      </c>
      <c r="F8" s="79">
        <v>9</v>
      </c>
      <c r="G8" s="31">
        <f t="shared" si="0"/>
        <v>50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33" t="s">
        <v>14</v>
      </c>
      <c r="C9" s="79">
        <v>13</v>
      </c>
      <c r="D9" s="79">
        <v>29</v>
      </c>
      <c r="E9" s="79">
        <v>5</v>
      </c>
      <c r="F9" s="79">
        <v>13</v>
      </c>
      <c r="G9" s="31">
        <f t="shared" si="0"/>
        <v>60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33" t="s">
        <v>15</v>
      </c>
      <c r="C10" s="79">
        <v>20</v>
      </c>
      <c r="D10" s="79">
        <v>35</v>
      </c>
      <c r="E10" s="79">
        <v>0</v>
      </c>
      <c r="F10" s="79">
        <v>62</v>
      </c>
      <c r="G10" s="31">
        <f t="shared" si="0"/>
        <v>117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33" t="s">
        <v>16</v>
      </c>
      <c r="C11" s="79">
        <v>24</v>
      </c>
      <c r="D11" s="79">
        <v>5</v>
      </c>
      <c r="E11" s="79">
        <v>0</v>
      </c>
      <c r="F11" s="79">
        <v>10</v>
      </c>
      <c r="G11" s="31">
        <f t="shared" si="0"/>
        <v>39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33" t="s">
        <v>17</v>
      </c>
      <c r="C12" s="79">
        <v>6</v>
      </c>
      <c r="D12" s="79">
        <v>39</v>
      </c>
      <c r="E12" s="79">
        <v>1</v>
      </c>
      <c r="F12" s="79">
        <v>12</v>
      </c>
      <c r="G12" s="31">
        <f t="shared" si="0"/>
        <v>58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33" t="s">
        <v>18</v>
      </c>
      <c r="C13" s="79">
        <v>15</v>
      </c>
      <c r="D13" s="79">
        <v>39</v>
      </c>
      <c r="E13" s="79">
        <v>0</v>
      </c>
      <c r="F13" s="79">
        <v>7</v>
      </c>
      <c r="G13" s="31">
        <f t="shared" si="0"/>
        <v>61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33" t="s">
        <v>19</v>
      </c>
      <c r="C14" s="79">
        <v>22</v>
      </c>
      <c r="D14" s="79">
        <v>52</v>
      </c>
      <c r="E14" s="79">
        <v>1</v>
      </c>
      <c r="F14" s="79">
        <v>24</v>
      </c>
      <c r="G14" s="31">
        <f t="shared" si="0"/>
        <v>99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35" t="s">
        <v>63</v>
      </c>
      <c r="C15" s="79">
        <v>32</v>
      </c>
      <c r="D15" s="79">
        <v>131</v>
      </c>
      <c r="E15" s="79">
        <v>2</v>
      </c>
      <c r="F15" s="79">
        <v>36</v>
      </c>
      <c r="G15" s="31">
        <f t="shared" si="0"/>
        <v>201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33" t="s">
        <v>105</v>
      </c>
      <c r="C16" s="79">
        <v>27</v>
      </c>
      <c r="D16" s="79">
        <v>69</v>
      </c>
      <c r="E16" s="79">
        <v>2</v>
      </c>
      <c r="F16" s="79">
        <v>48</v>
      </c>
      <c r="G16" s="31">
        <f t="shared" si="0"/>
        <v>146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33" t="s">
        <v>22</v>
      </c>
      <c r="C17" s="79">
        <v>19</v>
      </c>
      <c r="D17" s="79">
        <v>18</v>
      </c>
      <c r="E17" s="79">
        <v>7</v>
      </c>
      <c r="F17" s="79">
        <v>14</v>
      </c>
      <c r="G17" s="31">
        <f t="shared" si="0"/>
        <v>58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33" t="s">
        <v>23</v>
      </c>
      <c r="C18" s="79">
        <v>23</v>
      </c>
      <c r="D18" s="79">
        <v>29</v>
      </c>
      <c r="E18" s="79">
        <v>4</v>
      </c>
      <c r="F18" s="79">
        <v>20</v>
      </c>
      <c r="G18" s="31">
        <f t="shared" si="0"/>
        <v>76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33" t="s">
        <v>24</v>
      </c>
      <c r="C19" s="79">
        <v>91</v>
      </c>
      <c r="D19" s="79">
        <v>52</v>
      </c>
      <c r="E19" s="79">
        <v>1</v>
      </c>
      <c r="F19" s="79">
        <v>63</v>
      </c>
      <c r="G19" s="31">
        <f t="shared" si="0"/>
        <v>207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33" t="s">
        <v>25</v>
      </c>
      <c r="C20" s="79">
        <v>17</v>
      </c>
      <c r="D20" s="79">
        <v>37</v>
      </c>
      <c r="E20" s="79">
        <v>0</v>
      </c>
      <c r="F20" s="79">
        <v>4</v>
      </c>
      <c r="G20" s="31">
        <f t="shared" si="0"/>
        <v>58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33" t="s">
        <v>28</v>
      </c>
      <c r="C21" s="79">
        <v>100</v>
      </c>
      <c r="D21" s="79">
        <v>100</v>
      </c>
      <c r="E21" s="79">
        <v>3</v>
      </c>
      <c r="F21" s="79">
        <v>72</v>
      </c>
      <c r="G21" s="31">
        <f t="shared" si="0"/>
        <v>275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33" t="s">
        <v>64</v>
      </c>
      <c r="C22" s="79">
        <v>28</v>
      </c>
      <c r="D22" s="79">
        <v>54</v>
      </c>
      <c r="E22" s="79">
        <v>3</v>
      </c>
      <c r="F22" s="79">
        <v>11</v>
      </c>
      <c r="G22" s="31">
        <f t="shared" si="0"/>
        <v>96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33" t="s">
        <v>30</v>
      </c>
      <c r="C23" s="79">
        <v>33</v>
      </c>
      <c r="D23" s="79">
        <v>31</v>
      </c>
      <c r="E23" s="79">
        <v>0</v>
      </c>
      <c r="F23" s="79">
        <v>21</v>
      </c>
      <c r="G23" s="31">
        <f t="shared" si="0"/>
        <v>85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33" t="s">
        <v>31</v>
      </c>
      <c r="C24" s="79">
        <v>29</v>
      </c>
      <c r="D24" s="79">
        <v>41</v>
      </c>
      <c r="E24" s="79">
        <v>4</v>
      </c>
      <c r="F24" s="79">
        <v>25</v>
      </c>
      <c r="G24" s="31">
        <f t="shared" si="0"/>
        <v>99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33" t="s">
        <v>65</v>
      </c>
      <c r="C25" s="79">
        <v>3</v>
      </c>
      <c r="D25" s="79">
        <v>9</v>
      </c>
      <c r="E25" s="79">
        <v>0</v>
      </c>
      <c r="F25" s="79">
        <v>5</v>
      </c>
      <c r="G25" s="31">
        <f t="shared" si="0"/>
        <v>17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33" t="s">
        <v>34</v>
      </c>
      <c r="C26" s="79">
        <v>46</v>
      </c>
      <c r="D26" s="79">
        <v>44</v>
      </c>
      <c r="E26" s="79">
        <v>3</v>
      </c>
      <c r="F26" s="79">
        <v>27</v>
      </c>
      <c r="G26" s="31">
        <f t="shared" si="0"/>
        <v>120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33" t="s">
        <v>35</v>
      </c>
      <c r="C27" s="79">
        <v>48</v>
      </c>
      <c r="D27" s="79">
        <v>58</v>
      </c>
      <c r="E27" s="79">
        <v>0</v>
      </c>
      <c r="F27" s="79">
        <v>28</v>
      </c>
      <c r="G27" s="31">
        <f t="shared" si="0"/>
        <v>134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33" t="s">
        <v>36</v>
      </c>
      <c r="C28" s="79">
        <v>35</v>
      </c>
      <c r="D28" s="79">
        <v>43</v>
      </c>
      <c r="E28" s="79">
        <v>1</v>
      </c>
      <c r="F28" s="79">
        <v>12</v>
      </c>
      <c r="G28" s="31">
        <f t="shared" si="0"/>
        <v>91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33" t="s">
        <v>37</v>
      </c>
      <c r="C29" s="79">
        <v>9</v>
      </c>
      <c r="D29" s="79">
        <v>58</v>
      </c>
      <c r="E29" s="79">
        <v>3</v>
      </c>
      <c r="F29" s="79">
        <v>13</v>
      </c>
      <c r="G29" s="31">
        <f t="shared" si="0"/>
        <v>83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33" t="s">
        <v>39</v>
      </c>
      <c r="C30" s="79">
        <v>5</v>
      </c>
      <c r="D30" s="79">
        <v>57</v>
      </c>
      <c r="E30" s="79">
        <v>0</v>
      </c>
      <c r="F30" s="79">
        <v>38</v>
      </c>
      <c r="G30" s="31">
        <f t="shared" si="0"/>
        <v>100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33" t="s">
        <v>40</v>
      </c>
      <c r="C31" s="79">
        <v>0</v>
      </c>
      <c r="D31" s="79">
        <v>0</v>
      </c>
      <c r="E31" s="79">
        <v>4</v>
      </c>
      <c r="F31" s="79">
        <v>0</v>
      </c>
      <c r="G31" s="31">
        <f>SUM(C31:F31)</f>
        <v>4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33" t="s">
        <v>41</v>
      </c>
      <c r="C32" s="79">
        <v>12</v>
      </c>
      <c r="D32" s="79">
        <v>61</v>
      </c>
      <c r="E32" s="79">
        <v>7</v>
      </c>
      <c r="F32" s="79">
        <v>16</v>
      </c>
      <c r="G32" s="31">
        <f t="shared" si="0"/>
        <v>96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33" t="s">
        <v>42</v>
      </c>
      <c r="C33" s="79">
        <v>28</v>
      </c>
      <c r="D33" s="79">
        <v>25</v>
      </c>
      <c r="E33" s="79">
        <v>0</v>
      </c>
      <c r="F33" s="79">
        <v>10</v>
      </c>
      <c r="G33" s="31">
        <f t="shared" si="0"/>
        <v>63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33" t="s">
        <v>43</v>
      </c>
      <c r="C34" s="79">
        <v>4</v>
      </c>
      <c r="D34" s="79">
        <v>42</v>
      </c>
      <c r="E34" s="79">
        <v>1</v>
      </c>
      <c r="F34" s="79">
        <v>3</v>
      </c>
      <c r="G34" s="31">
        <f t="shared" si="0"/>
        <v>50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33" t="s">
        <v>44</v>
      </c>
      <c r="C35" s="79">
        <v>31</v>
      </c>
      <c r="D35" s="79">
        <v>37</v>
      </c>
      <c r="E35" s="79">
        <v>2</v>
      </c>
      <c r="F35" s="79">
        <v>15</v>
      </c>
      <c r="G35" s="31">
        <f t="shared" si="0"/>
        <v>85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33" t="s">
        <v>45</v>
      </c>
      <c r="C36" s="79">
        <v>11</v>
      </c>
      <c r="D36" s="79">
        <v>30</v>
      </c>
      <c r="E36" s="79">
        <v>0</v>
      </c>
      <c r="F36" s="79">
        <v>9</v>
      </c>
      <c r="G36" s="31">
        <f t="shared" si="0"/>
        <v>50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33" t="s">
        <v>46</v>
      </c>
      <c r="C37" s="79">
        <v>7</v>
      </c>
      <c r="D37" s="79">
        <v>16</v>
      </c>
      <c r="E37" s="79">
        <v>1</v>
      </c>
      <c r="F37" s="79">
        <v>7</v>
      </c>
      <c r="G37" s="31">
        <f t="shared" si="0"/>
        <v>31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33" t="s">
        <v>48</v>
      </c>
      <c r="C38" s="79">
        <v>22</v>
      </c>
      <c r="D38" s="79">
        <v>69</v>
      </c>
      <c r="E38" s="79">
        <v>0</v>
      </c>
      <c r="F38" s="79">
        <v>39</v>
      </c>
      <c r="G38" s="31">
        <f t="shared" si="0"/>
        <v>130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33" t="s">
        <v>49</v>
      </c>
      <c r="C39" s="79">
        <v>12</v>
      </c>
      <c r="D39" s="79">
        <v>40</v>
      </c>
      <c r="E39" s="79">
        <v>0</v>
      </c>
      <c r="F39" s="79">
        <v>12</v>
      </c>
      <c r="G39" s="31">
        <f t="shared" si="0"/>
        <v>64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33" t="s">
        <v>50</v>
      </c>
      <c r="C40" s="79">
        <v>39</v>
      </c>
      <c r="D40" s="79">
        <v>13</v>
      </c>
      <c r="E40" s="79">
        <v>3</v>
      </c>
      <c r="F40" s="79">
        <v>13</v>
      </c>
      <c r="G40" s="31">
        <f t="shared" si="0"/>
        <v>68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33" t="s">
        <v>52</v>
      </c>
      <c r="C41" s="79">
        <v>18</v>
      </c>
      <c r="D41" s="79">
        <v>28</v>
      </c>
      <c r="E41" s="79">
        <v>5</v>
      </c>
      <c r="F41" s="79">
        <v>7</v>
      </c>
      <c r="G41" s="31">
        <f t="shared" si="0"/>
        <v>58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33" t="s">
        <v>54</v>
      </c>
      <c r="C42" s="79">
        <v>17</v>
      </c>
      <c r="D42" s="79">
        <v>48</v>
      </c>
      <c r="E42" s="79">
        <v>1</v>
      </c>
      <c r="F42" s="79">
        <v>14</v>
      </c>
      <c r="G42" s="31">
        <f t="shared" si="0"/>
        <v>80</v>
      </c>
      <c r="H42" s="36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33" t="s">
        <v>33</v>
      </c>
      <c r="C43" s="79">
        <v>0</v>
      </c>
      <c r="D43" s="79">
        <v>1</v>
      </c>
      <c r="E43" s="79">
        <v>0</v>
      </c>
      <c r="F43" s="79">
        <v>0</v>
      </c>
      <c r="G43" s="31">
        <f t="shared" si="0"/>
        <v>1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26" t="s">
        <v>66</v>
      </c>
      <c r="C44" s="31">
        <f>SUM(C45:C51)</f>
        <v>702</v>
      </c>
      <c r="D44" s="31">
        <f>SUM(D45:D51)</f>
        <v>47.998999999999995</v>
      </c>
      <c r="E44" s="31">
        <f>SUM(E45:E51)</f>
        <v>26</v>
      </c>
      <c r="F44" s="31">
        <f>SUM(F45:F51)</f>
        <v>330</v>
      </c>
      <c r="G44" s="31">
        <f>SUM(G45:G51)</f>
        <v>1105.999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33" t="s">
        <v>27</v>
      </c>
      <c r="C45" s="79">
        <v>119</v>
      </c>
      <c r="D45" s="79">
        <v>4.9989999999999997</v>
      </c>
      <c r="E45" s="79">
        <v>0</v>
      </c>
      <c r="F45" s="79">
        <v>122</v>
      </c>
      <c r="G45" s="31">
        <f>SUM(C45:F45)</f>
        <v>245.999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33" t="s">
        <v>38</v>
      </c>
      <c r="C46" s="79">
        <v>71</v>
      </c>
      <c r="D46" s="79">
        <v>12</v>
      </c>
      <c r="E46" s="79">
        <v>4</v>
      </c>
      <c r="F46" s="79">
        <v>29</v>
      </c>
      <c r="G46" s="31">
        <f t="shared" ref="G46:G51" si="1">SUM(C46:F46)</f>
        <v>116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33" t="s">
        <v>47</v>
      </c>
      <c r="C47" s="79">
        <v>35</v>
      </c>
      <c r="D47" s="79">
        <v>9</v>
      </c>
      <c r="E47" s="79">
        <v>4</v>
      </c>
      <c r="F47" s="79">
        <v>30</v>
      </c>
      <c r="G47" s="31">
        <f t="shared" si="1"/>
        <v>78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33" t="s">
        <v>67</v>
      </c>
      <c r="C48" s="79">
        <v>43</v>
      </c>
      <c r="D48" s="79">
        <v>1</v>
      </c>
      <c r="E48" s="79">
        <v>2</v>
      </c>
      <c r="F48" s="79">
        <v>32</v>
      </c>
      <c r="G48" s="31">
        <f t="shared" si="1"/>
        <v>78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33" t="s">
        <v>53</v>
      </c>
      <c r="C49" s="79">
        <v>108</v>
      </c>
      <c r="D49" s="79">
        <v>0</v>
      </c>
      <c r="E49" s="79">
        <v>4</v>
      </c>
      <c r="F49" s="79">
        <v>36</v>
      </c>
      <c r="G49" s="31">
        <f t="shared" si="1"/>
        <v>148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33" t="s">
        <v>55</v>
      </c>
      <c r="C50" s="79">
        <v>74</v>
      </c>
      <c r="D50" s="79">
        <v>21</v>
      </c>
      <c r="E50" s="79">
        <v>0</v>
      </c>
      <c r="F50" s="79">
        <v>24</v>
      </c>
      <c r="G50" s="31">
        <f t="shared" si="1"/>
        <v>119</v>
      </c>
      <c r="I50" s="29"/>
      <c r="J50" s="29"/>
      <c r="K50" s="29"/>
      <c r="L50" s="29"/>
      <c r="M50" s="29"/>
    </row>
    <row r="51" spans="1:13" s="42" customFormat="1" ht="12.75" customHeight="1" x14ac:dyDescent="0.3">
      <c r="A51" s="32">
        <v>77</v>
      </c>
      <c r="B51" s="38" t="s">
        <v>26</v>
      </c>
      <c r="C51" s="79">
        <v>252</v>
      </c>
      <c r="D51" s="79">
        <v>0</v>
      </c>
      <c r="E51" s="79">
        <v>12</v>
      </c>
      <c r="F51" s="79">
        <v>57</v>
      </c>
      <c r="G51" s="31">
        <f t="shared" si="1"/>
        <v>321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43"/>
      <c r="D52" s="43"/>
      <c r="E52" s="43"/>
      <c r="F52" s="43"/>
      <c r="G52" s="43"/>
      <c r="I52" s="44"/>
      <c r="J52" s="29"/>
    </row>
    <row r="53" spans="1:13" s="33" customFormat="1" ht="13.5" customHeight="1" x14ac:dyDescent="0.3">
      <c r="A53" s="32"/>
      <c r="H53" s="44"/>
      <c r="I53" s="44"/>
    </row>
    <row r="54" spans="1:13" s="33" customFormat="1" ht="13.5" customHeight="1" x14ac:dyDescent="0.3">
      <c r="A54" s="32"/>
      <c r="H54" s="44"/>
      <c r="I54" s="44"/>
    </row>
    <row r="55" spans="1:13" s="33" customFormat="1" x14ac:dyDescent="0.3">
      <c r="A55" s="32"/>
      <c r="B55" s="45"/>
      <c r="H55" s="44"/>
      <c r="I55" s="44"/>
    </row>
    <row r="56" spans="1:13" x14ac:dyDescent="0.3">
      <c r="A56" s="32"/>
      <c r="F56" s="46"/>
      <c r="G56" s="46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7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59"/>
  <sheetViews>
    <sheetView topLeftCell="B1" workbookViewId="0">
      <selection activeCell="B3" sqref="B3"/>
    </sheetView>
  </sheetViews>
  <sheetFormatPr defaultRowHeight="13.2" x14ac:dyDescent="0.3"/>
  <cols>
    <col min="1" max="1" width="3.5546875" style="44" hidden="1" customWidth="1"/>
    <col min="2" max="2" width="27.5546875" style="44" customWidth="1"/>
    <col min="3" max="3" width="20.21875" style="44" customWidth="1"/>
    <col min="4" max="4" width="21.77734375" style="44" customWidth="1"/>
    <col min="5" max="5" width="18.77734375" style="44" customWidth="1"/>
    <col min="6" max="6" width="21.44140625" style="44" customWidth="1"/>
    <col min="7" max="7" width="26.5546875" style="44" customWidth="1"/>
    <col min="8" max="8" width="9.21875" style="44"/>
    <col min="9" max="9" width="10.21875" style="44" customWidth="1"/>
    <col min="10" max="256" width="9.21875" style="44"/>
    <col min="257" max="257" width="0" style="44" hidden="1" customWidth="1"/>
    <col min="258" max="258" width="27.5546875" style="44" customWidth="1"/>
    <col min="259" max="259" width="20.21875" style="44" customWidth="1"/>
    <col min="260" max="260" width="21.77734375" style="44" customWidth="1"/>
    <col min="261" max="261" width="18.77734375" style="44" customWidth="1"/>
    <col min="262" max="262" width="21.44140625" style="44" customWidth="1"/>
    <col min="263" max="263" width="26.5546875" style="44" customWidth="1"/>
    <col min="264" max="512" width="9.21875" style="44"/>
    <col min="513" max="513" width="0" style="44" hidden="1" customWidth="1"/>
    <col min="514" max="514" width="27.5546875" style="44" customWidth="1"/>
    <col min="515" max="515" width="20.21875" style="44" customWidth="1"/>
    <col min="516" max="516" width="21.77734375" style="44" customWidth="1"/>
    <col min="517" max="517" width="18.77734375" style="44" customWidth="1"/>
    <col min="518" max="518" width="21.44140625" style="44" customWidth="1"/>
    <col min="519" max="519" width="26.5546875" style="44" customWidth="1"/>
    <col min="520" max="768" width="9.21875" style="44"/>
    <col min="769" max="769" width="0" style="44" hidden="1" customWidth="1"/>
    <col min="770" max="770" width="27.5546875" style="44" customWidth="1"/>
    <col min="771" max="771" width="20.21875" style="44" customWidth="1"/>
    <col min="772" max="772" width="21.77734375" style="44" customWidth="1"/>
    <col min="773" max="773" width="18.77734375" style="44" customWidth="1"/>
    <col min="774" max="774" width="21.44140625" style="44" customWidth="1"/>
    <col min="775" max="775" width="26.5546875" style="44" customWidth="1"/>
    <col min="776" max="1024" width="9.21875" style="44"/>
    <col min="1025" max="1025" width="0" style="44" hidden="1" customWidth="1"/>
    <col min="1026" max="1026" width="27.5546875" style="44" customWidth="1"/>
    <col min="1027" max="1027" width="20.21875" style="44" customWidth="1"/>
    <col min="1028" max="1028" width="21.77734375" style="44" customWidth="1"/>
    <col min="1029" max="1029" width="18.77734375" style="44" customWidth="1"/>
    <col min="1030" max="1030" width="21.44140625" style="44" customWidth="1"/>
    <col min="1031" max="1031" width="26.5546875" style="44" customWidth="1"/>
    <col min="1032" max="1280" width="9.21875" style="44"/>
    <col min="1281" max="1281" width="0" style="44" hidden="1" customWidth="1"/>
    <col min="1282" max="1282" width="27.5546875" style="44" customWidth="1"/>
    <col min="1283" max="1283" width="20.21875" style="44" customWidth="1"/>
    <col min="1284" max="1284" width="21.77734375" style="44" customWidth="1"/>
    <col min="1285" max="1285" width="18.77734375" style="44" customWidth="1"/>
    <col min="1286" max="1286" width="21.44140625" style="44" customWidth="1"/>
    <col min="1287" max="1287" width="26.5546875" style="44" customWidth="1"/>
    <col min="1288" max="1536" width="9.21875" style="44"/>
    <col min="1537" max="1537" width="0" style="44" hidden="1" customWidth="1"/>
    <col min="1538" max="1538" width="27.5546875" style="44" customWidth="1"/>
    <col min="1539" max="1539" width="20.21875" style="44" customWidth="1"/>
    <col min="1540" max="1540" width="21.77734375" style="44" customWidth="1"/>
    <col min="1541" max="1541" width="18.77734375" style="44" customWidth="1"/>
    <col min="1542" max="1542" width="21.44140625" style="44" customWidth="1"/>
    <col min="1543" max="1543" width="26.5546875" style="44" customWidth="1"/>
    <col min="1544" max="1792" width="9.21875" style="44"/>
    <col min="1793" max="1793" width="0" style="44" hidden="1" customWidth="1"/>
    <col min="1794" max="1794" width="27.5546875" style="44" customWidth="1"/>
    <col min="1795" max="1795" width="20.21875" style="44" customWidth="1"/>
    <col min="1796" max="1796" width="21.77734375" style="44" customWidth="1"/>
    <col min="1797" max="1797" width="18.77734375" style="44" customWidth="1"/>
    <col min="1798" max="1798" width="21.44140625" style="44" customWidth="1"/>
    <col min="1799" max="1799" width="26.5546875" style="44" customWidth="1"/>
    <col min="1800" max="2048" width="9.21875" style="44"/>
    <col min="2049" max="2049" width="0" style="44" hidden="1" customWidth="1"/>
    <col min="2050" max="2050" width="27.5546875" style="44" customWidth="1"/>
    <col min="2051" max="2051" width="20.21875" style="44" customWidth="1"/>
    <col min="2052" max="2052" width="21.77734375" style="44" customWidth="1"/>
    <col min="2053" max="2053" width="18.77734375" style="44" customWidth="1"/>
    <col min="2054" max="2054" width="21.44140625" style="44" customWidth="1"/>
    <col min="2055" max="2055" width="26.5546875" style="44" customWidth="1"/>
    <col min="2056" max="2304" width="9.21875" style="44"/>
    <col min="2305" max="2305" width="0" style="44" hidden="1" customWidth="1"/>
    <col min="2306" max="2306" width="27.5546875" style="44" customWidth="1"/>
    <col min="2307" max="2307" width="20.21875" style="44" customWidth="1"/>
    <col min="2308" max="2308" width="21.77734375" style="44" customWidth="1"/>
    <col min="2309" max="2309" width="18.77734375" style="44" customWidth="1"/>
    <col min="2310" max="2310" width="21.44140625" style="44" customWidth="1"/>
    <col min="2311" max="2311" width="26.5546875" style="44" customWidth="1"/>
    <col min="2312" max="2560" width="9.21875" style="44"/>
    <col min="2561" max="2561" width="0" style="44" hidden="1" customWidth="1"/>
    <col min="2562" max="2562" width="27.5546875" style="44" customWidth="1"/>
    <col min="2563" max="2563" width="20.21875" style="44" customWidth="1"/>
    <col min="2564" max="2564" width="21.77734375" style="44" customWidth="1"/>
    <col min="2565" max="2565" width="18.77734375" style="44" customWidth="1"/>
    <col min="2566" max="2566" width="21.44140625" style="44" customWidth="1"/>
    <col min="2567" max="2567" width="26.5546875" style="44" customWidth="1"/>
    <col min="2568" max="2816" width="9.21875" style="44"/>
    <col min="2817" max="2817" width="0" style="44" hidden="1" customWidth="1"/>
    <col min="2818" max="2818" width="27.5546875" style="44" customWidth="1"/>
    <col min="2819" max="2819" width="20.21875" style="44" customWidth="1"/>
    <col min="2820" max="2820" width="21.77734375" style="44" customWidth="1"/>
    <col min="2821" max="2821" width="18.77734375" style="44" customWidth="1"/>
    <col min="2822" max="2822" width="21.44140625" style="44" customWidth="1"/>
    <col min="2823" max="2823" width="26.5546875" style="44" customWidth="1"/>
    <col min="2824" max="3072" width="9.21875" style="44"/>
    <col min="3073" max="3073" width="0" style="44" hidden="1" customWidth="1"/>
    <col min="3074" max="3074" width="27.5546875" style="44" customWidth="1"/>
    <col min="3075" max="3075" width="20.21875" style="44" customWidth="1"/>
    <col min="3076" max="3076" width="21.77734375" style="44" customWidth="1"/>
    <col min="3077" max="3077" width="18.77734375" style="44" customWidth="1"/>
    <col min="3078" max="3078" width="21.44140625" style="44" customWidth="1"/>
    <col min="3079" max="3079" width="26.5546875" style="44" customWidth="1"/>
    <col min="3080" max="3328" width="9.21875" style="44"/>
    <col min="3329" max="3329" width="0" style="44" hidden="1" customWidth="1"/>
    <col min="3330" max="3330" width="27.5546875" style="44" customWidth="1"/>
    <col min="3331" max="3331" width="20.21875" style="44" customWidth="1"/>
    <col min="3332" max="3332" width="21.77734375" style="44" customWidth="1"/>
    <col min="3333" max="3333" width="18.77734375" style="44" customWidth="1"/>
    <col min="3334" max="3334" width="21.44140625" style="44" customWidth="1"/>
    <col min="3335" max="3335" width="26.5546875" style="44" customWidth="1"/>
    <col min="3336" max="3584" width="9.21875" style="44"/>
    <col min="3585" max="3585" width="0" style="44" hidden="1" customWidth="1"/>
    <col min="3586" max="3586" width="27.5546875" style="44" customWidth="1"/>
    <col min="3587" max="3587" width="20.21875" style="44" customWidth="1"/>
    <col min="3588" max="3588" width="21.77734375" style="44" customWidth="1"/>
    <col min="3589" max="3589" width="18.77734375" style="44" customWidth="1"/>
    <col min="3590" max="3590" width="21.44140625" style="44" customWidth="1"/>
    <col min="3591" max="3591" width="26.5546875" style="44" customWidth="1"/>
    <col min="3592" max="3840" width="9.21875" style="44"/>
    <col min="3841" max="3841" width="0" style="44" hidden="1" customWidth="1"/>
    <col min="3842" max="3842" width="27.5546875" style="44" customWidth="1"/>
    <col min="3843" max="3843" width="20.21875" style="44" customWidth="1"/>
    <col min="3844" max="3844" width="21.77734375" style="44" customWidth="1"/>
    <col min="3845" max="3845" width="18.77734375" style="44" customWidth="1"/>
    <col min="3846" max="3846" width="21.44140625" style="44" customWidth="1"/>
    <col min="3847" max="3847" width="26.5546875" style="44" customWidth="1"/>
    <col min="3848" max="4096" width="9.21875" style="44"/>
    <col min="4097" max="4097" width="0" style="44" hidden="1" customWidth="1"/>
    <col min="4098" max="4098" width="27.5546875" style="44" customWidth="1"/>
    <col min="4099" max="4099" width="20.21875" style="44" customWidth="1"/>
    <col min="4100" max="4100" width="21.77734375" style="44" customWidth="1"/>
    <col min="4101" max="4101" width="18.77734375" style="44" customWidth="1"/>
    <col min="4102" max="4102" width="21.44140625" style="44" customWidth="1"/>
    <col min="4103" max="4103" width="26.5546875" style="44" customWidth="1"/>
    <col min="4104" max="4352" width="9.21875" style="44"/>
    <col min="4353" max="4353" width="0" style="44" hidden="1" customWidth="1"/>
    <col min="4354" max="4354" width="27.5546875" style="44" customWidth="1"/>
    <col min="4355" max="4355" width="20.21875" style="44" customWidth="1"/>
    <col min="4356" max="4356" width="21.77734375" style="44" customWidth="1"/>
    <col min="4357" max="4357" width="18.77734375" style="44" customWidth="1"/>
    <col min="4358" max="4358" width="21.44140625" style="44" customWidth="1"/>
    <col min="4359" max="4359" width="26.5546875" style="44" customWidth="1"/>
    <col min="4360" max="4608" width="9.21875" style="44"/>
    <col min="4609" max="4609" width="0" style="44" hidden="1" customWidth="1"/>
    <col min="4610" max="4610" width="27.5546875" style="44" customWidth="1"/>
    <col min="4611" max="4611" width="20.21875" style="44" customWidth="1"/>
    <col min="4612" max="4612" width="21.77734375" style="44" customWidth="1"/>
    <col min="4613" max="4613" width="18.77734375" style="44" customWidth="1"/>
    <col min="4614" max="4614" width="21.44140625" style="44" customWidth="1"/>
    <col min="4615" max="4615" width="26.5546875" style="44" customWidth="1"/>
    <col min="4616" max="4864" width="9.21875" style="44"/>
    <col min="4865" max="4865" width="0" style="44" hidden="1" customWidth="1"/>
    <col min="4866" max="4866" width="27.5546875" style="44" customWidth="1"/>
    <col min="4867" max="4867" width="20.21875" style="44" customWidth="1"/>
    <col min="4868" max="4868" width="21.77734375" style="44" customWidth="1"/>
    <col min="4869" max="4869" width="18.77734375" style="44" customWidth="1"/>
    <col min="4870" max="4870" width="21.44140625" style="44" customWidth="1"/>
    <col min="4871" max="4871" width="26.5546875" style="44" customWidth="1"/>
    <col min="4872" max="5120" width="9.21875" style="44"/>
    <col min="5121" max="5121" width="0" style="44" hidden="1" customWidth="1"/>
    <col min="5122" max="5122" width="27.5546875" style="44" customWidth="1"/>
    <col min="5123" max="5123" width="20.21875" style="44" customWidth="1"/>
    <col min="5124" max="5124" width="21.77734375" style="44" customWidth="1"/>
    <col min="5125" max="5125" width="18.77734375" style="44" customWidth="1"/>
    <col min="5126" max="5126" width="21.44140625" style="44" customWidth="1"/>
    <col min="5127" max="5127" width="26.5546875" style="44" customWidth="1"/>
    <col min="5128" max="5376" width="9.21875" style="44"/>
    <col min="5377" max="5377" width="0" style="44" hidden="1" customWidth="1"/>
    <col min="5378" max="5378" width="27.5546875" style="44" customWidth="1"/>
    <col min="5379" max="5379" width="20.21875" style="44" customWidth="1"/>
    <col min="5380" max="5380" width="21.77734375" style="44" customWidth="1"/>
    <col min="5381" max="5381" width="18.77734375" style="44" customWidth="1"/>
    <col min="5382" max="5382" width="21.44140625" style="44" customWidth="1"/>
    <col min="5383" max="5383" width="26.5546875" style="44" customWidth="1"/>
    <col min="5384" max="5632" width="9.21875" style="44"/>
    <col min="5633" max="5633" width="0" style="44" hidden="1" customWidth="1"/>
    <col min="5634" max="5634" width="27.5546875" style="44" customWidth="1"/>
    <col min="5635" max="5635" width="20.21875" style="44" customWidth="1"/>
    <col min="5636" max="5636" width="21.77734375" style="44" customWidth="1"/>
    <col min="5637" max="5637" width="18.77734375" style="44" customWidth="1"/>
    <col min="5638" max="5638" width="21.44140625" style="44" customWidth="1"/>
    <col min="5639" max="5639" width="26.5546875" style="44" customWidth="1"/>
    <col min="5640" max="5888" width="9.21875" style="44"/>
    <col min="5889" max="5889" width="0" style="44" hidden="1" customWidth="1"/>
    <col min="5890" max="5890" width="27.5546875" style="44" customWidth="1"/>
    <col min="5891" max="5891" width="20.21875" style="44" customWidth="1"/>
    <col min="5892" max="5892" width="21.77734375" style="44" customWidth="1"/>
    <col min="5893" max="5893" width="18.77734375" style="44" customWidth="1"/>
    <col min="5894" max="5894" width="21.44140625" style="44" customWidth="1"/>
    <col min="5895" max="5895" width="26.5546875" style="44" customWidth="1"/>
    <col min="5896" max="6144" width="9.21875" style="44"/>
    <col min="6145" max="6145" width="0" style="44" hidden="1" customWidth="1"/>
    <col min="6146" max="6146" width="27.5546875" style="44" customWidth="1"/>
    <col min="6147" max="6147" width="20.21875" style="44" customWidth="1"/>
    <col min="6148" max="6148" width="21.77734375" style="44" customWidth="1"/>
    <col min="6149" max="6149" width="18.77734375" style="44" customWidth="1"/>
    <col min="6150" max="6150" width="21.44140625" style="44" customWidth="1"/>
    <col min="6151" max="6151" width="26.5546875" style="44" customWidth="1"/>
    <col min="6152" max="6400" width="9.21875" style="44"/>
    <col min="6401" max="6401" width="0" style="44" hidden="1" customWidth="1"/>
    <col min="6402" max="6402" width="27.5546875" style="44" customWidth="1"/>
    <col min="6403" max="6403" width="20.21875" style="44" customWidth="1"/>
    <col min="6404" max="6404" width="21.77734375" style="44" customWidth="1"/>
    <col min="6405" max="6405" width="18.77734375" style="44" customWidth="1"/>
    <col min="6406" max="6406" width="21.44140625" style="44" customWidth="1"/>
    <col min="6407" max="6407" width="26.5546875" style="44" customWidth="1"/>
    <col min="6408" max="6656" width="9.21875" style="44"/>
    <col min="6657" max="6657" width="0" style="44" hidden="1" customWidth="1"/>
    <col min="6658" max="6658" width="27.5546875" style="44" customWidth="1"/>
    <col min="6659" max="6659" width="20.21875" style="44" customWidth="1"/>
    <col min="6660" max="6660" width="21.77734375" style="44" customWidth="1"/>
    <col min="6661" max="6661" width="18.77734375" style="44" customWidth="1"/>
    <col min="6662" max="6662" width="21.44140625" style="44" customWidth="1"/>
    <col min="6663" max="6663" width="26.5546875" style="44" customWidth="1"/>
    <col min="6664" max="6912" width="9.21875" style="44"/>
    <col min="6913" max="6913" width="0" style="44" hidden="1" customWidth="1"/>
    <col min="6914" max="6914" width="27.5546875" style="44" customWidth="1"/>
    <col min="6915" max="6915" width="20.21875" style="44" customWidth="1"/>
    <col min="6916" max="6916" width="21.77734375" style="44" customWidth="1"/>
    <col min="6917" max="6917" width="18.77734375" style="44" customWidth="1"/>
    <col min="6918" max="6918" width="21.44140625" style="44" customWidth="1"/>
    <col min="6919" max="6919" width="26.5546875" style="44" customWidth="1"/>
    <col min="6920" max="7168" width="9.21875" style="44"/>
    <col min="7169" max="7169" width="0" style="44" hidden="1" customWidth="1"/>
    <col min="7170" max="7170" width="27.5546875" style="44" customWidth="1"/>
    <col min="7171" max="7171" width="20.21875" style="44" customWidth="1"/>
    <col min="7172" max="7172" width="21.77734375" style="44" customWidth="1"/>
    <col min="7173" max="7173" width="18.77734375" style="44" customWidth="1"/>
    <col min="7174" max="7174" width="21.44140625" style="44" customWidth="1"/>
    <col min="7175" max="7175" width="26.5546875" style="44" customWidth="1"/>
    <col min="7176" max="7424" width="9.21875" style="44"/>
    <col min="7425" max="7425" width="0" style="44" hidden="1" customWidth="1"/>
    <col min="7426" max="7426" width="27.5546875" style="44" customWidth="1"/>
    <col min="7427" max="7427" width="20.21875" style="44" customWidth="1"/>
    <col min="7428" max="7428" width="21.77734375" style="44" customWidth="1"/>
    <col min="7429" max="7429" width="18.77734375" style="44" customWidth="1"/>
    <col min="7430" max="7430" width="21.44140625" style="44" customWidth="1"/>
    <col min="7431" max="7431" width="26.5546875" style="44" customWidth="1"/>
    <col min="7432" max="7680" width="9.21875" style="44"/>
    <col min="7681" max="7681" width="0" style="44" hidden="1" customWidth="1"/>
    <col min="7682" max="7682" width="27.5546875" style="44" customWidth="1"/>
    <col min="7683" max="7683" width="20.21875" style="44" customWidth="1"/>
    <col min="7684" max="7684" width="21.77734375" style="44" customWidth="1"/>
    <col min="7685" max="7685" width="18.77734375" style="44" customWidth="1"/>
    <col min="7686" max="7686" width="21.44140625" style="44" customWidth="1"/>
    <col min="7687" max="7687" width="26.5546875" style="44" customWidth="1"/>
    <col min="7688" max="7936" width="9.21875" style="44"/>
    <col min="7937" max="7937" width="0" style="44" hidden="1" customWidth="1"/>
    <col min="7938" max="7938" width="27.5546875" style="44" customWidth="1"/>
    <col min="7939" max="7939" width="20.21875" style="44" customWidth="1"/>
    <col min="7940" max="7940" width="21.77734375" style="44" customWidth="1"/>
    <col min="7941" max="7941" width="18.77734375" style="44" customWidth="1"/>
    <col min="7942" max="7942" width="21.44140625" style="44" customWidth="1"/>
    <col min="7943" max="7943" width="26.5546875" style="44" customWidth="1"/>
    <col min="7944" max="8192" width="9.21875" style="44"/>
    <col min="8193" max="8193" width="0" style="44" hidden="1" customWidth="1"/>
    <col min="8194" max="8194" width="27.5546875" style="44" customWidth="1"/>
    <col min="8195" max="8195" width="20.21875" style="44" customWidth="1"/>
    <col min="8196" max="8196" width="21.77734375" style="44" customWidth="1"/>
    <col min="8197" max="8197" width="18.77734375" style="44" customWidth="1"/>
    <col min="8198" max="8198" width="21.44140625" style="44" customWidth="1"/>
    <col min="8199" max="8199" width="26.5546875" style="44" customWidth="1"/>
    <col min="8200" max="8448" width="9.21875" style="44"/>
    <col min="8449" max="8449" width="0" style="44" hidden="1" customWidth="1"/>
    <col min="8450" max="8450" width="27.5546875" style="44" customWidth="1"/>
    <col min="8451" max="8451" width="20.21875" style="44" customWidth="1"/>
    <col min="8452" max="8452" width="21.77734375" style="44" customWidth="1"/>
    <col min="8453" max="8453" width="18.77734375" style="44" customWidth="1"/>
    <col min="8454" max="8454" width="21.44140625" style="44" customWidth="1"/>
    <col min="8455" max="8455" width="26.5546875" style="44" customWidth="1"/>
    <col min="8456" max="8704" width="9.21875" style="44"/>
    <col min="8705" max="8705" width="0" style="44" hidden="1" customWidth="1"/>
    <col min="8706" max="8706" width="27.5546875" style="44" customWidth="1"/>
    <col min="8707" max="8707" width="20.21875" style="44" customWidth="1"/>
    <col min="8708" max="8708" width="21.77734375" style="44" customWidth="1"/>
    <col min="8709" max="8709" width="18.77734375" style="44" customWidth="1"/>
    <col min="8710" max="8710" width="21.44140625" style="44" customWidth="1"/>
    <col min="8711" max="8711" width="26.5546875" style="44" customWidth="1"/>
    <col min="8712" max="8960" width="9.21875" style="44"/>
    <col min="8961" max="8961" width="0" style="44" hidden="1" customWidth="1"/>
    <col min="8962" max="8962" width="27.5546875" style="44" customWidth="1"/>
    <col min="8963" max="8963" width="20.21875" style="44" customWidth="1"/>
    <col min="8964" max="8964" width="21.77734375" style="44" customWidth="1"/>
    <col min="8965" max="8965" width="18.77734375" style="44" customWidth="1"/>
    <col min="8966" max="8966" width="21.44140625" style="44" customWidth="1"/>
    <col min="8967" max="8967" width="26.5546875" style="44" customWidth="1"/>
    <col min="8968" max="9216" width="9.21875" style="44"/>
    <col min="9217" max="9217" width="0" style="44" hidden="1" customWidth="1"/>
    <col min="9218" max="9218" width="27.5546875" style="44" customWidth="1"/>
    <col min="9219" max="9219" width="20.21875" style="44" customWidth="1"/>
    <col min="9220" max="9220" width="21.77734375" style="44" customWidth="1"/>
    <col min="9221" max="9221" width="18.77734375" style="44" customWidth="1"/>
    <col min="9222" max="9222" width="21.44140625" style="44" customWidth="1"/>
    <col min="9223" max="9223" width="26.5546875" style="44" customWidth="1"/>
    <col min="9224" max="9472" width="9.21875" style="44"/>
    <col min="9473" max="9473" width="0" style="44" hidden="1" customWidth="1"/>
    <col min="9474" max="9474" width="27.5546875" style="44" customWidth="1"/>
    <col min="9475" max="9475" width="20.21875" style="44" customWidth="1"/>
    <col min="9476" max="9476" width="21.77734375" style="44" customWidth="1"/>
    <col min="9477" max="9477" width="18.77734375" style="44" customWidth="1"/>
    <col min="9478" max="9478" width="21.44140625" style="44" customWidth="1"/>
    <col min="9479" max="9479" width="26.5546875" style="44" customWidth="1"/>
    <col min="9480" max="9728" width="9.21875" style="44"/>
    <col min="9729" max="9729" width="0" style="44" hidden="1" customWidth="1"/>
    <col min="9730" max="9730" width="27.5546875" style="44" customWidth="1"/>
    <col min="9731" max="9731" width="20.21875" style="44" customWidth="1"/>
    <col min="9732" max="9732" width="21.77734375" style="44" customWidth="1"/>
    <col min="9733" max="9733" width="18.77734375" style="44" customWidth="1"/>
    <col min="9734" max="9734" width="21.44140625" style="44" customWidth="1"/>
    <col min="9735" max="9735" width="26.5546875" style="44" customWidth="1"/>
    <col min="9736" max="9984" width="9.21875" style="44"/>
    <col min="9985" max="9985" width="0" style="44" hidden="1" customWidth="1"/>
    <col min="9986" max="9986" width="27.5546875" style="44" customWidth="1"/>
    <col min="9987" max="9987" width="20.21875" style="44" customWidth="1"/>
    <col min="9988" max="9988" width="21.77734375" style="44" customWidth="1"/>
    <col min="9989" max="9989" width="18.77734375" style="44" customWidth="1"/>
    <col min="9990" max="9990" width="21.44140625" style="44" customWidth="1"/>
    <col min="9991" max="9991" width="26.5546875" style="44" customWidth="1"/>
    <col min="9992" max="10240" width="9.21875" style="44"/>
    <col min="10241" max="10241" width="0" style="44" hidden="1" customWidth="1"/>
    <col min="10242" max="10242" width="27.5546875" style="44" customWidth="1"/>
    <col min="10243" max="10243" width="20.21875" style="44" customWidth="1"/>
    <col min="10244" max="10244" width="21.77734375" style="44" customWidth="1"/>
    <col min="10245" max="10245" width="18.77734375" style="44" customWidth="1"/>
    <col min="10246" max="10246" width="21.44140625" style="44" customWidth="1"/>
    <col min="10247" max="10247" width="26.5546875" style="44" customWidth="1"/>
    <col min="10248" max="10496" width="9.21875" style="44"/>
    <col min="10497" max="10497" width="0" style="44" hidden="1" customWidth="1"/>
    <col min="10498" max="10498" width="27.5546875" style="44" customWidth="1"/>
    <col min="10499" max="10499" width="20.21875" style="44" customWidth="1"/>
    <col min="10500" max="10500" width="21.77734375" style="44" customWidth="1"/>
    <col min="10501" max="10501" width="18.77734375" style="44" customWidth="1"/>
    <col min="10502" max="10502" width="21.44140625" style="44" customWidth="1"/>
    <col min="10503" max="10503" width="26.5546875" style="44" customWidth="1"/>
    <col min="10504" max="10752" width="9.21875" style="44"/>
    <col min="10753" max="10753" width="0" style="44" hidden="1" customWidth="1"/>
    <col min="10754" max="10754" width="27.5546875" style="44" customWidth="1"/>
    <col min="10755" max="10755" width="20.21875" style="44" customWidth="1"/>
    <col min="10756" max="10756" width="21.77734375" style="44" customWidth="1"/>
    <col min="10757" max="10757" width="18.77734375" style="44" customWidth="1"/>
    <col min="10758" max="10758" width="21.44140625" style="44" customWidth="1"/>
    <col min="10759" max="10759" width="26.5546875" style="44" customWidth="1"/>
    <col min="10760" max="11008" width="9.21875" style="44"/>
    <col min="11009" max="11009" width="0" style="44" hidden="1" customWidth="1"/>
    <col min="11010" max="11010" width="27.5546875" style="44" customWidth="1"/>
    <col min="11011" max="11011" width="20.21875" style="44" customWidth="1"/>
    <col min="11012" max="11012" width="21.77734375" style="44" customWidth="1"/>
    <col min="11013" max="11013" width="18.77734375" style="44" customWidth="1"/>
    <col min="11014" max="11014" width="21.44140625" style="44" customWidth="1"/>
    <col min="11015" max="11015" width="26.5546875" style="44" customWidth="1"/>
    <col min="11016" max="11264" width="9.21875" style="44"/>
    <col min="11265" max="11265" width="0" style="44" hidden="1" customWidth="1"/>
    <col min="11266" max="11266" width="27.5546875" style="44" customWidth="1"/>
    <col min="11267" max="11267" width="20.21875" style="44" customWidth="1"/>
    <col min="11268" max="11268" width="21.77734375" style="44" customWidth="1"/>
    <col min="11269" max="11269" width="18.77734375" style="44" customWidth="1"/>
    <col min="11270" max="11270" width="21.44140625" style="44" customWidth="1"/>
    <col min="11271" max="11271" width="26.5546875" style="44" customWidth="1"/>
    <col min="11272" max="11520" width="9.21875" style="44"/>
    <col min="11521" max="11521" width="0" style="44" hidden="1" customWidth="1"/>
    <col min="11522" max="11522" width="27.5546875" style="44" customWidth="1"/>
    <col min="11523" max="11523" width="20.21875" style="44" customWidth="1"/>
    <col min="11524" max="11524" width="21.77734375" style="44" customWidth="1"/>
    <col min="11525" max="11525" width="18.77734375" style="44" customWidth="1"/>
    <col min="11526" max="11526" width="21.44140625" style="44" customWidth="1"/>
    <col min="11527" max="11527" width="26.5546875" style="44" customWidth="1"/>
    <col min="11528" max="11776" width="9.21875" style="44"/>
    <col min="11777" max="11777" width="0" style="44" hidden="1" customWidth="1"/>
    <col min="11778" max="11778" width="27.5546875" style="44" customWidth="1"/>
    <col min="11779" max="11779" width="20.21875" style="44" customWidth="1"/>
    <col min="11780" max="11780" width="21.77734375" style="44" customWidth="1"/>
    <col min="11781" max="11781" width="18.77734375" style="44" customWidth="1"/>
    <col min="11782" max="11782" width="21.44140625" style="44" customWidth="1"/>
    <col min="11783" max="11783" width="26.5546875" style="44" customWidth="1"/>
    <col min="11784" max="12032" width="9.21875" style="44"/>
    <col min="12033" max="12033" width="0" style="44" hidden="1" customWidth="1"/>
    <col min="12034" max="12034" width="27.5546875" style="44" customWidth="1"/>
    <col min="12035" max="12035" width="20.21875" style="44" customWidth="1"/>
    <col min="12036" max="12036" width="21.77734375" style="44" customWidth="1"/>
    <col min="12037" max="12037" width="18.77734375" style="44" customWidth="1"/>
    <col min="12038" max="12038" width="21.44140625" style="44" customWidth="1"/>
    <col min="12039" max="12039" width="26.5546875" style="44" customWidth="1"/>
    <col min="12040" max="12288" width="9.21875" style="44"/>
    <col min="12289" max="12289" width="0" style="44" hidden="1" customWidth="1"/>
    <col min="12290" max="12290" width="27.5546875" style="44" customWidth="1"/>
    <col min="12291" max="12291" width="20.21875" style="44" customWidth="1"/>
    <col min="12292" max="12292" width="21.77734375" style="44" customWidth="1"/>
    <col min="12293" max="12293" width="18.77734375" style="44" customWidth="1"/>
    <col min="12294" max="12294" width="21.44140625" style="44" customWidth="1"/>
    <col min="12295" max="12295" width="26.5546875" style="44" customWidth="1"/>
    <col min="12296" max="12544" width="9.21875" style="44"/>
    <col min="12545" max="12545" width="0" style="44" hidden="1" customWidth="1"/>
    <col min="12546" max="12546" width="27.5546875" style="44" customWidth="1"/>
    <col min="12547" max="12547" width="20.21875" style="44" customWidth="1"/>
    <col min="12548" max="12548" width="21.77734375" style="44" customWidth="1"/>
    <col min="12549" max="12549" width="18.77734375" style="44" customWidth="1"/>
    <col min="12550" max="12550" width="21.44140625" style="44" customWidth="1"/>
    <col min="12551" max="12551" width="26.5546875" style="44" customWidth="1"/>
    <col min="12552" max="12800" width="9.21875" style="44"/>
    <col min="12801" max="12801" width="0" style="44" hidden="1" customWidth="1"/>
    <col min="12802" max="12802" width="27.5546875" style="44" customWidth="1"/>
    <col min="12803" max="12803" width="20.21875" style="44" customWidth="1"/>
    <col min="12804" max="12804" width="21.77734375" style="44" customWidth="1"/>
    <col min="12805" max="12805" width="18.77734375" style="44" customWidth="1"/>
    <col min="12806" max="12806" width="21.44140625" style="44" customWidth="1"/>
    <col min="12807" max="12807" width="26.5546875" style="44" customWidth="1"/>
    <col min="12808" max="13056" width="9.21875" style="44"/>
    <col min="13057" max="13057" width="0" style="44" hidden="1" customWidth="1"/>
    <col min="13058" max="13058" width="27.5546875" style="44" customWidth="1"/>
    <col min="13059" max="13059" width="20.21875" style="44" customWidth="1"/>
    <col min="13060" max="13060" width="21.77734375" style="44" customWidth="1"/>
    <col min="13061" max="13061" width="18.77734375" style="44" customWidth="1"/>
    <col min="13062" max="13062" width="21.44140625" style="44" customWidth="1"/>
    <col min="13063" max="13063" width="26.5546875" style="44" customWidth="1"/>
    <col min="13064" max="13312" width="9.21875" style="44"/>
    <col min="13313" max="13313" width="0" style="44" hidden="1" customWidth="1"/>
    <col min="13314" max="13314" width="27.5546875" style="44" customWidth="1"/>
    <col min="13315" max="13315" width="20.21875" style="44" customWidth="1"/>
    <col min="13316" max="13316" width="21.77734375" style="44" customWidth="1"/>
    <col min="13317" max="13317" width="18.77734375" style="44" customWidth="1"/>
    <col min="13318" max="13318" width="21.44140625" style="44" customWidth="1"/>
    <col min="13319" max="13319" width="26.5546875" style="44" customWidth="1"/>
    <col min="13320" max="13568" width="9.21875" style="44"/>
    <col min="13569" max="13569" width="0" style="44" hidden="1" customWidth="1"/>
    <col min="13570" max="13570" width="27.5546875" style="44" customWidth="1"/>
    <col min="13571" max="13571" width="20.21875" style="44" customWidth="1"/>
    <col min="13572" max="13572" width="21.77734375" style="44" customWidth="1"/>
    <col min="13573" max="13573" width="18.77734375" style="44" customWidth="1"/>
    <col min="13574" max="13574" width="21.44140625" style="44" customWidth="1"/>
    <col min="13575" max="13575" width="26.5546875" style="44" customWidth="1"/>
    <col min="13576" max="13824" width="9.21875" style="44"/>
    <col min="13825" max="13825" width="0" style="44" hidden="1" customWidth="1"/>
    <col min="13826" max="13826" width="27.5546875" style="44" customWidth="1"/>
    <col min="13827" max="13827" width="20.21875" style="44" customWidth="1"/>
    <col min="13828" max="13828" width="21.77734375" style="44" customWidth="1"/>
    <col min="13829" max="13829" width="18.77734375" style="44" customWidth="1"/>
    <col min="13830" max="13830" width="21.44140625" style="44" customWidth="1"/>
    <col min="13831" max="13831" width="26.5546875" style="44" customWidth="1"/>
    <col min="13832" max="14080" width="9.21875" style="44"/>
    <col min="14081" max="14081" width="0" style="44" hidden="1" customWidth="1"/>
    <col min="14082" max="14082" width="27.5546875" style="44" customWidth="1"/>
    <col min="14083" max="14083" width="20.21875" style="44" customWidth="1"/>
    <col min="14084" max="14084" width="21.77734375" style="44" customWidth="1"/>
    <col min="14085" max="14085" width="18.77734375" style="44" customWidth="1"/>
    <col min="14086" max="14086" width="21.44140625" style="44" customWidth="1"/>
    <col min="14087" max="14087" width="26.5546875" style="44" customWidth="1"/>
    <col min="14088" max="14336" width="9.21875" style="44"/>
    <col min="14337" max="14337" width="0" style="44" hidden="1" customWidth="1"/>
    <col min="14338" max="14338" width="27.5546875" style="44" customWidth="1"/>
    <col min="14339" max="14339" width="20.21875" style="44" customWidth="1"/>
    <col min="14340" max="14340" width="21.77734375" style="44" customWidth="1"/>
    <col min="14341" max="14341" width="18.77734375" style="44" customWidth="1"/>
    <col min="14342" max="14342" width="21.44140625" style="44" customWidth="1"/>
    <col min="14343" max="14343" width="26.5546875" style="44" customWidth="1"/>
    <col min="14344" max="14592" width="9.21875" style="44"/>
    <col min="14593" max="14593" width="0" style="44" hidden="1" customWidth="1"/>
    <col min="14594" max="14594" width="27.5546875" style="44" customWidth="1"/>
    <col min="14595" max="14595" width="20.21875" style="44" customWidth="1"/>
    <col min="14596" max="14596" width="21.77734375" style="44" customWidth="1"/>
    <col min="14597" max="14597" width="18.77734375" style="44" customWidth="1"/>
    <col min="14598" max="14598" width="21.44140625" style="44" customWidth="1"/>
    <col min="14599" max="14599" width="26.5546875" style="44" customWidth="1"/>
    <col min="14600" max="14848" width="9.21875" style="44"/>
    <col min="14849" max="14849" width="0" style="44" hidden="1" customWidth="1"/>
    <col min="14850" max="14850" width="27.5546875" style="44" customWidth="1"/>
    <col min="14851" max="14851" width="20.21875" style="44" customWidth="1"/>
    <col min="14852" max="14852" width="21.77734375" style="44" customWidth="1"/>
    <col min="14853" max="14853" width="18.77734375" style="44" customWidth="1"/>
    <col min="14854" max="14854" width="21.44140625" style="44" customWidth="1"/>
    <col min="14855" max="14855" width="26.5546875" style="44" customWidth="1"/>
    <col min="14856" max="15104" width="9.21875" style="44"/>
    <col min="15105" max="15105" width="0" style="44" hidden="1" customWidth="1"/>
    <col min="15106" max="15106" width="27.5546875" style="44" customWidth="1"/>
    <col min="15107" max="15107" width="20.21875" style="44" customWidth="1"/>
    <col min="15108" max="15108" width="21.77734375" style="44" customWidth="1"/>
    <col min="15109" max="15109" width="18.77734375" style="44" customWidth="1"/>
    <col min="15110" max="15110" width="21.44140625" style="44" customWidth="1"/>
    <col min="15111" max="15111" width="26.5546875" style="44" customWidth="1"/>
    <col min="15112" max="15360" width="9.21875" style="44"/>
    <col min="15361" max="15361" width="0" style="44" hidden="1" customWidth="1"/>
    <col min="15362" max="15362" width="27.5546875" style="44" customWidth="1"/>
    <col min="15363" max="15363" width="20.21875" style="44" customWidth="1"/>
    <col min="15364" max="15364" width="21.77734375" style="44" customWidth="1"/>
    <col min="15365" max="15365" width="18.77734375" style="44" customWidth="1"/>
    <col min="15366" max="15366" width="21.44140625" style="44" customWidth="1"/>
    <col min="15367" max="15367" width="26.5546875" style="44" customWidth="1"/>
    <col min="15368" max="15616" width="9.21875" style="44"/>
    <col min="15617" max="15617" width="0" style="44" hidden="1" customWidth="1"/>
    <col min="15618" max="15618" width="27.5546875" style="44" customWidth="1"/>
    <col min="15619" max="15619" width="20.21875" style="44" customWidth="1"/>
    <col min="15620" max="15620" width="21.77734375" style="44" customWidth="1"/>
    <col min="15621" max="15621" width="18.77734375" style="44" customWidth="1"/>
    <col min="15622" max="15622" width="21.44140625" style="44" customWidth="1"/>
    <col min="15623" max="15623" width="26.5546875" style="44" customWidth="1"/>
    <col min="15624" max="15872" width="9.21875" style="44"/>
    <col min="15873" max="15873" width="0" style="44" hidden="1" customWidth="1"/>
    <col min="15874" max="15874" width="27.5546875" style="44" customWidth="1"/>
    <col min="15875" max="15875" width="20.21875" style="44" customWidth="1"/>
    <col min="15876" max="15876" width="21.77734375" style="44" customWidth="1"/>
    <col min="15877" max="15877" width="18.77734375" style="44" customWidth="1"/>
    <col min="15878" max="15878" width="21.44140625" style="44" customWidth="1"/>
    <col min="15879" max="15879" width="26.5546875" style="44" customWidth="1"/>
    <col min="15880" max="16128" width="9.21875" style="44"/>
    <col min="16129" max="16129" width="0" style="44" hidden="1" customWidth="1"/>
    <col min="16130" max="16130" width="27.5546875" style="44" customWidth="1"/>
    <col min="16131" max="16131" width="20.21875" style="44" customWidth="1"/>
    <col min="16132" max="16132" width="21.77734375" style="44" customWidth="1"/>
    <col min="16133" max="16133" width="18.77734375" style="44" customWidth="1"/>
    <col min="16134" max="16134" width="21.44140625" style="44" customWidth="1"/>
    <col min="16135" max="16135" width="26.5546875" style="44" customWidth="1"/>
    <col min="16136" max="16384" width="9.21875" style="44"/>
  </cols>
  <sheetData>
    <row r="1" spans="1:13" s="22" customFormat="1" ht="41.25" customHeight="1" x14ac:dyDescent="0.3">
      <c r="B1" s="181" t="s">
        <v>108</v>
      </c>
      <c r="C1" s="182"/>
      <c r="D1" s="182"/>
      <c r="E1" s="182"/>
      <c r="F1" s="182"/>
      <c r="G1" s="183"/>
    </row>
    <row r="2" spans="1:13" s="23" customFormat="1" ht="28.5" customHeight="1" x14ac:dyDescent="0.3">
      <c r="C2" s="24" t="s">
        <v>1</v>
      </c>
      <c r="D2" s="24" t="s">
        <v>59</v>
      </c>
      <c r="E2" s="24" t="s">
        <v>60</v>
      </c>
      <c r="F2" s="24" t="s">
        <v>61</v>
      </c>
      <c r="G2" s="25" t="s">
        <v>5</v>
      </c>
    </row>
    <row r="3" spans="1:13" s="23" customFormat="1" ht="28.5" customHeight="1" x14ac:dyDescent="0.3">
      <c r="B3" s="26" t="s">
        <v>0</v>
      </c>
      <c r="C3" s="27">
        <f>C4+C44</f>
        <v>1446</v>
      </c>
      <c r="D3" s="27">
        <f>D4+D44</f>
        <v>1424</v>
      </c>
      <c r="E3" s="27">
        <f>E4+E44</f>
        <v>92</v>
      </c>
      <c r="F3" s="27">
        <f>F4+F44</f>
        <v>1026</v>
      </c>
      <c r="G3" s="27">
        <f>G4+G44</f>
        <v>3988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26" t="s">
        <v>62</v>
      </c>
      <c r="C4" s="31">
        <f>SUM(C5:C43)</f>
        <v>853</v>
      </c>
      <c r="D4" s="31">
        <f>SUM(D5:D43)</f>
        <v>1383</v>
      </c>
      <c r="E4" s="31">
        <f>SUM(E5:E43)</f>
        <v>72</v>
      </c>
      <c r="F4" s="31">
        <f>SUM(F5:F43)</f>
        <v>757</v>
      </c>
      <c r="G4" s="31">
        <f>SUM(G5:G43)</f>
        <v>3065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33" t="s">
        <v>10</v>
      </c>
      <c r="C5" s="79">
        <v>26</v>
      </c>
      <c r="D5" s="79">
        <v>8</v>
      </c>
      <c r="E5" s="79">
        <v>8</v>
      </c>
      <c r="F5" s="79">
        <v>23</v>
      </c>
      <c r="G5" s="31">
        <f>SUM(C5:F5)</f>
        <v>65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33" t="s">
        <v>11</v>
      </c>
      <c r="C6" s="79">
        <v>18</v>
      </c>
      <c r="D6" s="79">
        <v>22</v>
      </c>
      <c r="E6" s="79">
        <v>3</v>
      </c>
      <c r="F6" s="79">
        <v>15</v>
      </c>
      <c r="G6" s="31">
        <f t="shared" ref="G6:G43" si="0">SUM(C6:F6)</f>
        <v>58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33" t="s">
        <v>12</v>
      </c>
      <c r="C7" s="79">
        <v>24</v>
      </c>
      <c r="D7" s="79">
        <v>11</v>
      </c>
      <c r="E7" s="79">
        <v>4</v>
      </c>
      <c r="F7" s="79">
        <v>22</v>
      </c>
      <c r="G7" s="31">
        <f t="shared" si="0"/>
        <v>61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33" t="s">
        <v>13</v>
      </c>
      <c r="C8" s="79">
        <v>18</v>
      </c>
      <c r="D8" s="79">
        <v>32</v>
      </c>
      <c r="E8" s="79">
        <v>0</v>
      </c>
      <c r="F8" s="79">
        <v>12</v>
      </c>
      <c r="G8" s="31">
        <f t="shared" si="0"/>
        <v>62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33" t="s">
        <v>14</v>
      </c>
      <c r="C9" s="79">
        <v>13</v>
      </c>
      <c r="D9" s="79">
        <v>32</v>
      </c>
      <c r="E9" s="79">
        <v>5</v>
      </c>
      <c r="F9" s="79">
        <v>13</v>
      </c>
      <c r="G9" s="31">
        <f t="shared" si="0"/>
        <v>63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33" t="s">
        <v>15</v>
      </c>
      <c r="C10" s="79">
        <v>32</v>
      </c>
      <c r="D10" s="79">
        <v>38</v>
      </c>
      <c r="E10" s="79">
        <v>0</v>
      </c>
      <c r="F10" s="79">
        <v>91</v>
      </c>
      <c r="G10" s="31">
        <f t="shared" si="0"/>
        <v>161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33" t="s">
        <v>16</v>
      </c>
      <c r="C11" s="79">
        <v>30</v>
      </c>
      <c r="D11" s="79">
        <v>14</v>
      </c>
      <c r="E11" s="79">
        <v>0</v>
      </c>
      <c r="F11" s="79">
        <v>18</v>
      </c>
      <c r="G11" s="31">
        <f t="shared" si="0"/>
        <v>62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33" t="s">
        <v>17</v>
      </c>
      <c r="C12" s="79">
        <v>16</v>
      </c>
      <c r="D12" s="79">
        <v>33</v>
      </c>
      <c r="E12" s="79">
        <v>1</v>
      </c>
      <c r="F12" s="79">
        <v>15</v>
      </c>
      <c r="G12" s="31">
        <f t="shared" si="0"/>
        <v>65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33" t="s">
        <v>18</v>
      </c>
      <c r="C13" s="79">
        <v>9</v>
      </c>
      <c r="D13" s="79">
        <v>28</v>
      </c>
      <c r="E13" s="79">
        <v>0</v>
      </c>
      <c r="F13" s="79">
        <v>2</v>
      </c>
      <c r="G13" s="31">
        <f t="shared" si="0"/>
        <v>39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33" t="s">
        <v>19</v>
      </c>
      <c r="C14" s="79">
        <v>19</v>
      </c>
      <c r="D14" s="79">
        <v>45</v>
      </c>
      <c r="E14" s="79">
        <v>1</v>
      </c>
      <c r="F14" s="79">
        <v>22</v>
      </c>
      <c r="G14" s="31">
        <f t="shared" si="0"/>
        <v>87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35" t="s">
        <v>63</v>
      </c>
      <c r="C15" s="79">
        <v>35</v>
      </c>
      <c r="D15" s="79">
        <v>118</v>
      </c>
      <c r="E15" s="79">
        <v>5</v>
      </c>
      <c r="F15" s="79">
        <v>31</v>
      </c>
      <c r="G15" s="31">
        <f t="shared" si="0"/>
        <v>189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33" t="s">
        <v>105</v>
      </c>
      <c r="C16" s="79">
        <v>16</v>
      </c>
      <c r="D16" s="79">
        <v>69</v>
      </c>
      <c r="E16" s="79">
        <v>2</v>
      </c>
      <c r="F16" s="79">
        <v>46</v>
      </c>
      <c r="G16" s="31">
        <f t="shared" si="0"/>
        <v>133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33" t="s">
        <v>22</v>
      </c>
      <c r="C17" s="79">
        <v>20</v>
      </c>
      <c r="D17" s="79">
        <v>12</v>
      </c>
      <c r="E17" s="79">
        <v>0</v>
      </c>
      <c r="F17" s="79">
        <v>8</v>
      </c>
      <c r="G17" s="31">
        <f t="shared" si="0"/>
        <v>40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33" t="s">
        <v>23</v>
      </c>
      <c r="C18" s="79">
        <v>18</v>
      </c>
      <c r="D18" s="79">
        <v>20</v>
      </c>
      <c r="E18" s="79">
        <v>5</v>
      </c>
      <c r="F18" s="79">
        <v>26</v>
      </c>
      <c r="G18" s="31">
        <f t="shared" si="0"/>
        <v>69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33" t="s">
        <v>24</v>
      </c>
      <c r="C19" s="79">
        <v>36</v>
      </c>
      <c r="D19" s="79">
        <v>74</v>
      </c>
      <c r="E19" s="79">
        <v>1</v>
      </c>
      <c r="F19" s="79">
        <v>36</v>
      </c>
      <c r="G19" s="31">
        <f t="shared" si="0"/>
        <v>147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33" t="s">
        <v>25</v>
      </c>
      <c r="C20" s="79">
        <v>24</v>
      </c>
      <c r="D20" s="79">
        <v>40</v>
      </c>
      <c r="E20" s="79">
        <v>1</v>
      </c>
      <c r="F20" s="79">
        <v>4</v>
      </c>
      <c r="G20" s="31">
        <f t="shared" si="0"/>
        <v>69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33" t="s">
        <v>28</v>
      </c>
      <c r="C21" s="79">
        <v>99</v>
      </c>
      <c r="D21" s="79">
        <v>84</v>
      </c>
      <c r="E21" s="79">
        <v>2</v>
      </c>
      <c r="F21" s="79">
        <v>45</v>
      </c>
      <c r="G21" s="31">
        <f t="shared" si="0"/>
        <v>230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33" t="s">
        <v>64</v>
      </c>
      <c r="C22" s="79">
        <v>17</v>
      </c>
      <c r="D22" s="79">
        <v>47</v>
      </c>
      <c r="E22" s="79">
        <v>2</v>
      </c>
      <c r="F22" s="79">
        <v>15</v>
      </c>
      <c r="G22" s="31">
        <f t="shared" si="0"/>
        <v>81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33" t="s">
        <v>30</v>
      </c>
      <c r="C23" s="79">
        <v>53</v>
      </c>
      <c r="D23" s="79">
        <v>42</v>
      </c>
      <c r="E23" s="79">
        <v>4</v>
      </c>
      <c r="F23" s="79">
        <v>19</v>
      </c>
      <c r="G23" s="31">
        <f t="shared" si="0"/>
        <v>118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33" t="s">
        <v>31</v>
      </c>
      <c r="C24" s="79">
        <v>30</v>
      </c>
      <c r="D24" s="79">
        <v>29</v>
      </c>
      <c r="E24" s="79">
        <v>2</v>
      </c>
      <c r="F24" s="79">
        <v>36</v>
      </c>
      <c r="G24" s="31">
        <f t="shared" si="0"/>
        <v>97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33" t="s">
        <v>65</v>
      </c>
      <c r="C25" s="79">
        <v>3</v>
      </c>
      <c r="D25" s="79">
        <v>10</v>
      </c>
      <c r="E25" s="79">
        <v>0</v>
      </c>
      <c r="F25" s="79">
        <v>0</v>
      </c>
      <c r="G25" s="31">
        <f t="shared" si="0"/>
        <v>13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33" t="s">
        <v>34</v>
      </c>
      <c r="C26" s="79">
        <v>52</v>
      </c>
      <c r="D26" s="79">
        <v>35</v>
      </c>
      <c r="E26" s="79">
        <v>2</v>
      </c>
      <c r="F26" s="79">
        <v>39</v>
      </c>
      <c r="G26" s="31">
        <f t="shared" si="0"/>
        <v>128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33" t="s">
        <v>35</v>
      </c>
      <c r="C27" s="79">
        <v>31</v>
      </c>
      <c r="D27" s="79">
        <v>49</v>
      </c>
      <c r="E27" s="79">
        <v>0</v>
      </c>
      <c r="F27" s="79">
        <v>25</v>
      </c>
      <c r="G27" s="31">
        <f t="shared" si="0"/>
        <v>105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33" t="s">
        <v>36</v>
      </c>
      <c r="C28" s="79">
        <v>17</v>
      </c>
      <c r="D28" s="79">
        <v>30</v>
      </c>
      <c r="E28" s="79">
        <v>1</v>
      </c>
      <c r="F28" s="79">
        <v>13</v>
      </c>
      <c r="G28" s="31">
        <f t="shared" si="0"/>
        <v>61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33" t="s">
        <v>37</v>
      </c>
      <c r="C29" s="79">
        <v>8</v>
      </c>
      <c r="D29" s="79">
        <v>55</v>
      </c>
      <c r="E29" s="79">
        <v>1</v>
      </c>
      <c r="F29" s="79">
        <v>4</v>
      </c>
      <c r="G29" s="31">
        <f t="shared" si="0"/>
        <v>68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33" t="s">
        <v>39</v>
      </c>
      <c r="C30" s="79">
        <v>15</v>
      </c>
      <c r="D30" s="79">
        <v>32</v>
      </c>
      <c r="E30" s="79">
        <v>1</v>
      </c>
      <c r="F30" s="79">
        <v>16</v>
      </c>
      <c r="G30" s="31">
        <f t="shared" si="0"/>
        <v>64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33" t="s">
        <v>40</v>
      </c>
      <c r="C31" s="79">
        <v>0</v>
      </c>
      <c r="D31" s="79">
        <v>0</v>
      </c>
      <c r="E31" s="79">
        <v>5</v>
      </c>
      <c r="F31" s="79">
        <v>0</v>
      </c>
      <c r="G31" s="31">
        <f>SUM(C31:F31)</f>
        <v>5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33" t="s">
        <v>41</v>
      </c>
      <c r="C32" s="79">
        <v>19</v>
      </c>
      <c r="D32" s="79">
        <v>58</v>
      </c>
      <c r="E32" s="79">
        <v>3</v>
      </c>
      <c r="F32" s="79">
        <v>19</v>
      </c>
      <c r="G32" s="31">
        <f>SUM(C32:F32)</f>
        <v>99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33" t="s">
        <v>42</v>
      </c>
      <c r="C33" s="79">
        <v>14</v>
      </c>
      <c r="D33" s="79">
        <v>32</v>
      </c>
      <c r="E33" s="79">
        <v>2</v>
      </c>
      <c r="F33" s="79">
        <v>7</v>
      </c>
      <c r="G33" s="31">
        <f t="shared" si="0"/>
        <v>55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33" t="s">
        <v>43</v>
      </c>
      <c r="C34" s="79">
        <v>10</v>
      </c>
      <c r="D34" s="79">
        <v>20</v>
      </c>
      <c r="E34" s="79">
        <v>0</v>
      </c>
      <c r="F34" s="79">
        <v>6</v>
      </c>
      <c r="G34" s="31">
        <f t="shared" si="0"/>
        <v>36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33" t="s">
        <v>44</v>
      </c>
      <c r="C35" s="79">
        <v>19</v>
      </c>
      <c r="D35" s="79">
        <v>28</v>
      </c>
      <c r="E35" s="79">
        <v>1</v>
      </c>
      <c r="F35" s="79">
        <v>23</v>
      </c>
      <c r="G35" s="31">
        <f t="shared" si="0"/>
        <v>71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33" t="s">
        <v>45</v>
      </c>
      <c r="C36" s="79">
        <v>10</v>
      </c>
      <c r="D36" s="79">
        <v>53</v>
      </c>
      <c r="E36" s="79">
        <v>0</v>
      </c>
      <c r="F36" s="79">
        <v>8</v>
      </c>
      <c r="G36" s="31">
        <f t="shared" si="0"/>
        <v>71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33" t="s">
        <v>46</v>
      </c>
      <c r="C37" s="79">
        <v>3</v>
      </c>
      <c r="D37" s="79">
        <v>16</v>
      </c>
      <c r="E37" s="79">
        <v>2</v>
      </c>
      <c r="F37" s="79">
        <v>14</v>
      </c>
      <c r="G37" s="31">
        <f t="shared" si="0"/>
        <v>35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33" t="s">
        <v>48</v>
      </c>
      <c r="C38" s="79">
        <v>21</v>
      </c>
      <c r="D38" s="79">
        <v>37</v>
      </c>
      <c r="E38" s="79">
        <v>0</v>
      </c>
      <c r="F38" s="79">
        <v>29</v>
      </c>
      <c r="G38" s="31">
        <f t="shared" si="0"/>
        <v>87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33" t="s">
        <v>49</v>
      </c>
      <c r="C39" s="79">
        <v>5</v>
      </c>
      <c r="D39" s="79">
        <v>47</v>
      </c>
      <c r="E39" s="79">
        <v>0</v>
      </c>
      <c r="F39" s="79">
        <v>8</v>
      </c>
      <c r="G39" s="31">
        <f t="shared" si="0"/>
        <v>60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33" t="s">
        <v>50</v>
      </c>
      <c r="C40" s="79">
        <v>32</v>
      </c>
      <c r="D40" s="79">
        <v>10</v>
      </c>
      <c r="E40" s="79">
        <v>8</v>
      </c>
      <c r="F40" s="79">
        <v>22</v>
      </c>
      <c r="G40" s="31">
        <f t="shared" si="0"/>
        <v>72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33" t="s">
        <v>52</v>
      </c>
      <c r="C41" s="79">
        <v>16</v>
      </c>
      <c r="D41" s="79">
        <v>28</v>
      </c>
      <c r="E41" s="79">
        <v>0</v>
      </c>
      <c r="F41" s="79">
        <v>1</v>
      </c>
      <c r="G41" s="31">
        <f t="shared" si="0"/>
        <v>45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33" t="s">
        <v>54</v>
      </c>
      <c r="C42" s="79">
        <v>25</v>
      </c>
      <c r="D42" s="79">
        <v>43</v>
      </c>
      <c r="E42" s="79">
        <v>0</v>
      </c>
      <c r="F42" s="79">
        <v>24</v>
      </c>
      <c r="G42" s="31">
        <f t="shared" si="0"/>
        <v>92</v>
      </c>
      <c r="H42" s="36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33" t="s">
        <v>33</v>
      </c>
      <c r="C43" s="79">
        <v>0</v>
      </c>
      <c r="D43" s="79">
        <v>2</v>
      </c>
      <c r="E43" s="79">
        <v>0</v>
      </c>
      <c r="F43" s="79">
        <v>0</v>
      </c>
      <c r="G43" s="31">
        <f t="shared" si="0"/>
        <v>2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26" t="s">
        <v>66</v>
      </c>
      <c r="C44" s="31">
        <f>SUM(C45:C51)</f>
        <v>593</v>
      </c>
      <c r="D44" s="31">
        <f>SUM(D45:D51)</f>
        <v>41</v>
      </c>
      <c r="E44" s="31">
        <f>SUM(E45:E51)</f>
        <v>20</v>
      </c>
      <c r="F44" s="31">
        <f>SUM(F45:F51)</f>
        <v>269</v>
      </c>
      <c r="G44" s="31">
        <f>SUM(G45:G51)</f>
        <v>923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33" t="s">
        <v>27</v>
      </c>
      <c r="C45" s="79">
        <v>90</v>
      </c>
      <c r="D45" s="79">
        <v>1</v>
      </c>
      <c r="E45" s="79">
        <v>0</v>
      </c>
      <c r="F45" s="79">
        <v>52</v>
      </c>
      <c r="G45" s="31">
        <f>SUM(C45:F45)</f>
        <v>143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33" t="s">
        <v>38</v>
      </c>
      <c r="C46" s="79">
        <v>51</v>
      </c>
      <c r="D46" s="79">
        <v>15</v>
      </c>
      <c r="E46" s="79">
        <v>5</v>
      </c>
      <c r="F46" s="79">
        <v>23</v>
      </c>
      <c r="G46" s="31">
        <f t="shared" ref="G46:G51" si="1">SUM(C46:F46)</f>
        <v>94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33" t="s">
        <v>47</v>
      </c>
      <c r="C47" s="79">
        <v>27</v>
      </c>
      <c r="D47" s="79">
        <v>6</v>
      </c>
      <c r="E47" s="79">
        <v>1</v>
      </c>
      <c r="F47" s="79">
        <v>37</v>
      </c>
      <c r="G47" s="31">
        <f t="shared" si="1"/>
        <v>71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33" t="s">
        <v>67</v>
      </c>
      <c r="C48" s="79">
        <v>33</v>
      </c>
      <c r="D48" s="79">
        <v>5</v>
      </c>
      <c r="E48" s="79">
        <v>0</v>
      </c>
      <c r="F48" s="79">
        <v>19</v>
      </c>
      <c r="G48" s="31">
        <f t="shared" si="1"/>
        <v>57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33" t="s">
        <v>53</v>
      </c>
      <c r="C49" s="79">
        <v>71</v>
      </c>
      <c r="D49" s="79">
        <v>0</v>
      </c>
      <c r="E49" s="79">
        <v>1</v>
      </c>
      <c r="F49" s="79">
        <v>40</v>
      </c>
      <c r="G49" s="31">
        <f t="shared" si="1"/>
        <v>112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33" t="s">
        <v>55</v>
      </c>
      <c r="C50" s="79">
        <v>60</v>
      </c>
      <c r="D50" s="79">
        <v>14</v>
      </c>
      <c r="E50" s="79">
        <v>2</v>
      </c>
      <c r="F50" s="79">
        <v>36</v>
      </c>
      <c r="G50" s="31">
        <f t="shared" si="1"/>
        <v>112</v>
      </c>
      <c r="I50" s="29"/>
      <c r="J50" s="29"/>
      <c r="K50" s="29"/>
      <c r="L50" s="29"/>
      <c r="M50" s="29"/>
    </row>
    <row r="51" spans="1:13" s="42" customFormat="1" ht="12.75" customHeight="1" x14ac:dyDescent="0.3">
      <c r="A51" s="32">
        <v>77</v>
      </c>
      <c r="B51" s="38" t="s">
        <v>26</v>
      </c>
      <c r="C51" s="79">
        <v>261</v>
      </c>
      <c r="D51" s="79">
        <v>0</v>
      </c>
      <c r="E51" s="79">
        <v>11</v>
      </c>
      <c r="F51" s="79">
        <v>62</v>
      </c>
      <c r="G51" s="31">
        <f t="shared" si="1"/>
        <v>334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43"/>
      <c r="D52" s="43"/>
      <c r="E52" s="43"/>
      <c r="F52" s="43"/>
      <c r="G52" s="43"/>
      <c r="I52" s="44"/>
      <c r="J52" s="29"/>
    </row>
    <row r="53" spans="1:13" s="33" customFormat="1" ht="13.5" customHeight="1" x14ac:dyDescent="0.3">
      <c r="A53" s="32"/>
      <c r="H53" s="44"/>
      <c r="I53" s="44"/>
    </row>
    <row r="54" spans="1:13" s="33" customFormat="1" ht="13.5" customHeight="1" x14ac:dyDescent="0.3">
      <c r="A54" s="32"/>
      <c r="H54" s="44"/>
      <c r="I54" s="44"/>
    </row>
    <row r="55" spans="1:13" s="33" customFormat="1" x14ac:dyDescent="0.3">
      <c r="A55" s="32"/>
      <c r="B55" s="45"/>
      <c r="H55" s="44"/>
      <c r="I55" s="44"/>
    </row>
    <row r="56" spans="1:13" x14ac:dyDescent="0.3">
      <c r="A56" s="32"/>
      <c r="F56" s="46"/>
      <c r="G56" s="46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7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96B302BE1450114DBFA1E64E71351C51" ma:contentTypeVersion="16" ma:contentTypeDescription="Create a new document." ma:contentTypeScope="" ma:versionID="8f1a47fe4d38d3f3f089659af91fdeba">
  <xsd:schema xmlns:xsd="http://www.w3.org/2001/XMLSchema" xmlns:xs="http://www.w3.org/2001/XMLSchema" xmlns:p="http://schemas.microsoft.com/office/2006/metadata/properties" xmlns:ns2="4e9417ab-6472-4075-af16-7dc6074df91e" xmlns:ns3="d3b91885-046f-41e5-8fb1-94b528881a1f" xmlns:ns4="d32333cd-d584-4454-b96d-286e1ba8789f" targetNamespace="http://schemas.microsoft.com/office/2006/metadata/properties" ma:root="true" ma:fieldsID="75d307f281eef6bafc8f56dcab1bc85e" ns2:_="" ns3:_="" ns4:_="">
    <xsd:import namespace="4e9417ab-6472-4075-af16-7dc6074df91e"/>
    <xsd:import namespace="d3b91885-046f-41e5-8fb1-94b528881a1f"/>
    <xsd:import namespace="d32333cd-d584-4454-b96d-286e1ba8789f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6c52233-b4de-4f28-b687-89c79e46a91b}" ma:internalName="TaxCatchAll" ma:showField="CatchAllData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6c52233-b4de-4f28-b687-89c79e46a91b}" ma:internalName="TaxCatchAllLabel" ma:readOnly="true" ma:showField="CatchAllDataLabel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HO Analysis and Insights Directorate (HOAID)|f405872c-5ec6-43bd-b962-56289e7f995b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rocess – Significant|6ccbe411-9327-473d-908e-7668b31d44e3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91885-046f-41e5-8fb1-94b52888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333cd-d584-4454-b96d-286e1ba8789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e580ec-c125-41f3-a307-e1c841722a86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Process – Significant</TermName>
          <TermId xmlns="http://schemas.microsoft.com/office/infopath/2007/PartnerControls">6ccbe411-9327-473d-908e-7668b31d44e3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 Analysis and Insights Directorate (HOAID)</TermName>
          <TermId xmlns="http://schemas.microsoft.com/office/infopath/2007/PartnerControls">f405872c-5ec6-43bd-b962-56289e7f995b</TermId>
        </TermInfo>
      </Terms>
    </jb5e598af17141539648acf311d7477b>
  </documentManagement>
</p:properties>
</file>

<file path=customXml/itemProps1.xml><?xml version="1.0" encoding="utf-8"?>
<ds:datastoreItem xmlns:ds="http://schemas.openxmlformats.org/officeDocument/2006/customXml" ds:itemID="{CE95BBB6-E835-4801-93BB-C250F383287A}"/>
</file>

<file path=customXml/itemProps2.xml><?xml version="1.0" encoding="utf-8"?>
<ds:datastoreItem xmlns:ds="http://schemas.openxmlformats.org/officeDocument/2006/customXml" ds:itemID="{82ACF580-1E68-435B-8989-975081997D70}"/>
</file>

<file path=customXml/itemProps3.xml><?xml version="1.0" encoding="utf-8"?>
<ds:datastoreItem xmlns:ds="http://schemas.openxmlformats.org/officeDocument/2006/customXml" ds:itemID="{E1D68096-B54E-4043-8048-D6D89657300D}"/>
</file>

<file path=customXml/itemProps4.xml><?xml version="1.0" encoding="utf-8"?>
<ds:datastoreItem xmlns:ds="http://schemas.openxmlformats.org/officeDocument/2006/customXml" ds:itemID="{E0DF7C6B-3B34-4D5A-B934-9BBFB185F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11</vt:i4>
      </vt:variant>
    </vt:vector>
  </HeadingPairs>
  <TitlesOfParts>
    <vt:vector size="30" baseType="lpstr">
      <vt:lpstr>(2009-10)</vt:lpstr>
      <vt:lpstr>(2010-11)</vt:lpstr>
      <vt:lpstr>(2011-12)</vt:lpstr>
      <vt:lpstr>(2012-13)</vt:lpstr>
      <vt:lpstr>(2013-14)</vt:lpstr>
      <vt:lpstr>(2014-15)</vt:lpstr>
      <vt:lpstr>(2015-16)</vt:lpstr>
      <vt:lpstr>(2016-17)</vt:lpstr>
      <vt:lpstr>(2017-18)</vt:lpstr>
      <vt:lpstr>(2018-19)</vt:lpstr>
      <vt:lpstr>macro</vt:lpstr>
      <vt:lpstr>Cover_sheet</vt:lpstr>
      <vt:lpstr>Contents</vt:lpstr>
      <vt:lpstr>raw</vt:lpstr>
      <vt:lpstr>(2019-20)</vt:lpstr>
      <vt:lpstr>(2020-21)</vt:lpstr>
      <vt:lpstr>FIRE1110 raw</vt:lpstr>
      <vt:lpstr>FIRE1110</vt:lpstr>
      <vt:lpstr>stats release</vt:lpstr>
      <vt:lpstr>'(2009-10)'!Print_Area</vt:lpstr>
      <vt:lpstr>'(2010-11)'!Print_Area</vt:lpstr>
      <vt:lpstr>'(2011-12)'!Print_Area</vt:lpstr>
      <vt:lpstr>'(2013-14)'!Print_Area</vt:lpstr>
      <vt:lpstr>'(2014-15)'!Print_Area</vt:lpstr>
      <vt:lpstr>Contents!Print_Area</vt:lpstr>
      <vt:lpstr>'(2009-10)'!qrychiefrepwteststr</vt:lpstr>
      <vt:lpstr>'(2010-11)'!qrychiefrepwteststr</vt:lpstr>
      <vt:lpstr>'(2011-12)'!qrychiefrepwteststr</vt:lpstr>
      <vt:lpstr>'(2013-14)'!qrychiefrepwteststr</vt:lpstr>
      <vt:lpstr>'(2014-15)'!qrychiefrepwteststr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FIRE1110: Staff leaving fire authorities, by fire and rescue authority and by role</dc:title>
  <dc:creator/>
  <cp:keywords>data tables, staff, fire, leaving, 2021</cp:keywords>
  <cp:lastModifiedBy/>
  <dcterms:created xsi:type="dcterms:W3CDTF">2021-10-19T10:14:06Z</dcterms:created>
  <dcterms:modified xsi:type="dcterms:W3CDTF">2021-10-19T10:15:23Z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0x010100A5BF1C78D9F64B679A5EBDE1C6598EBC010096B302BE1450114DBFA1E64E71351C51</vt:lpwstr>
  </property>
</Properties>
</file>