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codeName="ThisWorkbook"/>
  <xr:revisionPtr revIDLastSave="619" documentId="8_{375C6AD4-4551-4699-9A1C-77B19E0E448E}" xr6:coauthVersionLast="47" xr6:coauthVersionMax="47" xr10:uidLastSave="{E5772760-905F-4C51-9FE1-66FD649450DF}"/>
  <bookViews>
    <workbookView xWindow="43080" yWindow="-120" windowWidth="29040" windowHeight="15720" tabRatio="761" xr2:uid="{AA546A75-054C-4962-8172-9C248B08C733}"/>
  </bookViews>
  <sheets>
    <sheet name="Cover" sheetId="321" r:id="rId1"/>
    <sheet name="Conceptual model" sheetId="322" r:id="rId2"/>
    <sheet name="F_Inputs_BP" sheetId="323" r:id="rId3"/>
    <sheet name="F_Inputs_APR" sheetId="325" r:id="rId4"/>
    <sheet name="F_Inputs (EC)" sheetId="319" r:id="rId5"/>
    <sheet name="Consolidated Input" sheetId="290" r:id="rId6"/>
    <sheet name="Time" sheetId="273" r:id="rId7"/>
    <sheet name="InpC" sheetId="48" r:id="rId8"/>
    <sheet name="InpT" sheetId="278" r:id="rId9"/>
    <sheet name="Traffic Management Act" sheetId="277" r:id="rId10"/>
    <sheet name="TMA Projects" sheetId="295" r:id="rId11"/>
    <sheet name="Unit costs" sheetId="296" r:id="rId12"/>
    <sheet name="Lane Rental Schemes" sheetId="293" r:id="rId13"/>
    <sheet name="Analysis (TMA)" sheetId="305" r:id="rId14"/>
    <sheet name="Analysis (LRS)" sheetId="309" r:id="rId15"/>
    <sheet name="Allowance" sheetId="304" r:id="rId16"/>
  </sheets>
  <definedNames>
    <definedName name="APRChoices">InpC!$E$48:$E$53</definedName>
    <definedName name="BaseCaseIndicator">InpC!$J$7:$O$7</definedName>
    <definedName name="CHK_TOL">InpC!$F$122</definedName>
    <definedName name="SMU">InpC!$F$123</definedName>
    <definedName name="TRK_TOL">InpC!$F$121</definedName>
    <definedName name="YesNo">InpC!$F$126:$F$127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290" l="1"/>
  <c r="I7" i="290"/>
  <c r="I8" i="290"/>
  <c r="I9" i="290"/>
  <c r="I10" i="290"/>
  <c r="I11" i="290"/>
  <c r="I12" i="290"/>
  <c r="I13" i="290"/>
  <c r="I14" i="290"/>
  <c r="I15" i="290"/>
  <c r="I16" i="290"/>
  <c r="I17" i="290"/>
  <c r="I18" i="290"/>
  <c r="I19" i="290"/>
  <c r="I20" i="290"/>
  <c r="I21" i="290"/>
  <c r="I22" i="290"/>
  <c r="I23" i="290"/>
  <c r="I24" i="290"/>
  <c r="I25" i="290"/>
  <c r="I26" i="290"/>
  <c r="I27" i="290"/>
  <c r="I28" i="290"/>
  <c r="I29" i="290"/>
  <c r="I30" i="290"/>
  <c r="I31" i="290"/>
  <c r="I32" i="290"/>
  <c r="I33" i="290"/>
  <c r="I34" i="290"/>
  <c r="I35" i="290"/>
  <c r="I36" i="290"/>
  <c r="I37" i="290"/>
  <c r="I38" i="290"/>
  <c r="I39" i="290"/>
  <c r="I40" i="290"/>
  <c r="I41" i="290"/>
  <c r="I42" i="290"/>
  <c r="I43" i="290"/>
  <c r="I44" i="290"/>
  <c r="I45" i="290"/>
  <c r="I46" i="290"/>
  <c r="I47" i="290"/>
  <c r="I48" i="290"/>
  <c r="I49" i="290"/>
  <c r="I50" i="290"/>
  <c r="I51" i="290"/>
  <c r="I52" i="290"/>
  <c r="I53" i="290"/>
  <c r="I54" i="290"/>
  <c r="I55" i="290"/>
  <c r="I56" i="290"/>
  <c r="I57" i="290"/>
  <c r="I58" i="290"/>
  <c r="I59" i="290"/>
  <c r="I60" i="290"/>
  <c r="I61" i="290"/>
  <c r="I62" i="290"/>
  <c r="I63" i="290"/>
  <c r="I64" i="290"/>
  <c r="I65" i="290"/>
  <c r="I66" i="290"/>
  <c r="I67" i="290"/>
  <c r="I68" i="290"/>
  <c r="I69" i="290"/>
  <c r="I70" i="290"/>
  <c r="I71" i="290"/>
  <c r="I72" i="290"/>
  <c r="I73" i="290"/>
  <c r="I74" i="290"/>
  <c r="I75" i="290"/>
  <c r="I76" i="290"/>
  <c r="I77" i="290"/>
  <c r="I78" i="290"/>
  <c r="I79" i="290"/>
  <c r="I80" i="290"/>
  <c r="I81" i="290"/>
  <c r="I82" i="290"/>
  <c r="I83" i="290"/>
  <c r="I84" i="290"/>
  <c r="I85" i="290"/>
  <c r="I86" i="290"/>
  <c r="I87" i="290"/>
  <c r="I88" i="290"/>
  <c r="I89" i="290"/>
  <c r="I90" i="290"/>
  <c r="I91" i="290"/>
  <c r="I92" i="290"/>
  <c r="I93" i="290"/>
  <c r="I94" i="290"/>
  <c r="I95" i="290"/>
  <c r="I96" i="290"/>
  <c r="I97" i="290"/>
  <c r="I98" i="290"/>
  <c r="I99" i="290"/>
  <c r="I100" i="290"/>
  <c r="I101" i="290"/>
  <c r="I102" i="290"/>
  <c r="I103" i="290"/>
  <c r="I104" i="290"/>
  <c r="I105" i="290"/>
  <c r="I106" i="290"/>
  <c r="I107" i="290"/>
  <c r="F164" i="304"/>
  <c r="E164" i="304"/>
  <c r="F163" i="304"/>
  <c r="E163" i="304"/>
  <c r="F162" i="304"/>
  <c r="E162" i="304"/>
  <c r="F161" i="304"/>
  <c r="E161" i="304"/>
  <c r="F160" i="304"/>
  <c r="E160" i="304"/>
  <c r="F159" i="304"/>
  <c r="E159" i="304"/>
  <c r="F158" i="304"/>
  <c r="E158" i="304"/>
  <c r="F157" i="304"/>
  <c r="E157" i="304"/>
  <c r="F156" i="304"/>
  <c r="E156" i="304"/>
  <c r="F155" i="304"/>
  <c r="E155" i="304"/>
  <c r="F154" i="304"/>
  <c r="E154" i="304"/>
  <c r="F153" i="304"/>
  <c r="E153" i="304"/>
  <c r="F152" i="304"/>
  <c r="E152" i="304"/>
  <c r="F151" i="304"/>
  <c r="E151" i="304"/>
  <c r="F150" i="304"/>
  <c r="E150" i="304"/>
  <c r="F149" i="304"/>
  <c r="E149" i="304"/>
  <c r="F148" i="304"/>
  <c r="E148" i="304"/>
  <c r="E146" i="304"/>
  <c r="S141" i="304"/>
  <c r="R141" i="304"/>
  <c r="F138" i="304"/>
  <c r="E138" i="304"/>
  <c r="F137" i="304"/>
  <c r="E137" i="304"/>
  <c r="F136" i="304"/>
  <c r="E136" i="304"/>
  <c r="F135" i="304"/>
  <c r="E135" i="304"/>
  <c r="F134" i="304"/>
  <c r="E134" i="304"/>
  <c r="F133" i="304"/>
  <c r="E133" i="304"/>
  <c r="F132" i="304"/>
  <c r="E132" i="304"/>
  <c r="F131" i="304"/>
  <c r="E131" i="304"/>
  <c r="F130" i="304"/>
  <c r="E130" i="304"/>
  <c r="F129" i="304"/>
  <c r="E129" i="304"/>
  <c r="F128" i="304"/>
  <c r="E128" i="304"/>
  <c r="F127" i="304"/>
  <c r="E127" i="304"/>
  <c r="F126" i="304"/>
  <c r="E126" i="304"/>
  <c r="F125" i="304"/>
  <c r="E125" i="304"/>
  <c r="F124" i="304"/>
  <c r="E124" i="304"/>
  <c r="F123" i="304"/>
  <c r="E123" i="304"/>
  <c r="F122" i="304"/>
  <c r="E122" i="304"/>
  <c r="E120" i="304"/>
  <c r="S115" i="304"/>
  <c r="R115" i="304"/>
  <c r="F112" i="304"/>
  <c r="E112" i="304"/>
  <c r="F111" i="304"/>
  <c r="E111" i="304"/>
  <c r="F110" i="304"/>
  <c r="E110" i="304"/>
  <c r="F109" i="304"/>
  <c r="E109" i="304"/>
  <c r="F108" i="304"/>
  <c r="E108" i="304"/>
  <c r="F107" i="304"/>
  <c r="E107" i="304"/>
  <c r="F106" i="304"/>
  <c r="E106" i="304"/>
  <c r="F105" i="304"/>
  <c r="E105" i="304"/>
  <c r="F104" i="304"/>
  <c r="E104" i="304"/>
  <c r="F103" i="304"/>
  <c r="E103" i="304"/>
  <c r="F102" i="304"/>
  <c r="E102" i="304"/>
  <c r="F101" i="304"/>
  <c r="E101" i="304"/>
  <c r="F100" i="304"/>
  <c r="E100" i="304"/>
  <c r="F99" i="304"/>
  <c r="E99" i="304"/>
  <c r="F98" i="304"/>
  <c r="E98" i="304"/>
  <c r="F97" i="304"/>
  <c r="E97" i="304"/>
  <c r="F96" i="304"/>
  <c r="E96" i="304"/>
  <c r="E94" i="304"/>
  <c r="S89" i="304"/>
  <c r="R89" i="304"/>
  <c r="F85" i="304"/>
  <c r="E85" i="304"/>
  <c r="F84" i="304"/>
  <c r="E84" i="304"/>
  <c r="F83" i="304"/>
  <c r="E83" i="304"/>
  <c r="F82" i="304"/>
  <c r="E82" i="304"/>
  <c r="F81" i="304"/>
  <c r="E81" i="304"/>
  <c r="F80" i="304"/>
  <c r="E80" i="304"/>
  <c r="F79" i="304"/>
  <c r="E79" i="304"/>
  <c r="F78" i="304"/>
  <c r="E78" i="304"/>
  <c r="F77" i="304"/>
  <c r="E77" i="304"/>
  <c r="F76" i="304"/>
  <c r="E76" i="304"/>
  <c r="F75" i="304"/>
  <c r="E75" i="304"/>
  <c r="F74" i="304"/>
  <c r="E74" i="304"/>
  <c r="F73" i="304"/>
  <c r="E73" i="304"/>
  <c r="F72" i="304"/>
  <c r="E72" i="304"/>
  <c r="F71" i="304"/>
  <c r="E71" i="304"/>
  <c r="F70" i="304"/>
  <c r="E70" i="304"/>
  <c r="F69" i="304"/>
  <c r="E69" i="304"/>
  <c r="E67" i="304"/>
  <c r="S62" i="304"/>
  <c r="R62" i="304"/>
  <c r="F59" i="304"/>
  <c r="E59" i="304"/>
  <c r="F58" i="304"/>
  <c r="E58" i="304"/>
  <c r="F57" i="304"/>
  <c r="E57" i="304"/>
  <c r="F56" i="304"/>
  <c r="E56" i="304"/>
  <c r="F55" i="304"/>
  <c r="E55" i="304"/>
  <c r="F54" i="304"/>
  <c r="E54" i="304"/>
  <c r="F53" i="304"/>
  <c r="E53" i="304"/>
  <c r="F52" i="304"/>
  <c r="E52" i="304"/>
  <c r="F51" i="304"/>
  <c r="E51" i="304"/>
  <c r="F50" i="304"/>
  <c r="E50" i="304"/>
  <c r="F49" i="304"/>
  <c r="E49" i="304"/>
  <c r="F48" i="304"/>
  <c r="E48" i="304"/>
  <c r="F47" i="304"/>
  <c r="E47" i="304"/>
  <c r="F46" i="304"/>
  <c r="E46" i="304"/>
  <c r="F45" i="304"/>
  <c r="E45" i="304"/>
  <c r="F44" i="304"/>
  <c r="E44" i="304"/>
  <c r="F43" i="304"/>
  <c r="E43" i="304"/>
  <c r="E41" i="304"/>
  <c r="S36" i="304"/>
  <c r="R36" i="304"/>
  <c r="F33" i="304"/>
  <c r="E33" i="304"/>
  <c r="F32" i="304"/>
  <c r="E32" i="304"/>
  <c r="F31" i="304"/>
  <c r="E31" i="304"/>
  <c r="F30" i="304"/>
  <c r="E30" i="304"/>
  <c r="F29" i="304"/>
  <c r="E29" i="304"/>
  <c r="F28" i="304"/>
  <c r="E28" i="304"/>
  <c r="F27" i="304"/>
  <c r="E27" i="304"/>
  <c r="F26" i="304"/>
  <c r="E26" i="304"/>
  <c r="F25" i="304"/>
  <c r="E25" i="304"/>
  <c r="F24" i="304"/>
  <c r="E24" i="304"/>
  <c r="F23" i="304"/>
  <c r="E23" i="304"/>
  <c r="F22" i="304"/>
  <c r="E22" i="304"/>
  <c r="F21" i="304"/>
  <c r="E21" i="304"/>
  <c r="F20" i="304"/>
  <c r="E20" i="304"/>
  <c r="F19" i="304"/>
  <c r="E19" i="304"/>
  <c r="F18" i="304"/>
  <c r="E18" i="304"/>
  <c r="F17" i="304"/>
  <c r="E17" i="304"/>
  <c r="E15" i="304"/>
  <c r="S10" i="304"/>
  <c r="R10" i="304"/>
  <c r="P7" i="304"/>
  <c r="O7" i="304"/>
  <c r="N7" i="304"/>
  <c r="M7" i="304"/>
  <c r="L7" i="304"/>
  <c r="K7" i="304"/>
  <c r="J7" i="304"/>
  <c r="P6" i="304"/>
  <c r="O6" i="304"/>
  <c r="N6" i="304"/>
  <c r="M6" i="304"/>
  <c r="L6" i="304"/>
  <c r="K6" i="304"/>
  <c r="J6" i="304"/>
  <c r="P5" i="304"/>
  <c r="O5" i="304"/>
  <c r="N5" i="304"/>
  <c r="M5" i="304"/>
  <c r="L5" i="304"/>
  <c r="K5" i="304"/>
  <c r="J5" i="304"/>
  <c r="S3" i="304"/>
  <c r="R3" i="304"/>
  <c r="A1" i="304"/>
  <c r="S227" i="309"/>
  <c r="R227" i="309"/>
  <c r="Q227" i="309"/>
  <c r="P227" i="309"/>
  <c r="O227" i="309"/>
  <c r="N227" i="309"/>
  <c r="M227" i="309"/>
  <c r="L227" i="309"/>
  <c r="K227" i="309"/>
  <c r="J227" i="309"/>
  <c r="V226" i="309"/>
  <c r="U226" i="309"/>
  <c r="V225" i="309"/>
  <c r="U225" i="309"/>
  <c r="G222" i="309"/>
  <c r="G316" i="309" s="1"/>
  <c r="C316" i="309" s="1"/>
  <c r="N220" i="309"/>
  <c r="M220" i="309"/>
  <c r="L220" i="309"/>
  <c r="K220" i="309"/>
  <c r="J220" i="309"/>
  <c r="V219" i="309"/>
  <c r="U219" i="309"/>
  <c r="G215" i="309"/>
  <c r="N213" i="309"/>
  <c r="M213" i="309"/>
  <c r="L213" i="309"/>
  <c r="K213" i="309"/>
  <c r="J213" i="309"/>
  <c r="G208" i="309"/>
  <c r="F208" i="309" s="1"/>
  <c r="N206" i="309"/>
  <c r="M206" i="309"/>
  <c r="L206" i="309"/>
  <c r="K206" i="309"/>
  <c r="J206" i="309"/>
  <c r="V205" i="309"/>
  <c r="U205" i="309"/>
  <c r="G201" i="309"/>
  <c r="G301" i="309" s="1"/>
  <c r="N199" i="309"/>
  <c r="M199" i="309"/>
  <c r="L199" i="309"/>
  <c r="K199" i="309"/>
  <c r="J199" i="309"/>
  <c r="V198" i="309"/>
  <c r="U198" i="309"/>
  <c r="G194" i="309"/>
  <c r="G296" i="309" s="1"/>
  <c r="N192" i="309"/>
  <c r="M192" i="309"/>
  <c r="L192" i="309"/>
  <c r="K192" i="309"/>
  <c r="J192" i="309"/>
  <c r="V191" i="309"/>
  <c r="U191" i="309"/>
  <c r="G187" i="309"/>
  <c r="G291" i="309" s="1"/>
  <c r="N185" i="309"/>
  <c r="M185" i="309"/>
  <c r="L185" i="309"/>
  <c r="K185" i="309"/>
  <c r="J185" i="309"/>
  <c r="V184" i="309"/>
  <c r="U184" i="309"/>
  <c r="G180" i="309"/>
  <c r="N178" i="309"/>
  <c r="M178" i="309"/>
  <c r="L178" i="309"/>
  <c r="K178" i="309"/>
  <c r="J178" i="309"/>
  <c r="V177" i="309"/>
  <c r="U177" i="309"/>
  <c r="G173" i="309"/>
  <c r="N171" i="309"/>
  <c r="M171" i="309"/>
  <c r="L171" i="309"/>
  <c r="K171" i="309"/>
  <c r="J171" i="309"/>
  <c r="G166" i="309"/>
  <c r="C166" i="309" s="1"/>
  <c r="N164" i="309"/>
  <c r="M164" i="309"/>
  <c r="L164" i="309"/>
  <c r="K164" i="309"/>
  <c r="J164" i="309"/>
  <c r="G159" i="309"/>
  <c r="G271" i="309" s="1"/>
  <c r="N157" i="309"/>
  <c r="M157" i="309"/>
  <c r="L157" i="309"/>
  <c r="K157" i="309"/>
  <c r="J157" i="309"/>
  <c r="G152" i="309"/>
  <c r="G266" i="309" s="1"/>
  <c r="F266" i="309" s="1"/>
  <c r="N150" i="309"/>
  <c r="M150" i="309"/>
  <c r="L150" i="309"/>
  <c r="K150" i="309"/>
  <c r="J150" i="309"/>
  <c r="G145" i="309"/>
  <c r="G261" i="309" s="1"/>
  <c r="N143" i="309"/>
  <c r="M143" i="309"/>
  <c r="L143" i="309"/>
  <c r="K143" i="309"/>
  <c r="J143" i="309"/>
  <c r="G138" i="309"/>
  <c r="G256" i="309" s="1"/>
  <c r="N136" i="309"/>
  <c r="M136" i="309"/>
  <c r="L136" i="309"/>
  <c r="K136" i="309"/>
  <c r="J136" i="309"/>
  <c r="G131" i="309"/>
  <c r="N129" i="309"/>
  <c r="M129" i="309"/>
  <c r="L129" i="309"/>
  <c r="K129" i="309"/>
  <c r="J129" i="309"/>
  <c r="G124" i="309"/>
  <c r="G246" i="309" s="1"/>
  <c r="N122" i="309"/>
  <c r="M122" i="309"/>
  <c r="L122" i="309"/>
  <c r="K122" i="309"/>
  <c r="J122" i="309"/>
  <c r="G117" i="309"/>
  <c r="G241" i="309" s="1"/>
  <c r="N115" i="309"/>
  <c r="M115" i="309"/>
  <c r="L115" i="309"/>
  <c r="K115" i="309"/>
  <c r="J115" i="309"/>
  <c r="G110" i="309"/>
  <c r="G236" i="309" s="1"/>
  <c r="N108" i="309"/>
  <c r="M108" i="309"/>
  <c r="L108" i="309"/>
  <c r="K108" i="309"/>
  <c r="J108" i="309"/>
  <c r="G103" i="309"/>
  <c r="F103" i="309" s="1"/>
  <c r="F96" i="309"/>
  <c r="C96" i="309"/>
  <c r="F91" i="309"/>
  <c r="C91" i="309"/>
  <c r="F86" i="309"/>
  <c r="C86" i="309"/>
  <c r="F81" i="309"/>
  <c r="C81" i="309"/>
  <c r="F76" i="309"/>
  <c r="C76" i="309"/>
  <c r="F71" i="309"/>
  <c r="C71" i="309"/>
  <c r="F66" i="309"/>
  <c r="C66" i="309"/>
  <c r="F61" i="309"/>
  <c r="C61" i="309"/>
  <c r="F56" i="309"/>
  <c r="C56" i="309"/>
  <c r="F51" i="309"/>
  <c r="C51" i="309"/>
  <c r="F46" i="309"/>
  <c r="C46" i="309"/>
  <c r="F41" i="309"/>
  <c r="C41" i="309"/>
  <c r="F36" i="309"/>
  <c r="C36" i="309"/>
  <c r="F31" i="309"/>
  <c r="C31" i="309"/>
  <c r="F26" i="309"/>
  <c r="C26" i="309"/>
  <c r="F21" i="309"/>
  <c r="C21" i="309"/>
  <c r="F16" i="309"/>
  <c r="C16" i="309"/>
  <c r="F11" i="309"/>
  <c r="C11" i="309"/>
  <c r="S7" i="309"/>
  <c r="R7" i="309"/>
  <c r="Q7" i="309"/>
  <c r="P7" i="309"/>
  <c r="O7" i="309"/>
  <c r="N7" i="309"/>
  <c r="M7" i="309"/>
  <c r="L7" i="309"/>
  <c r="K7" i="309"/>
  <c r="J7" i="309"/>
  <c r="S6" i="309"/>
  <c r="R6" i="309"/>
  <c r="Q6" i="309"/>
  <c r="P6" i="309"/>
  <c r="O6" i="309"/>
  <c r="N6" i="309"/>
  <c r="M6" i="309"/>
  <c r="L6" i="309"/>
  <c r="K6" i="309"/>
  <c r="J6" i="309"/>
  <c r="S5" i="309"/>
  <c r="R5" i="309"/>
  <c r="Q5" i="309"/>
  <c r="P5" i="309"/>
  <c r="O5" i="309"/>
  <c r="N5" i="309"/>
  <c r="M5" i="309"/>
  <c r="L5" i="309"/>
  <c r="K5" i="309"/>
  <c r="J5" i="309"/>
  <c r="A1" i="309"/>
  <c r="S227" i="305"/>
  <c r="R227" i="305"/>
  <c r="Q227" i="305"/>
  <c r="P227" i="305"/>
  <c r="O227" i="305"/>
  <c r="N227" i="305"/>
  <c r="M227" i="305"/>
  <c r="L227" i="305"/>
  <c r="K227" i="305"/>
  <c r="J227" i="305"/>
  <c r="V226" i="305"/>
  <c r="U226" i="305"/>
  <c r="V225" i="305"/>
  <c r="U225" i="305"/>
  <c r="G222" i="305"/>
  <c r="F222" i="305" s="1"/>
  <c r="N220" i="305"/>
  <c r="M220" i="305"/>
  <c r="L220" i="305"/>
  <c r="K220" i="305"/>
  <c r="J220" i="305"/>
  <c r="V219" i="305"/>
  <c r="U219" i="305"/>
  <c r="G215" i="305"/>
  <c r="N213" i="305"/>
  <c r="M213" i="305"/>
  <c r="L213" i="305"/>
  <c r="K213" i="305"/>
  <c r="J213" i="305"/>
  <c r="G208" i="305"/>
  <c r="G306" i="305" s="1"/>
  <c r="F306" i="305" s="1"/>
  <c r="N206" i="305"/>
  <c r="M206" i="305"/>
  <c r="L206" i="305"/>
  <c r="K206" i="305"/>
  <c r="J206" i="305"/>
  <c r="V205" i="305"/>
  <c r="U205" i="305"/>
  <c r="G201" i="305"/>
  <c r="N199" i="305"/>
  <c r="M199" i="305"/>
  <c r="L199" i="305"/>
  <c r="K199" i="305"/>
  <c r="J199" i="305"/>
  <c r="V198" i="305"/>
  <c r="U198" i="305"/>
  <c r="G194" i="305"/>
  <c r="G296" i="305" s="1"/>
  <c r="N192" i="305"/>
  <c r="M192" i="305"/>
  <c r="L192" i="305"/>
  <c r="K192" i="305"/>
  <c r="J192" i="305"/>
  <c r="V191" i="305"/>
  <c r="U191" i="305"/>
  <c r="G187" i="305"/>
  <c r="G291" i="305" s="1"/>
  <c r="F291" i="305" s="1"/>
  <c r="N185" i="305"/>
  <c r="M185" i="305"/>
  <c r="L185" i="305"/>
  <c r="K185" i="305"/>
  <c r="J185" i="305"/>
  <c r="V184" i="305"/>
  <c r="U184" i="305"/>
  <c r="G180" i="305"/>
  <c r="C180" i="305" s="1"/>
  <c r="N178" i="305"/>
  <c r="M178" i="305"/>
  <c r="L178" i="305"/>
  <c r="K178" i="305"/>
  <c r="J178" i="305"/>
  <c r="V177" i="305"/>
  <c r="U177" i="305"/>
  <c r="G173" i="305"/>
  <c r="N171" i="305"/>
  <c r="M171" i="305"/>
  <c r="L171" i="305"/>
  <c r="K171" i="305"/>
  <c r="J171" i="305"/>
  <c r="G166" i="305"/>
  <c r="G276" i="305" s="1"/>
  <c r="F276" i="305" s="1"/>
  <c r="N164" i="305"/>
  <c r="M164" i="305"/>
  <c r="L164" i="305"/>
  <c r="K164" i="305"/>
  <c r="J164" i="305"/>
  <c r="G159" i="305"/>
  <c r="G271" i="305" s="1"/>
  <c r="N157" i="305"/>
  <c r="M157" i="305"/>
  <c r="L157" i="305"/>
  <c r="K157" i="305"/>
  <c r="J157" i="305"/>
  <c r="G152" i="305"/>
  <c r="F152" i="305" s="1"/>
  <c r="R154" i="305" s="1"/>
  <c r="N150" i="305"/>
  <c r="M150" i="305"/>
  <c r="L150" i="305"/>
  <c r="K150" i="305"/>
  <c r="J150" i="305"/>
  <c r="G145" i="305"/>
  <c r="N143" i="305"/>
  <c r="M143" i="305"/>
  <c r="L143" i="305"/>
  <c r="K143" i="305"/>
  <c r="J143" i="305"/>
  <c r="G138" i="305"/>
  <c r="F138" i="305" s="1"/>
  <c r="N136" i="305"/>
  <c r="M136" i="305"/>
  <c r="L136" i="305"/>
  <c r="K136" i="305"/>
  <c r="J136" i="305"/>
  <c r="G131" i="305"/>
  <c r="G251" i="305" s="1"/>
  <c r="N129" i="305"/>
  <c r="M129" i="305"/>
  <c r="L129" i="305"/>
  <c r="K129" i="305"/>
  <c r="J129" i="305"/>
  <c r="G124" i="305"/>
  <c r="F124" i="305" s="1"/>
  <c r="O126" i="305" s="1"/>
  <c r="N122" i="305"/>
  <c r="M122" i="305"/>
  <c r="L122" i="305"/>
  <c r="K122" i="305"/>
  <c r="J122" i="305"/>
  <c r="G117" i="305"/>
  <c r="N115" i="305"/>
  <c r="M115" i="305"/>
  <c r="L115" i="305"/>
  <c r="K115" i="305"/>
  <c r="J115" i="305"/>
  <c r="G110" i="305"/>
  <c r="G236" i="305" s="1"/>
  <c r="F236" i="305" s="1"/>
  <c r="N108" i="305"/>
  <c r="M108" i="305"/>
  <c r="L108" i="305"/>
  <c r="K108" i="305"/>
  <c r="J108" i="305"/>
  <c r="G103" i="305"/>
  <c r="G231" i="305" s="1"/>
  <c r="F96" i="305"/>
  <c r="C96" i="305"/>
  <c r="F91" i="305"/>
  <c r="C91" i="305"/>
  <c r="F86" i="305"/>
  <c r="C86" i="305"/>
  <c r="F81" i="305"/>
  <c r="C81" i="305"/>
  <c r="F76" i="305"/>
  <c r="C76" i="305"/>
  <c r="F71" i="305"/>
  <c r="C71" i="305"/>
  <c r="F66" i="305"/>
  <c r="C66" i="305"/>
  <c r="F61" i="305"/>
  <c r="C61" i="305"/>
  <c r="F56" i="305"/>
  <c r="C56" i="305"/>
  <c r="F51" i="305"/>
  <c r="C51" i="305"/>
  <c r="F46" i="305"/>
  <c r="C46" i="305"/>
  <c r="F41" i="305"/>
  <c r="C41" i="305"/>
  <c r="F36" i="305"/>
  <c r="C36" i="305"/>
  <c r="F31" i="305"/>
  <c r="C31" i="305"/>
  <c r="F26" i="305"/>
  <c r="C26" i="305"/>
  <c r="F21" i="305"/>
  <c r="C21" i="305"/>
  <c r="F16" i="305"/>
  <c r="C16" i="305"/>
  <c r="F11" i="305"/>
  <c r="C11" i="305"/>
  <c r="S7" i="305"/>
  <c r="R7" i="305"/>
  <c r="Q7" i="305"/>
  <c r="P7" i="305"/>
  <c r="O7" i="305"/>
  <c r="N7" i="305"/>
  <c r="M7" i="305"/>
  <c r="L7" i="305"/>
  <c r="K7" i="305"/>
  <c r="J7" i="305"/>
  <c r="S6" i="305"/>
  <c r="R6" i="305"/>
  <c r="Q6" i="305"/>
  <c r="P6" i="305"/>
  <c r="O6" i="305"/>
  <c r="N6" i="305"/>
  <c r="M6" i="305"/>
  <c r="L6" i="305"/>
  <c r="K6" i="305"/>
  <c r="J6" i="305"/>
  <c r="S5" i="305"/>
  <c r="R5" i="305"/>
  <c r="Q5" i="305"/>
  <c r="P5" i="305"/>
  <c r="O5" i="305"/>
  <c r="N5" i="305"/>
  <c r="M5" i="305"/>
  <c r="L5" i="305"/>
  <c r="K5" i="305"/>
  <c r="J5" i="305"/>
  <c r="A1" i="305"/>
  <c r="F243" i="293"/>
  <c r="E243" i="293"/>
  <c r="F242" i="293"/>
  <c r="E242" i="293"/>
  <c r="F241" i="293"/>
  <c r="E241" i="293"/>
  <c r="F240" i="293"/>
  <c r="E240" i="293"/>
  <c r="F239" i="293"/>
  <c r="E239" i="293"/>
  <c r="F238" i="293"/>
  <c r="E238" i="293"/>
  <c r="F237" i="293"/>
  <c r="E237" i="293"/>
  <c r="F236" i="293"/>
  <c r="E236" i="293"/>
  <c r="F235" i="293"/>
  <c r="E235" i="293"/>
  <c r="F234" i="293"/>
  <c r="E234" i="293"/>
  <c r="F233" i="293"/>
  <c r="E233" i="293"/>
  <c r="F232" i="293"/>
  <c r="E232" i="293"/>
  <c r="F231" i="293"/>
  <c r="E231" i="293"/>
  <c r="F230" i="293"/>
  <c r="E230" i="293"/>
  <c r="F229" i="293"/>
  <c r="E229" i="293"/>
  <c r="F228" i="293"/>
  <c r="E228" i="293"/>
  <c r="F227" i="293"/>
  <c r="E227" i="293"/>
  <c r="E225" i="293"/>
  <c r="V220" i="293"/>
  <c r="U220" i="293"/>
  <c r="S217" i="293"/>
  <c r="R217" i="293"/>
  <c r="Q217" i="293"/>
  <c r="P217" i="293"/>
  <c r="O217" i="293"/>
  <c r="N217" i="293"/>
  <c r="M217" i="293"/>
  <c r="L217" i="293"/>
  <c r="K217" i="293"/>
  <c r="J217" i="293"/>
  <c r="F217" i="293"/>
  <c r="E217" i="293"/>
  <c r="S216" i="293"/>
  <c r="R216" i="293"/>
  <c r="Q216" i="293"/>
  <c r="P216" i="293"/>
  <c r="O216" i="293"/>
  <c r="N216" i="293"/>
  <c r="M216" i="293"/>
  <c r="L216" i="293"/>
  <c r="K216" i="293"/>
  <c r="J216" i="293"/>
  <c r="F216" i="293"/>
  <c r="E216" i="293"/>
  <c r="S215" i="293"/>
  <c r="R215" i="293"/>
  <c r="Q215" i="293"/>
  <c r="P215" i="293"/>
  <c r="O215" i="293"/>
  <c r="N215" i="293"/>
  <c r="M215" i="293"/>
  <c r="L215" i="293"/>
  <c r="K215" i="293"/>
  <c r="J215" i="293"/>
  <c r="F215" i="293"/>
  <c r="E215" i="293"/>
  <c r="S214" i="293"/>
  <c r="R214" i="293"/>
  <c r="Q214" i="293"/>
  <c r="P214" i="293"/>
  <c r="O214" i="293"/>
  <c r="N214" i="293"/>
  <c r="M214" i="293"/>
  <c r="L214" i="293"/>
  <c r="K214" i="293"/>
  <c r="J214" i="293"/>
  <c r="F214" i="293"/>
  <c r="E214" i="293"/>
  <c r="S213" i="293"/>
  <c r="R213" i="293"/>
  <c r="Q213" i="293"/>
  <c r="P213" i="293"/>
  <c r="O213" i="293"/>
  <c r="N213" i="293"/>
  <c r="M213" i="293"/>
  <c r="L213" i="293"/>
  <c r="K213" i="293"/>
  <c r="J213" i="293"/>
  <c r="F213" i="293"/>
  <c r="E213" i="293"/>
  <c r="S212" i="293"/>
  <c r="R212" i="293"/>
  <c r="Q212" i="293"/>
  <c r="P212" i="293"/>
  <c r="O212" i="293"/>
  <c r="N212" i="293"/>
  <c r="M212" i="293"/>
  <c r="L212" i="293"/>
  <c r="K212" i="293"/>
  <c r="J212" i="293"/>
  <c r="F212" i="293"/>
  <c r="E212" i="293"/>
  <c r="S211" i="293"/>
  <c r="R211" i="293"/>
  <c r="Q211" i="293"/>
  <c r="P211" i="293"/>
  <c r="O211" i="293"/>
  <c r="N211" i="293"/>
  <c r="M211" i="293"/>
  <c r="L211" i="293"/>
  <c r="K211" i="293"/>
  <c r="J211" i="293"/>
  <c r="F211" i="293"/>
  <c r="E211" i="293"/>
  <c r="S210" i="293"/>
  <c r="R210" i="293"/>
  <c r="Q210" i="293"/>
  <c r="P210" i="293"/>
  <c r="O210" i="293"/>
  <c r="N210" i="293"/>
  <c r="M210" i="293"/>
  <c r="L210" i="293"/>
  <c r="K210" i="293"/>
  <c r="J210" i="293"/>
  <c r="F210" i="293"/>
  <c r="E210" i="293"/>
  <c r="S209" i="293"/>
  <c r="R209" i="293"/>
  <c r="Q209" i="293"/>
  <c r="P209" i="293"/>
  <c r="O209" i="293"/>
  <c r="N209" i="293"/>
  <c r="M209" i="293"/>
  <c r="L209" i="293"/>
  <c r="K209" i="293"/>
  <c r="J209" i="293"/>
  <c r="F209" i="293"/>
  <c r="E209" i="293"/>
  <c r="S208" i="293"/>
  <c r="R208" i="293"/>
  <c r="Q208" i="293"/>
  <c r="P208" i="293"/>
  <c r="O208" i="293"/>
  <c r="N208" i="293"/>
  <c r="M208" i="293"/>
  <c r="L208" i="293"/>
  <c r="K208" i="293"/>
  <c r="J208" i="293"/>
  <c r="F208" i="293"/>
  <c r="E208" i="293"/>
  <c r="S207" i="293"/>
  <c r="R207" i="293"/>
  <c r="Q207" i="293"/>
  <c r="P207" i="293"/>
  <c r="O207" i="293"/>
  <c r="N207" i="293"/>
  <c r="M207" i="293"/>
  <c r="L207" i="293"/>
  <c r="K207" i="293"/>
  <c r="J207" i="293"/>
  <c r="F207" i="293"/>
  <c r="E207" i="293"/>
  <c r="S206" i="293"/>
  <c r="R206" i="293"/>
  <c r="Q206" i="293"/>
  <c r="P206" i="293"/>
  <c r="O206" i="293"/>
  <c r="N206" i="293"/>
  <c r="M206" i="293"/>
  <c r="L206" i="293"/>
  <c r="K206" i="293"/>
  <c r="J206" i="293"/>
  <c r="F206" i="293"/>
  <c r="E206" i="293"/>
  <c r="S205" i="293"/>
  <c r="R205" i="293"/>
  <c r="Q205" i="293"/>
  <c r="P205" i="293"/>
  <c r="O205" i="293"/>
  <c r="N205" i="293"/>
  <c r="M205" i="293"/>
  <c r="L205" i="293"/>
  <c r="K205" i="293"/>
  <c r="J205" i="293"/>
  <c r="F205" i="293"/>
  <c r="E205" i="293"/>
  <c r="S204" i="293"/>
  <c r="R204" i="293"/>
  <c r="Q204" i="293"/>
  <c r="P204" i="293"/>
  <c r="O204" i="293"/>
  <c r="N204" i="293"/>
  <c r="M204" i="293"/>
  <c r="L204" i="293"/>
  <c r="K204" i="293"/>
  <c r="J204" i="293"/>
  <c r="F204" i="293"/>
  <c r="E204" i="293"/>
  <c r="S203" i="293"/>
  <c r="R203" i="293"/>
  <c r="Q203" i="293"/>
  <c r="P203" i="293"/>
  <c r="O203" i="293"/>
  <c r="N203" i="293"/>
  <c r="M203" i="293"/>
  <c r="L203" i="293"/>
  <c r="K203" i="293"/>
  <c r="J203" i="293"/>
  <c r="F203" i="293"/>
  <c r="E203" i="293"/>
  <c r="S202" i="293"/>
  <c r="R202" i="293"/>
  <c r="Q202" i="293"/>
  <c r="P202" i="293"/>
  <c r="O202" i="293"/>
  <c r="N202" i="293"/>
  <c r="M202" i="293"/>
  <c r="L202" i="293"/>
  <c r="K202" i="293"/>
  <c r="J202" i="293"/>
  <c r="F202" i="293"/>
  <c r="E202" i="293"/>
  <c r="S201" i="293"/>
  <c r="R201" i="293"/>
  <c r="Q201" i="293"/>
  <c r="P201" i="293"/>
  <c r="O201" i="293"/>
  <c r="N201" i="293"/>
  <c r="M201" i="293"/>
  <c r="L201" i="293"/>
  <c r="K201" i="293"/>
  <c r="J201" i="293"/>
  <c r="F201" i="293"/>
  <c r="E201" i="293"/>
  <c r="E199" i="293"/>
  <c r="V194" i="293"/>
  <c r="U194" i="293"/>
  <c r="F191" i="293"/>
  <c r="E191" i="293"/>
  <c r="F190" i="293"/>
  <c r="E190" i="293"/>
  <c r="F189" i="293"/>
  <c r="E189" i="293"/>
  <c r="F188" i="293"/>
  <c r="E188" i="293"/>
  <c r="F187" i="293"/>
  <c r="E187" i="293"/>
  <c r="F186" i="293"/>
  <c r="E186" i="293"/>
  <c r="F185" i="293"/>
  <c r="E185" i="293"/>
  <c r="F184" i="293"/>
  <c r="E184" i="293"/>
  <c r="F183" i="293"/>
  <c r="E183" i="293"/>
  <c r="F182" i="293"/>
  <c r="E182" i="293"/>
  <c r="F181" i="293"/>
  <c r="E181" i="293"/>
  <c r="F180" i="293"/>
  <c r="E180" i="293"/>
  <c r="F179" i="293"/>
  <c r="E179" i="293"/>
  <c r="F178" i="293"/>
  <c r="E178" i="293"/>
  <c r="F177" i="293"/>
  <c r="E177" i="293"/>
  <c r="F176" i="293"/>
  <c r="E176" i="293"/>
  <c r="F175" i="293"/>
  <c r="E175" i="293"/>
  <c r="E173" i="293"/>
  <c r="V168" i="293"/>
  <c r="U168" i="293"/>
  <c r="D168" i="293"/>
  <c r="F165" i="293"/>
  <c r="E165" i="293"/>
  <c r="F164" i="293"/>
  <c r="E164" i="293"/>
  <c r="F163" i="293"/>
  <c r="E163" i="293"/>
  <c r="F162" i="293"/>
  <c r="E162" i="293"/>
  <c r="F161" i="293"/>
  <c r="E161" i="293"/>
  <c r="F160" i="293"/>
  <c r="E160" i="293"/>
  <c r="F159" i="293"/>
  <c r="E159" i="293"/>
  <c r="F158" i="293"/>
  <c r="E158" i="293"/>
  <c r="F157" i="293"/>
  <c r="E157" i="293"/>
  <c r="F156" i="293"/>
  <c r="E156" i="293"/>
  <c r="F155" i="293"/>
  <c r="E155" i="293"/>
  <c r="F154" i="293"/>
  <c r="E154" i="293"/>
  <c r="F153" i="293"/>
  <c r="E153" i="293"/>
  <c r="F152" i="293"/>
  <c r="E152" i="293"/>
  <c r="F151" i="293"/>
  <c r="E151" i="293"/>
  <c r="F150" i="293"/>
  <c r="E150" i="293"/>
  <c r="F149" i="293"/>
  <c r="E149" i="293"/>
  <c r="E147" i="293"/>
  <c r="V142" i="293"/>
  <c r="U142" i="293"/>
  <c r="S140" i="293"/>
  <c r="R140" i="293"/>
  <c r="Q140" i="293"/>
  <c r="P140" i="293"/>
  <c r="O140" i="293"/>
  <c r="N140" i="293"/>
  <c r="M140" i="293"/>
  <c r="L140" i="293"/>
  <c r="K140" i="293"/>
  <c r="J140" i="293"/>
  <c r="V139" i="293"/>
  <c r="U139" i="293"/>
  <c r="F139" i="293"/>
  <c r="E139" i="293"/>
  <c r="V138" i="293"/>
  <c r="U138" i="293"/>
  <c r="F138" i="293"/>
  <c r="E138" i="293"/>
  <c r="V137" i="293"/>
  <c r="U137" i="293"/>
  <c r="F137" i="293"/>
  <c r="E137" i="293"/>
  <c r="V136" i="293"/>
  <c r="U136" i="293"/>
  <c r="F136" i="293"/>
  <c r="E136" i="293"/>
  <c r="V135" i="293"/>
  <c r="U135" i="293"/>
  <c r="F135" i="293"/>
  <c r="E135" i="293"/>
  <c r="V134" i="293"/>
  <c r="U134" i="293"/>
  <c r="F134" i="293"/>
  <c r="E134" i="293"/>
  <c r="V133" i="293"/>
  <c r="U133" i="293"/>
  <c r="F133" i="293"/>
  <c r="E133" i="293"/>
  <c r="V132" i="293"/>
  <c r="U132" i="293"/>
  <c r="F132" i="293"/>
  <c r="E132" i="293"/>
  <c r="V131" i="293"/>
  <c r="U131" i="293"/>
  <c r="F131" i="293"/>
  <c r="E131" i="293"/>
  <c r="V130" i="293"/>
  <c r="U130" i="293"/>
  <c r="F130" i="293"/>
  <c r="E130" i="293"/>
  <c r="V129" i="293"/>
  <c r="U129" i="293"/>
  <c r="F129" i="293"/>
  <c r="E129" i="293"/>
  <c r="V128" i="293"/>
  <c r="U128" i="293"/>
  <c r="F128" i="293"/>
  <c r="E128" i="293"/>
  <c r="V127" i="293"/>
  <c r="U127" i="293"/>
  <c r="F127" i="293"/>
  <c r="E127" i="293"/>
  <c r="V126" i="293"/>
  <c r="U126" i="293"/>
  <c r="F126" i="293"/>
  <c r="E126" i="293"/>
  <c r="V125" i="293"/>
  <c r="U125" i="293"/>
  <c r="F125" i="293"/>
  <c r="E125" i="293"/>
  <c r="V124" i="293"/>
  <c r="U124" i="293"/>
  <c r="F124" i="293"/>
  <c r="E124" i="293"/>
  <c r="V123" i="293"/>
  <c r="U123" i="293"/>
  <c r="F123" i="293"/>
  <c r="E123" i="293"/>
  <c r="E121" i="293"/>
  <c r="V116" i="293"/>
  <c r="U116" i="293"/>
  <c r="F113" i="293"/>
  <c r="E113" i="293"/>
  <c r="F112" i="293"/>
  <c r="E112" i="293"/>
  <c r="F111" i="293"/>
  <c r="E111" i="293"/>
  <c r="F110" i="293"/>
  <c r="E110" i="293"/>
  <c r="F109" i="293"/>
  <c r="E109" i="293"/>
  <c r="F108" i="293"/>
  <c r="E108" i="293"/>
  <c r="F107" i="293"/>
  <c r="E107" i="293"/>
  <c r="F106" i="293"/>
  <c r="E106" i="293"/>
  <c r="F105" i="293"/>
  <c r="E105" i="293"/>
  <c r="F104" i="293"/>
  <c r="E104" i="293"/>
  <c r="F103" i="293"/>
  <c r="E103" i="293"/>
  <c r="F102" i="293"/>
  <c r="E102" i="293"/>
  <c r="F101" i="293"/>
  <c r="E101" i="293"/>
  <c r="F100" i="293"/>
  <c r="E100" i="293"/>
  <c r="F99" i="293"/>
  <c r="E99" i="293"/>
  <c r="F98" i="293"/>
  <c r="E98" i="293"/>
  <c r="F97" i="293"/>
  <c r="E97" i="293"/>
  <c r="E95" i="293"/>
  <c r="V90" i="293"/>
  <c r="U90" i="293"/>
  <c r="D90" i="293"/>
  <c r="F90" i="293" s="1"/>
  <c r="C90" i="293"/>
  <c r="C142" i="293" s="1"/>
  <c r="F87" i="293"/>
  <c r="E87" i="293"/>
  <c r="F86" i="293"/>
  <c r="E86" i="293"/>
  <c r="F85" i="293"/>
  <c r="E85" i="293"/>
  <c r="F84" i="293"/>
  <c r="E84" i="293"/>
  <c r="F83" i="293"/>
  <c r="E83" i="293"/>
  <c r="F82" i="293"/>
  <c r="E82" i="293"/>
  <c r="F81" i="293"/>
  <c r="E81" i="293"/>
  <c r="F80" i="293"/>
  <c r="E80" i="293"/>
  <c r="F79" i="293"/>
  <c r="E79" i="293"/>
  <c r="F78" i="293"/>
  <c r="E78" i="293"/>
  <c r="F77" i="293"/>
  <c r="E77" i="293"/>
  <c r="F76" i="293"/>
  <c r="E76" i="293"/>
  <c r="F75" i="293"/>
  <c r="E75" i="293"/>
  <c r="F74" i="293"/>
  <c r="E74" i="293"/>
  <c r="F73" i="293"/>
  <c r="E73" i="293"/>
  <c r="F72" i="293"/>
  <c r="E72" i="293"/>
  <c r="F71" i="293"/>
  <c r="E71" i="293"/>
  <c r="E69" i="293"/>
  <c r="V64" i="293"/>
  <c r="U64" i="293"/>
  <c r="S62" i="293"/>
  <c r="R62" i="293"/>
  <c r="Q62" i="293"/>
  <c r="P62" i="293"/>
  <c r="O62" i="293"/>
  <c r="N62" i="293"/>
  <c r="M62" i="293"/>
  <c r="L62" i="293"/>
  <c r="K62" i="293"/>
  <c r="J62" i="293"/>
  <c r="V61" i="293"/>
  <c r="U61" i="293"/>
  <c r="F61" i="293"/>
  <c r="E61" i="293"/>
  <c r="V60" i="293"/>
  <c r="U60" i="293"/>
  <c r="F60" i="293"/>
  <c r="E60" i="293"/>
  <c r="V59" i="293"/>
  <c r="U59" i="293"/>
  <c r="F59" i="293"/>
  <c r="E59" i="293"/>
  <c r="V58" i="293"/>
  <c r="U58" i="293"/>
  <c r="F58" i="293"/>
  <c r="E58" i="293"/>
  <c r="V57" i="293"/>
  <c r="U57" i="293"/>
  <c r="F57" i="293"/>
  <c r="E57" i="293"/>
  <c r="V56" i="293"/>
  <c r="U56" i="293"/>
  <c r="F56" i="293"/>
  <c r="E56" i="293"/>
  <c r="V55" i="293"/>
  <c r="U55" i="293"/>
  <c r="F55" i="293"/>
  <c r="E55" i="293"/>
  <c r="V54" i="293"/>
  <c r="U54" i="293"/>
  <c r="F54" i="293"/>
  <c r="E54" i="293"/>
  <c r="V53" i="293"/>
  <c r="U53" i="293"/>
  <c r="F53" i="293"/>
  <c r="E53" i="293"/>
  <c r="V52" i="293"/>
  <c r="U52" i="293"/>
  <c r="F52" i="293"/>
  <c r="E52" i="293"/>
  <c r="V51" i="293"/>
  <c r="U51" i="293"/>
  <c r="F51" i="293"/>
  <c r="E51" i="293"/>
  <c r="V50" i="293"/>
  <c r="U50" i="293"/>
  <c r="F50" i="293"/>
  <c r="E50" i="293"/>
  <c r="V49" i="293"/>
  <c r="U49" i="293"/>
  <c r="F49" i="293"/>
  <c r="E49" i="293"/>
  <c r="V48" i="293"/>
  <c r="U48" i="293"/>
  <c r="F48" i="293"/>
  <c r="E48" i="293"/>
  <c r="V47" i="293"/>
  <c r="U47" i="293"/>
  <c r="F47" i="293"/>
  <c r="E47" i="293"/>
  <c r="V46" i="293"/>
  <c r="U46" i="293"/>
  <c r="F46" i="293"/>
  <c r="E46" i="293"/>
  <c r="V45" i="293"/>
  <c r="U45" i="293"/>
  <c r="F45" i="293"/>
  <c r="E45" i="293"/>
  <c r="E43" i="293"/>
  <c r="V38" i="293"/>
  <c r="U38" i="293"/>
  <c r="F35" i="293"/>
  <c r="E35" i="293"/>
  <c r="F34" i="293"/>
  <c r="E34" i="293"/>
  <c r="F33" i="293"/>
  <c r="E33" i="293"/>
  <c r="F32" i="293"/>
  <c r="E32" i="293"/>
  <c r="F31" i="293"/>
  <c r="E31" i="293"/>
  <c r="F30" i="293"/>
  <c r="E30" i="293"/>
  <c r="F29" i="293"/>
  <c r="E29" i="293"/>
  <c r="F28" i="293"/>
  <c r="E28" i="293"/>
  <c r="F27" i="293"/>
  <c r="E27" i="293"/>
  <c r="F26" i="293"/>
  <c r="E26" i="293"/>
  <c r="F25" i="293"/>
  <c r="E25" i="293"/>
  <c r="F24" i="293"/>
  <c r="E24" i="293"/>
  <c r="F23" i="293"/>
  <c r="E23" i="293"/>
  <c r="F22" i="293"/>
  <c r="E22" i="293"/>
  <c r="F21" i="293"/>
  <c r="E21" i="293"/>
  <c r="F20" i="293"/>
  <c r="E20" i="293"/>
  <c r="F19" i="293"/>
  <c r="E19" i="293"/>
  <c r="E17" i="293"/>
  <c r="V12" i="293"/>
  <c r="U12" i="293"/>
  <c r="D12" i="293"/>
  <c r="C12" i="293"/>
  <c r="C64" i="293" s="1"/>
  <c r="S7" i="293"/>
  <c r="R7" i="293"/>
  <c r="Q7" i="293"/>
  <c r="P7" i="293"/>
  <c r="O7" i="293"/>
  <c r="N7" i="293"/>
  <c r="M7" i="293"/>
  <c r="L7" i="293"/>
  <c r="K7" i="293"/>
  <c r="J7" i="293"/>
  <c r="S6" i="293"/>
  <c r="R6" i="293"/>
  <c r="Q6" i="293"/>
  <c r="P6" i="293"/>
  <c r="O6" i="293"/>
  <c r="N6" i="293"/>
  <c r="M6" i="293"/>
  <c r="L6" i="293"/>
  <c r="K6" i="293"/>
  <c r="J6" i="293"/>
  <c r="S5" i="293"/>
  <c r="R5" i="293"/>
  <c r="Q5" i="293"/>
  <c r="P5" i="293"/>
  <c r="O5" i="293"/>
  <c r="N5" i="293"/>
  <c r="M5" i="293"/>
  <c r="L5" i="293"/>
  <c r="K5" i="293"/>
  <c r="J5" i="293"/>
  <c r="V3" i="293"/>
  <c r="U3" i="293"/>
  <c r="A1" i="293"/>
  <c r="F75" i="296"/>
  <c r="E75" i="296"/>
  <c r="F74" i="296"/>
  <c r="E74" i="296"/>
  <c r="F73" i="296"/>
  <c r="E73" i="296"/>
  <c r="F72" i="296"/>
  <c r="E72" i="296"/>
  <c r="F71" i="296"/>
  <c r="E71" i="296"/>
  <c r="F70" i="296"/>
  <c r="E70" i="296"/>
  <c r="F69" i="296"/>
  <c r="E69" i="296"/>
  <c r="F68" i="296"/>
  <c r="E68" i="296"/>
  <c r="F67" i="296"/>
  <c r="E67" i="296"/>
  <c r="F66" i="296"/>
  <c r="E66" i="296"/>
  <c r="F65" i="296"/>
  <c r="E65" i="296"/>
  <c r="F64" i="296"/>
  <c r="E64" i="296"/>
  <c r="F63" i="296"/>
  <c r="E63" i="296"/>
  <c r="F62" i="296"/>
  <c r="E62" i="296"/>
  <c r="F61" i="296"/>
  <c r="E61" i="296"/>
  <c r="F60" i="296"/>
  <c r="E60" i="296"/>
  <c r="F59" i="296"/>
  <c r="E59" i="296"/>
  <c r="V55" i="296"/>
  <c r="U55" i="296"/>
  <c r="T53" i="296"/>
  <c r="I53" i="296"/>
  <c r="H53" i="296"/>
  <c r="F53" i="296"/>
  <c r="E53" i="296"/>
  <c r="T52" i="296"/>
  <c r="I52" i="296"/>
  <c r="H52" i="296"/>
  <c r="T51" i="296"/>
  <c r="I51" i="296"/>
  <c r="H51" i="296"/>
  <c r="T50" i="296"/>
  <c r="I50" i="296"/>
  <c r="H50" i="296"/>
  <c r="T49" i="296"/>
  <c r="I49" i="296"/>
  <c r="H49" i="296"/>
  <c r="T48" i="296"/>
  <c r="I48" i="296"/>
  <c r="H48" i="296"/>
  <c r="T47" i="296"/>
  <c r="I47" i="296"/>
  <c r="H47" i="296"/>
  <c r="T46" i="296"/>
  <c r="I46" i="296"/>
  <c r="H46" i="296"/>
  <c r="T45" i="296"/>
  <c r="I45" i="296"/>
  <c r="H45" i="296"/>
  <c r="T44" i="296"/>
  <c r="I44" i="296"/>
  <c r="H44" i="296"/>
  <c r="T43" i="296"/>
  <c r="I43" i="296"/>
  <c r="H43" i="296"/>
  <c r="T42" i="296"/>
  <c r="I42" i="296"/>
  <c r="H42" i="296"/>
  <c r="T41" i="296"/>
  <c r="I41" i="296"/>
  <c r="H41" i="296"/>
  <c r="T40" i="296"/>
  <c r="I40" i="296"/>
  <c r="H40" i="296"/>
  <c r="T39" i="296"/>
  <c r="I39" i="296"/>
  <c r="H39" i="296"/>
  <c r="T38" i="296"/>
  <c r="I38" i="296"/>
  <c r="H38" i="296"/>
  <c r="T37" i="296"/>
  <c r="I37" i="296"/>
  <c r="H37" i="296"/>
  <c r="T36" i="296"/>
  <c r="I36" i="296"/>
  <c r="H36" i="296"/>
  <c r="E33" i="296"/>
  <c r="D33" i="296"/>
  <c r="V32" i="296"/>
  <c r="U32" i="296"/>
  <c r="D10" i="296"/>
  <c r="V9" i="296"/>
  <c r="U9" i="296"/>
  <c r="S7" i="296"/>
  <c r="R7" i="296"/>
  <c r="Q7" i="296"/>
  <c r="P7" i="296"/>
  <c r="O7" i="296"/>
  <c r="N7" i="296"/>
  <c r="M7" i="296"/>
  <c r="L7" i="296"/>
  <c r="K7" i="296"/>
  <c r="J7" i="296"/>
  <c r="S6" i="296"/>
  <c r="R6" i="296"/>
  <c r="Q6" i="296"/>
  <c r="P6" i="296"/>
  <c r="O6" i="296"/>
  <c r="N6" i="296"/>
  <c r="M6" i="296"/>
  <c r="L6" i="296"/>
  <c r="K6" i="296"/>
  <c r="J6" i="296"/>
  <c r="S5" i="296"/>
  <c r="R5" i="296"/>
  <c r="Q5" i="296"/>
  <c r="P5" i="296"/>
  <c r="O5" i="296"/>
  <c r="N5" i="296"/>
  <c r="M5" i="296"/>
  <c r="L5" i="296"/>
  <c r="K5" i="296"/>
  <c r="J5" i="296"/>
  <c r="V3" i="296"/>
  <c r="U3" i="296"/>
  <c r="A1" i="296"/>
  <c r="G214" i="295"/>
  <c r="G53" i="296" s="1"/>
  <c r="G213" i="295"/>
  <c r="G52" i="296" s="1"/>
  <c r="F213" i="295"/>
  <c r="F52" i="296" s="1"/>
  <c r="E213" i="295"/>
  <c r="E52" i="296" s="1"/>
  <c r="G212" i="295"/>
  <c r="G51" i="296" s="1"/>
  <c r="F212" i="295"/>
  <c r="F51" i="296" s="1"/>
  <c r="E212" i="295"/>
  <c r="E51" i="296" s="1"/>
  <c r="G211" i="295"/>
  <c r="G50" i="296" s="1"/>
  <c r="F211" i="295"/>
  <c r="F50" i="296" s="1"/>
  <c r="E211" i="295"/>
  <c r="E50" i="296" s="1"/>
  <c r="G210" i="295"/>
  <c r="G49" i="296" s="1"/>
  <c r="F210" i="295"/>
  <c r="F49" i="296" s="1"/>
  <c r="E210" i="295"/>
  <c r="E49" i="296" s="1"/>
  <c r="G209" i="295"/>
  <c r="G48" i="296" s="1"/>
  <c r="F209" i="295"/>
  <c r="F48" i="296" s="1"/>
  <c r="E209" i="295"/>
  <c r="E48" i="296" s="1"/>
  <c r="G208" i="295"/>
  <c r="G47" i="296" s="1"/>
  <c r="F208" i="295"/>
  <c r="F47" i="296" s="1"/>
  <c r="E208" i="295"/>
  <c r="E47" i="296" s="1"/>
  <c r="G207" i="295"/>
  <c r="G46" i="296" s="1"/>
  <c r="F207" i="295"/>
  <c r="F46" i="296" s="1"/>
  <c r="E207" i="295"/>
  <c r="E46" i="296" s="1"/>
  <c r="G206" i="295"/>
  <c r="G45" i="296" s="1"/>
  <c r="F206" i="295"/>
  <c r="F45" i="296" s="1"/>
  <c r="E206" i="295"/>
  <c r="E45" i="296" s="1"/>
  <c r="G205" i="295"/>
  <c r="G44" i="296" s="1"/>
  <c r="F205" i="295"/>
  <c r="F44" i="296" s="1"/>
  <c r="E205" i="295"/>
  <c r="E44" i="296" s="1"/>
  <c r="G204" i="295"/>
  <c r="G43" i="296" s="1"/>
  <c r="F204" i="295"/>
  <c r="F43" i="296" s="1"/>
  <c r="E204" i="295"/>
  <c r="E43" i="296" s="1"/>
  <c r="G203" i="295"/>
  <c r="G42" i="296" s="1"/>
  <c r="F203" i="295"/>
  <c r="F42" i="296" s="1"/>
  <c r="E203" i="295"/>
  <c r="E42" i="296" s="1"/>
  <c r="G202" i="295"/>
  <c r="G41" i="296" s="1"/>
  <c r="F202" i="295"/>
  <c r="F41" i="296" s="1"/>
  <c r="E202" i="295"/>
  <c r="E41" i="296" s="1"/>
  <c r="G201" i="295"/>
  <c r="G40" i="296" s="1"/>
  <c r="F201" i="295"/>
  <c r="F40" i="296" s="1"/>
  <c r="E201" i="295"/>
  <c r="E40" i="296" s="1"/>
  <c r="G200" i="295"/>
  <c r="G39" i="296" s="1"/>
  <c r="F200" i="295"/>
  <c r="F39" i="296" s="1"/>
  <c r="E200" i="295"/>
  <c r="E39" i="296" s="1"/>
  <c r="G199" i="295"/>
  <c r="G38" i="296" s="1"/>
  <c r="F199" i="295"/>
  <c r="F38" i="296" s="1"/>
  <c r="E199" i="295"/>
  <c r="E38" i="296" s="1"/>
  <c r="G198" i="295"/>
  <c r="G37" i="296" s="1"/>
  <c r="F198" i="295"/>
  <c r="F37" i="296" s="1"/>
  <c r="E198" i="295"/>
  <c r="E37" i="296" s="1"/>
  <c r="G197" i="295"/>
  <c r="G36" i="296" s="1"/>
  <c r="F197" i="295"/>
  <c r="F36" i="296" s="1"/>
  <c r="E197" i="295"/>
  <c r="E36" i="296" s="1"/>
  <c r="V193" i="295"/>
  <c r="U193" i="295"/>
  <c r="G191" i="295"/>
  <c r="S190" i="295"/>
  <c r="R190" i="295"/>
  <c r="Q190" i="295"/>
  <c r="P190" i="295"/>
  <c r="O190" i="295"/>
  <c r="N190" i="295"/>
  <c r="M190" i="295"/>
  <c r="L190" i="295"/>
  <c r="K190" i="295"/>
  <c r="J190" i="295"/>
  <c r="G190" i="295"/>
  <c r="F190" i="295"/>
  <c r="E190" i="295"/>
  <c r="S189" i="295"/>
  <c r="R189" i="295"/>
  <c r="Q189" i="295"/>
  <c r="P189" i="295"/>
  <c r="O189" i="295"/>
  <c r="N189" i="295"/>
  <c r="M189" i="295"/>
  <c r="L189" i="295"/>
  <c r="K189" i="295"/>
  <c r="J189" i="295"/>
  <c r="G189" i="295"/>
  <c r="F189" i="295"/>
  <c r="E189" i="295"/>
  <c r="S188" i="295"/>
  <c r="R188" i="295"/>
  <c r="Q188" i="295"/>
  <c r="P188" i="295"/>
  <c r="O188" i="295"/>
  <c r="N188" i="295"/>
  <c r="M188" i="295"/>
  <c r="L188" i="295"/>
  <c r="K188" i="295"/>
  <c r="J188" i="295"/>
  <c r="G188" i="295"/>
  <c r="F188" i="295"/>
  <c r="E188" i="295"/>
  <c r="S187" i="295"/>
  <c r="R187" i="295"/>
  <c r="Q187" i="295"/>
  <c r="P187" i="295"/>
  <c r="O187" i="295"/>
  <c r="N187" i="295"/>
  <c r="M187" i="295"/>
  <c r="L187" i="295"/>
  <c r="K187" i="295"/>
  <c r="J187" i="295"/>
  <c r="G187" i="295"/>
  <c r="F187" i="295"/>
  <c r="E187" i="295"/>
  <c r="S186" i="295"/>
  <c r="R186" i="295"/>
  <c r="Q186" i="295"/>
  <c r="P186" i="295"/>
  <c r="O186" i="295"/>
  <c r="N186" i="295"/>
  <c r="M186" i="295"/>
  <c r="L186" i="295"/>
  <c r="K186" i="295"/>
  <c r="J186" i="295"/>
  <c r="G186" i="295"/>
  <c r="F186" i="295"/>
  <c r="E186" i="295"/>
  <c r="S185" i="295"/>
  <c r="R185" i="295"/>
  <c r="Q185" i="295"/>
  <c r="P185" i="295"/>
  <c r="O185" i="295"/>
  <c r="N185" i="295"/>
  <c r="M185" i="295"/>
  <c r="L185" i="295"/>
  <c r="K185" i="295"/>
  <c r="J185" i="295"/>
  <c r="G185" i="295"/>
  <c r="F185" i="295"/>
  <c r="E185" i="295"/>
  <c r="S184" i="295"/>
  <c r="R184" i="295"/>
  <c r="Q184" i="295"/>
  <c r="P184" i="295"/>
  <c r="O184" i="295"/>
  <c r="N184" i="295"/>
  <c r="M184" i="295"/>
  <c r="L184" i="295"/>
  <c r="K184" i="295"/>
  <c r="J184" i="295"/>
  <c r="G184" i="295"/>
  <c r="F184" i="295"/>
  <c r="E184" i="295"/>
  <c r="S183" i="295"/>
  <c r="R183" i="295"/>
  <c r="Q183" i="295"/>
  <c r="P183" i="295"/>
  <c r="O183" i="295"/>
  <c r="N183" i="295"/>
  <c r="M183" i="295"/>
  <c r="L183" i="295"/>
  <c r="K183" i="295"/>
  <c r="J183" i="295"/>
  <c r="G183" i="295"/>
  <c r="F183" i="295"/>
  <c r="E183" i="295"/>
  <c r="S182" i="295"/>
  <c r="R182" i="295"/>
  <c r="Q182" i="295"/>
  <c r="P182" i="295"/>
  <c r="O182" i="295"/>
  <c r="N182" i="295"/>
  <c r="M182" i="295"/>
  <c r="L182" i="295"/>
  <c r="K182" i="295"/>
  <c r="J182" i="295"/>
  <c r="G182" i="295"/>
  <c r="F182" i="295"/>
  <c r="E182" i="295"/>
  <c r="S181" i="295"/>
  <c r="R181" i="295"/>
  <c r="Q181" i="295"/>
  <c r="P181" i="295"/>
  <c r="O181" i="295"/>
  <c r="N181" i="295"/>
  <c r="M181" i="295"/>
  <c r="L181" i="295"/>
  <c r="K181" i="295"/>
  <c r="J181" i="295"/>
  <c r="G181" i="295"/>
  <c r="F181" i="295"/>
  <c r="E181" i="295"/>
  <c r="S180" i="295"/>
  <c r="R180" i="295"/>
  <c r="Q180" i="295"/>
  <c r="P180" i="295"/>
  <c r="O180" i="295"/>
  <c r="N180" i="295"/>
  <c r="M180" i="295"/>
  <c r="L180" i="295"/>
  <c r="K180" i="295"/>
  <c r="J180" i="295"/>
  <c r="G180" i="295"/>
  <c r="F180" i="295"/>
  <c r="E180" i="295"/>
  <c r="S179" i="295"/>
  <c r="R179" i="295"/>
  <c r="Q179" i="295"/>
  <c r="P179" i="295"/>
  <c r="O179" i="295"/>
  <c r="N179" i="295"/>
  <c r="M179" i="295"/>
  <c r="L179" i="295"/>
  <c r="K179" i="295"/>
  <c r="J179" i="295"/>
  <c r="G179" i="295"/>
  <c r="F179" i="295"/>
  <c r="E179" i="295"/>
  <c r="S178" i="295"/>
  <c r="R178" i="295"/>
  <c r="Q178" i="295"/>
  <c r="P178" i="295"/>
  <c r="O178" i="295"/>
  <c r="N178" i="295"/>
  <c r="M178" i="295"/>
  <c r="L178" i="295"/>
  <c r="K178" i="295"/>
  <c r="J178" i="295"/>
  <c r="G178" i="295"/>
  <c r="F178" i="295"/>
  <c r="E178" i="295"/>
  <c r="S177" i="295"/>
  <c r="R177" i="295"/>
  <c r="Q177" i="295"/>
  <c r="P177" i="295"/>
  <c r="O177" i="295"/>
  <c r="N177" i="295"/>
  <c r="M177" i="295"/>
  <c r="L177" i="295"/>
  <c r="K177" i="295"/>
  <c r="J177" i="295"/>
  <c r="G177" i="295"/>
  <c r="F177" i="295"/>
  <c r="E177" i="295"/>
  <c r="S176" i="295"/>
  <c r="R176" i="295"/>
  <c r="Q176" i="295"/>
  <c r="P176" i="295"/>
  <c r="O176" i="295"/>
  <c r="N176" i="295"/>
  <c r="M176" i="295"/>
  <c r="L176" i="295"/>
  <c r="K176" i="295"/>
  <c r="J176" i="295"/>
  <c r="G176" i="295"/>
  <c r="F176" i="295"/>
  <c r="E176" i="295"/>
  <c r="S175" i="295"/>
  <c r="R175" i="295"/>
  <c r="Q175" i="295"/>
  <c r="P175" i="295"/>
  <c r="O175" i="295"/>
  <c r="N175" i="295"/>
  <c r="M175" i="295"/>
  <c r="L175" i="295"/>
  <c r="K175" i="295"/>
  <c r="J175" i="295"/>
  <c r="G175" i="295"/>
  <c r="F175" i="295"/>
  <c r="E175" i="295"/>
  <c r="S174" i="295"/>
  <c r="R174" i="295"/>
  <c r="Q174" i="295"/>
  <c r="P174" i="295"/>
  <c r="O174" i="295"/>
  <c r="N174" i="295"/>
  <c r="M174" i="295"/>
  <c r="L174" i="295"/>
  <c r="K174" i="295"/>
  <c r="J174" i="295"/>
  <c r="G174" i="295"/>
  <c r="F174" i="295"/>
  <c r="E174" i="295"/>
  <c r="V170" i="295"/>
  <c r="U170" i="295"/>
  <c r="F167" i="295"/>
  <c r="E167" i="295"/>
  <c r="F166" i="295"/>
  <c r="E166" i="295"/>
  <c r="F165" i="295"/>
  <c r="E165" i="295"/>
  <c r="F164" i="295"/>
  <c r="E164" i="295"/>
  <c r="F163" i="295"/>
  <c r="E163" i="295"/>
  <c r="F162" i="295"/>
  <c r="E162" i="295"/>
  <c r="F161" i="295"/>
  <c r="E161" i="295"/>
  <c r="F160" i="295"/>
  <c r="E160" i="295"/>
  <c r="F159" i="295"/>
  <c r="E159" i="295"/>
  <c r="F158" i="295"/>
  <c r="E158" i="295"/>
  <c r="F157" i="295"/>
  <c r="E157" i="295"/>
  <c r="F156" i="295"/>
  <c r="E156" i="295"/>
  <c r="F155" i="295"/>
  <c r="E155" i="295"/>
  <c r="F154" i="295"/>
  <c r="E154" i="295"/>
  <c r="F153" i="295"/>
  <c r="E153" i="295"/>
  <c r="F152" i="295"/>
  <c r="E152" i="295"/>
  <c r="F151" i="295"/>
  <c r="E151" i="295"/>
  <c r="V147" i="295"/>
  <c r="U147" i="295"/>
  <c r="D147" i="295"/>
  <c r="D193" i="295" s="1"/>
  <c r="D32" i="296" s="1"/>
  <c r="G145" i="295"/>
  <c r="G144" i="295"/>
  <c r="F144" i="295"/>
  <c r="E144" i="295"/>
  <c r="G143" i="295"/>
  <c r="F143" i="295"/>
  <c r="E143" i="295"/>
  <c r="G142" i="295"/>
  <c r="F142" i="295"/>
  <c r="E142" i="295"/>
  <c r="G141" i="295"/>
  <c r="F141" i="295"/>
  <c r="E141" i="295"/>
  <c r="G140" i="295"/>
  <c r="F140" i="295"/>
  <c r="E140" i="295"/>
  <c r="G139" i="295"/>
  <c r="F139" i="295"/>
  <c r="E139" i="295"/>
  <c r="G138" i="295"/>
  <c r="F138" i="295"/>
  <c r="E138" i="295"/>
  <c r="G137" i="295"/>
  <c r="F137" i="295"/>
  <c r="E137" i="295"/>
  <c r="G136" i="295"/>
  <c r="F136" i="295"/>
  <c r="E136" i="295"/>
  <c r="G135" i="295"/>
  <c r="F135" i="295"/>
  <c r="E135" i="295"/>
  <c r="G134" i="295"/>
  <c r="F134" i="295"/>
  <c r="E134" i="295"/>
  <c r="G133" i="295"/>
  <c r="F133" i="295"/>
  <c r="E133" i="295"/>
  <c r="G132" i="295"/>
  <c r="F132" i="295"/>
  <c r="E132" i="295"/>
  <c r="G131" i="295"/>
  <c r="F131" i="295"/>
  <c r="E131" i="295"/>
  <c r="G130" i="295"/>
  <c r="F130" i="295"/>
  <c r="E130" i="295"/>
  <c r="G129" i="295"/>
  <c r="F129" i="295"/>
  <c r="E129" i="295"/>
  <c r="G128" i="295"/>
  <c r="F128" i="295"/>
  <c r="E128" i="295"/>
  <c r="V124" i="295"/>
  <c r="U124" i="295"/>
  <c r="F124" i="295"/>
  <c r="C125" i="295" s="1"/>
  <c r="S122" i="295"/>
  <c r="R122" i="295"/>
  <c r="Q122" i="295"/>
  <c r="P122" i="295"/>
  <c r="O122" i="295"/>
  <c r="N122" i="295"/>
  <c r="M122" i="295"/>
  <c r="L122" i="295"/>
  <c r="K122" i="295"/>
  <c r="J122" i="295"/>
  <c r="V121" i="295"/>
  <c r="U121" i="295"/>
  <c r="F121" i="295"/>
  <c r="E121" i="295"/>
  <c r="V120" i="295"/>
  <c r="U120" i="295"/>
  <c r="F120" i="295"/>
  <c r="E120" i="295"/>
  <c r="V119" i="295"/>
  <c r="U119" i="295"/>
  <c r="F119" i="295"/>
  <c r="E119" i="295"/>
  <c r="V118" i="295"/>
  <c r="U118" i="295"/>
  <c r="F118" i="295"/>
  <c r="E118" i="295"/>
  <c r="V117" i="295"/>
  <c r="U117" i="295"/>
  <c r="F117" i="295"/>
  <c r="E117" i="295"/>
  <c r="V116" i="295"/>
  <c r="U116" i="295"/>
  <c r="F116" i="295"/>
  <c r="E116" i="295"/>
  <c r="V115" i="295"/>
  <c r="U115" i="295"/>
  <c r="F115" i="295"/>
  <c r="E115" i="295"/>
  <c r="V114" i="295"/>
  <c r="U114" i="295"/>
  <c r="F114" i="295"/>
  <c r="E114" i="295"/>
  <c r="V113" i="295"/>
  <c r="U113" i="295"/>
  <c r="F113" i="295"/>
  <c r="E113" i="295"/>
  <c r="V112" i="295"/>
  <c r="U112" i="295"/>
  <c r="F112" i="295"/>
  <c r="E112" i="295"/>
  <c r="V111" i="295"/>
  <c r="U111" i="295"/>
  <c r="F111" i="295"/>
  <c r="E111" i="295"/>
  <c r="V110" i="295"/>
  <c r="U110" i="295"/>
  <c r="F110" i="295"/>
  <c r="E110" i="295"/>
  <c r="V109" i="295"/>
  <c r="U109" i="295"/>
  <c r="F109" i="295"/>
  <c r="E109" i="295"/>
  <c r="V108" i="295"/>
  <c r="U108" i="295"/>
  <c r="F108" i="295"/>
  <c r="E108" i="295"/>
  <c r="V107" i="295"/>
  <c r="U107" i="295"/>
  <c r="F107" i="295"/>
  <c r="E107" i="295"/>
  <c r="V106" i="295"/>
  <c r="U106" i="295"/>
  <c r="F106" i="295"/>
  <c r="E106" i="295"/>
  <c r="V105" i="295"/>
  <c r="U105" i="295"/>
  <c r="F105" i="295"/>
  <c r="E105" i="295"/>
  <c r="V101" i="295"/>
  <c r="U101" i="295"/>
  <c r="F101" i="295"/>
  <c r="C102" i="295" s="1"/>
  <c r="F98" i="295"/>
  <c r="E98" i="295"/>
  <c r="F97" i="295"/>
  <c r="E97" i="295"/>
  <c r="F96" i="295"/>
  <c r="E96" i="295"/>
  <c r="F95" i="295"/>
  <c r="E95" i="295"/>
  <c r="F94" i="295"/>
  <c r="E94" i="295"/>
  <c r="F93" i="295"/>
  <c r="E93" i="295"/>
  <c r="F92" i="295"/>
  <c r="E92" i="295"/>
  <c r="F91" i="295"/>
  <c r="E91" i="295"/>
  <c r="F90" i="295"/>
  <c r="E90" i="295"/>
  <c r="F89" i="295"/>
  <c r="E89" i="295"/>
  <c r="F88" i="295"/>
  <c r="E88" i="295"/>
  <c r="F87" i="295"/>
  <c r="E87" i="295"/>
  <c r="F86" i="295"/>
  <c r="E86" i="295"/>
  <c r="F85" i="295"/>
  <c r="E85" i="295"/>
  <c r="F84" i="295"/>
  <c r="E84" i="295"/>
  <c r="F83" i="295"/>
  <c r="E83" i="295"/>
  <c r="F82" i="295"/>
  <c r="E82" i="295"/>
  <c r="C79" i="295"/>
  <c r="V78" i="295"/>
  <c r="U78" i="295"/>
  <c r="D78" i="295"/>
  <c r="D124" i="295" s="1"/>
  <c r="C78" i="295"/>
  <c r="G76" i="295"/>
  <c r="G75" i="295"/>
  <c r="F75" i="295"/>
  <c r="E75" i="295"/>
  <c r="G74" i="295"/>
  <c r="F74" i="295"/>
  <c r="E74" i="295"/>
  <c r="G73" i="295"/>
  <c r="F73" i="295"/>
  <c r="E73" i="295"/>
  <c r="G72" i="295"/>
  <c r="F72" i="295"/>
  <c r="E72" i="295"/>
  <c r="G71" i="295"/>
  <c r="F71" i="295"/>
  <c r="E71" i="295"/>
  <c r="G70" i="295"/>
  <c r="F70" i="295"/>
  <c r="E70" i="295"/>
  <c r="J69" i="295"/>
  <c r="G69" i="295"/>
  <c r="F69" i="295"/>
  <c r="E69" i="295"/>
  <c r="G68" i="295"/>
  <c r="F68" i="295"/>
  <c r="E68" i="295"/>
  <c r="G67" i="295"/>
  <c r="F67" i="295"/>
  <c r="E67" i="295"/>
  <c r="G66" i="295"/>
  <c r="F66" i="295"/>
  <c r="E66" i="295"/>
  <c r="G65" i="295"/>
  <c r="F65" i="295"/>
  <c r="E65" i="295"/>
  <c r="G64" i="295"/>
  <c r="F64" i="295"/>
  <c r="E64" i="295"/>
  <c r="G63" i="295"/>
  <c r="F63" i="295"/>
  <c r="E63" i="295"/>
  <c r="G62" i="295"/>
  <c r="F62" i="295"/>
  <c r="E62" i="295"/>
  <c r="G61" i="295"/>
  <c r="F61" i="295"/>
  <c r="E61" i="295"/>
  <c r="G60" i="295"/>
  <c r="F60" i="295"/>
  <c r="E60" i="295"/>
  <c r="G59" i="295"/>
  <c r="F59" i="295"/>
  <c r="E59" i="295"/>
  <c r="V55" i="295"/>
  <c r="U55" i="295"/>
  <c r="S53" i="295"/>
  <c r="R53" i="295"/>
  <c r="Q53" i="295"/>
  <c r="P53" i="295"/>
  <c r="O53" i="295"/>
  <c r="N53" i="295"/>
  <c r="M53" i="295"/>
  <c r="L53" i="295"/>
  <c r="K53" i="295"/>
  <c r="J53" i="295"/>
  <c r="G53" i="295"/>
  <c r="V52" i="295"/>
  <c r="U52" i="295"/>
  <c r="G52" i="295"/>
  <c r="F52" i="295"/>
  <c r="E52" i="295"/>
  <c r="V51" i="295"/>
  <c r="U51" i="295"/>
  <c r="G51" i="295"/>
  <c r="F51" i="295"/>
  <c r="E51" i="295"/>
  <c r="V50" i="295"/>
  <c r="U50" i="295"/>
  <c r="G50" i="295"/>
  <c r="F50" i="295"/>
  <c r="E50" i="295"/>
  <c r="V49" i="295"/>
  <c r="U49" i="295"/>
  <c r="G49" i="295"/>
  <c r="F49" i="295"/>
  <c r="E49" i="295"/>
  <c r="V48" i="295"/>
  <c r="U48" i="295"/>
  <c r="G48" i="295"/>
  <c r="F48" i="295"/>
  <c r="E48" i="295"/>
  <c r="V47" i="295"/>
  <c r="U47" i="295"/>
  <c r="G47" i="295"/>
  <c r="F47" i="295"/>
  <c r="E47" i="295"/>
  <c r="V46" i="295"/>
  <c r="U46" i="295"/>
  <c r="G46" i="295"/>
  <c r="F46" i="295"/>
  <c r="E46" i="295"/>
  <c r="V45" i="295"/>
  <c r="U45" i="295"/>
  <c r="G45" i="295"/>
  <c r="F45" i="295"/>
  <c r="E45" i="295"/>
  <c r="V44" i="295"/>
  <c r="U44" i="295"/>
  <c r="G44" i="295"/>
  <c r="F44" i="295"/>
  <c r="E44" i="295"/>
  <c r="V43" i="295"/>
  <c r="U43" i="295"/>
  <c r="G43" i="295"/>
  <c r="F43" i="295"/>
  <c r="E43" i="295"/>
  <c r="V42" i="295"/>
  <c r="U42" i="295"/>
  <c r="G42" i="295"/>
  <c r="F42" i="295"/>
  <c r="E42" i="295"/>
  <c r="V41" i="295"/>
  <c r="U41" i="295"/>
  <c r="G41" i="295"/>
  <c r="F41" i="295"/>
  <c r="E41" i="295"/>
  <c r="V40" i="295"/>
  <c r="U40" i="295"/>
  <c r="G40" i="295"/>
  <c r="F40" i="295"/>
  <c r="E40" i="295"/>
  <c r="V39" i="295"/>
  <c r="U39" i="295"/>
  <c r="G39" i="295"/>
  <c r="F39" i="295"/>
  <c r="E39" i="295"/>
  <c r="V38" i="295"/>
  <c r="U38" i="295"/>
  <c r="G38" i="295"/>
  <c r="F38" i="295"/>
  <c r="E38" i="295"/>
  <c r="V37" i="295"/>
  <c r="U37" i="295"/>
  <c r="G37" i="295"/>
  <c r="F37" i="295"/>
  <c r="E37" i="295"/>
  <c r="V36" i="295"/>
  <c r="U36" i="295"/>
  <c r="G36" i="295"/>
  <c r="F36" i="295"/>
  <c r="E36" i="295"/>
  <c r="V32" i="295"/>
  <c r="U32" i="295"/>
  <c r="F29" i="295"/>
  <c r="E29" i="295"/>
  <c r="F28" i="295"/>
  <c r="E28" i="295"/>
  <c r="F27" i="295"/>
  <c r="E27" i="295"/>
  <c r="F26" i="295"/>
  <c r="E26" i="295"/>
  <c r="F25" i="295"/>
  <c r="E25" i="295"/>
  <c r="F24" i="295"/>
  <c r="E24" i="295"/>
  <c r="F23" i="295"/>
  <c r="E23" i="295"/>
  <c r="F22" i="295"/>
  <c r="E22" i="295"/>
  <c r="F21" i="295"/>
  <c r="E21" i="295"/>
  <c r="F20" i="295"/>
  <c r="E20" i="295"/>
  <c r="F19" i="295"/>
  <c r="E19" i="295"/>
  <c r="F18" i="295"/>
  <c r="E18" i="295"/>
  <c r="F17" i="295"/>
  <c r="E17" i="295"/>
  <c r="F16" i="295"/>
  <c r="E16" i="295"/>
  <c r="F15" i="295"/>
  <c r="E15" i="295"/>
  <c r="F14" i="295"/>
  <c r="E14" i="295"/>
  <c r="F13" i="295"/>
  <c r="E13" i="295"/>
  <c r="V9" i="295"/>
  <c r="U9" i="295"/>
  <c r="D9" i="295"/>
  <c r="D32" i="295" s="1"/>
  <c r="F32" i="295" s="1"/>
  <c r="C9" i="295"/>
  <c r="C32" i="295" s="1"/>
  <c r="S7" i="295"/>
  <c r="R7" i="295"/>
  <c r="Q7" i="295"/>
  <c r="P7" i="295"/>
  <c r="O7" i="295"/>
  <c r="N7" i="295"/>
  <c r="M7" i="295"/>
  <c r="L7" i="295"/>
  <c r="K7" i="295"/>
  <c r="J7" i="295"/>
  <c r="S6" i="295"/>
  <c r="R6" i="295"/>
  <c r="Q6" i="295"/>
  <c r="P6" i="295"/>
  <c r="O6" i="295"/>
  <c r="N6" i="295"/>
  <c r="M6" i="295"/>
  <c r="L6" i="295"/>
  <c r="K6" i="295"/>
  <c r="J6" i="295"/>
  <c r="S5" i="295"/>
  <c r="R5" i="295"/>
  <c r="Q5" i="295"/>
  <c r="P5" i="295"/>
  <c r="O5" i="295"/>
  <c r="N5" i="295"/>
  <c r="M5" i="295"/>
  <c r="L5" i="295"/>
  <c r="K5" i="295"/>
  <c r="J5" i="295"/>
  <c r="V3" i="295"/>
  <c r="U3" i="295"/>
  <c r="A1" i="295"/>
  <c r="F243" i="277"/>
  <c r="E243" i="277"/>
  <c r="F242" i="277"/>
  <c r="E242" i="277"/>
  <c r="F241" i="277"/>
  <c r="E241" i="277"/>
  <c r="F240" i="277"/>
  <c r="E240" i="277"/>
  <c r="F239" i="277"/>
  <c r="E239" i="277"/>
  <c r="F238" i="277"/>
  <c r="E238" i="277"/>
  <c r="F237" i="277"/>
  <c r="E237" i="277"/>
  <c r="F236" i="277"/>
  <c r="E236" i="277"/>
  <c r="F235" i="277"/>
  <c r="E235" i="277"/>
  <c r="F234" i="277"/>
  <c r="E234" i="277"/>
  <c r="F233" i="277"/>
  <c r="E233" i="277"/>
  <c r="F232" i="277"/>
  <c r="E232" i="277"/>
  <c r="F231" i="277"/>
  <c r="E231" i="277"/>
  <c r="F230" i="277"/>
  <c r="E230" i="277"/>
  <c r="F229" i="277"/>
  <c r="E229" i="277"/>
  <c r="F228" i="277"/>
  <c r="E228" i="277"/>
  <c r="F227" i="277"/>
  <c r="E227" i="277"/>
  <c r="E225" i="277"/>
  <c r="V220" i="277"/>
  <c r="U220" i="277"/>
  <c r="S217" i="277"/>
  <c r="R217" i="277"/>
  <c r="Q217" i="277"/>
  <c r="P217" i="277"/>
  <c r="O217" i="277"/>
  <c r="N217" i="277"/>
  <c r="M217" i="277"/>
  <c r="L217" i="277"/>
  <c r="K217" i="277"/>
  <c r="J217" i="277"/>
  <c r="F217" i="277"/>
  <c r="E217" i="277"/>
  <c r="S216" i="277"/>
  <c r="R216" i="277"/>
  <c r="Q216" i="277"/>
  <c r="P216" i="277"/>
  <c r="O216" i="277"/>
  <c r="N216" i="277"/>
  <c r="M216" i="277"/>
  <c r="L216" i="277"/>
  <c r="K216" i="277"/>
  <c r="J216" i="277"/>
  <c r="F216" i="277"/>
  <c r="E216" i="277"/>
  <c r="S215" i="277"/>
  <c r="R215" i="277"/>
  <c r="Q215" i="277"/>
  <c r="P215" i="277"/>
  <c r="O215" i="277"/>
  <c r="N215" i="277"/>
  <c r="M215" i="277"/>
  <c r="L215" i="277"/>
  <c r="K215" i="277"/>
  <c r="J215" i="277"/>
  <c r="F215" i="277"/>
  <c r="E215" i="277"/>
  <c r="S214" i="277"/>
  <c r="R214" i="277"/>
  <c r="Q214" i="277"/>
  <c r="P214" i="277"/>
  <c r="O214" i="277"/>
  <c r="N214" i="277"/>
  <c r="M214" i="277"/>
  <c r="L214" i="277"/>
  <c r="K214" i="277"/>
  <c r="J214" i="277"/>
  <c r="F214" i="277"/>
  <c r="E214" i="277"/>
  <c r="S213" i="277"/>
  <c r="R213" i="277"/>
  <c r="Q213" i="277"/>
  <c r="P213" i="277"/>
  <c r="O213" i="277"/>
  <c r="N213" i="277"/>
  <c r="M213" i="277"/>
  <c r="L213" i="277"/>
  <c r="K213" i="277"/>
  <c r="J213" i="277"/>
  <c r="F213" i="277"/>
  <c r="E213" i="277"/>
  <c r="S212" i="277"/>
  <c r="R212" i="277"/>
  <c r="Q212" i="277"/>
  <c r="P212" i="277"/>
  <c r="O212" i="277"/>
  <c r="N212" i="277"/>
  <c r="M212" i="277"/>
  <c r="L212" i="277"/>
  <c r="K212" i="277"/>
  <c r="J212" i="277"/>
  <c r="F212" i="277"/>
  <c r="E212" i="277"/>
  <c r="S211" i="277"/>
  <c r="R211" i="277"/>
  <c r="Q211" i="277"/>
  <c r="P211" i="277"/>
  <c r="O211" i="277"/>
  <c r="N211" i="277"/>
  <c r="M211" i="277"/>
  <c r="L211" i="277"/>
  <c r="K211" i="277"/>
  <c r="J211" i="277"/>
  <c r="F211" i="277"/>
  <c r="E211" i="277"/>
  <c r="S210" i="277"/>
  <c r="R210" i="277"/>
  <c r="Q210" i="277"/>
  <c r="P210" i="277"/>
  <c r="O210" i="277"/>
  <c r="N210" i="277"/>
  <c r="M210" i="277"/>
  <c r="L210" i="277"/>
  <c r="K210" i="277"/>
  <c r="J210" i="277"/>
  <c r="F210" i="277"/>
  <c r="E210" i="277"/>
  <c r="S209" i="277"/>
  <c r="R209" i="277"/>
  <c r="Q209" i="277"/>
  <c r="P209" i="277"/>
  <c r="O209" i="277"/>
  <c r="N209" i="277"/>
  <c r="M209" i="277"/>
  <c r="L209" i="277"/>
  <c r="K209" i="277"/>
  <c r="J209" i="277"/>
  <c r="F209" i="277"/>
  <c r="E209" i="277"/>
  <c r="S208" i="277"/>
  <c r="R208" i="277"/>
  <c r="Q208" i="277"/>
  <c r="P208" i="277"/>
  <c r="O208" i="277"/>
  <c r="N208" i="277"/>
  <c r="M208" i="277"/>
  <c r="L208" i="277"/>
  <c r="K208" i="277"/>
  <c r="J208" i="277"/>
  <c r="F208" i="277"/>
  <c r="E208" i="277"/>
  <c r="S207" i="277"/>
  <c r="R207" i="277"/>
  <c r="Q207" i="277"/>
  <c r="P207" i="277"/>
  <c r="O207" i="277"/>
  <c r="N207" i="277"/>
  <c r="M207" i="277"/>
  <c r="L207" i="277"/>
  <c r="K207" i="277"/>
  <c r="J207" i="277"/>
  <c r="F207" i="277"/>
  <c r="E207" i="277"/>
  <c r="S206" i="277"/>
  <c r="R206" i="277"/>
  <c r="Q206" i="277"/>
  <c r="P206" i="277"/>
  <c r="O206" i="277"/>
  <c r="N206" i="277"/>
  <c r="M206" i="277"/>
  <c r="L206" i="277"/>
  <c r="K206" i="277"/>
  <c r="J206" i="277"/>
  <c r="F206" i="277"/>
  <c r="E206" i="277"/>
  <c r="S205" i="277"/>
  <c r="R205" i="277"/>
  <c r="Q205" i="277"/>
  <c r="P205" i="277"/>
  <c r="O205" i="277"/>
  <c r="N205" i="277"/>
  <c r="M205" i="277"/>
  <c r="L205" i="277"/>
  <c r="K205" i="277"/>
  <c r="J205" i="277"/>
  <c r="F205" i="277"/>
  <c r="E205" i="277"/>
  <c r="S204" i="277"/>
  <c r="R204" i="277"/>
  <c r="Q204" i="277"/>
  <c r="P204" i="277"/>
  <c r="O204" i="277"/>
  <c r="N204" i="277"/>
  <c r="M204" i="277"/>
  <c r="L204" i="277"/>
  <c r="K204" i="277"/>
  <c r="J204" i="277"/>
  <c r="F204" i="277"/>
  <c r="E204" i="277"/>
  <c r="S203" i="277"/>
  <c r="R203" i="277"/>
  <c r="Q203" i="277"/>
  <c r="P203" i="277"/>
  <c r="O203" i="277"/>
  <c r="N203" i="277"/>
  <c r="M203" i="277"/>
  <c r="L203" i="277"/>
  <c r="K203" i="277"/>
  <c r="J203" i="277"/>
  <c r="F203" i="277"/>
  <c r="E203" i="277"/>
  <c r="S202" i="277"/>
  <c r="R202" i="277"/>
  <c r="Q202" i="277"/>
  <c r="P202" i="277"/>
  <c r="O202" i="277"/>
  <c r="N202" i="277"/>
  <c r="M202" i="277"/>
  <c r="L202" i="277"/>
  <c r="K202" i="277"/>
  <c r="J202" i="277"/>
  <c r="F202" i="277"/>
  <c r="E202" i="277"/>
  <c r="S201" i="277"/>
  <c r="R201" i="277"/>
  <c r="Q201" i="277"/>
  <c r="P201" i="277"/>
  <c r="O201" i="277"/>
  <c r="N201" i="277"/>
  <c r="M201" i="277"/>
  <c r="L201" i="277"/>
  <c r="K201" i="277"/>
  <c r="J201" i="277"/>
  <c r="F201" i="277"/>
  <c r="E201" i="277"/>
  <c r="E199" i="277"/>
  <c r="V194" i="277"/>
  <c r="U194" i="277"/>
  <c r="F191" i="277"/>
  <c r="E191" i="277"/>
  <c r="F190" i="277"/>
  <c r="E190" i="277"/>
  <c r="F189" i="277"/>
  <c r="E189" i="277"/>
  <c r="F188" i="277"/>
  <c r="E188" i="277"/>
  <c r="F187" i="277"/>
  <c r="E187" i="277"/>
  <c r="F186" i="277"/>
  <c r="E186" i="277"/>
  <c r="F185" i="277"/>
  <c r="E185" i="277"/>
  <c r="F184" i="277"/>
  <c r="E184" i="277"/>
  <c r="F183" i="277"/>
  <c r="E183" i="277"/>
  <c r="F182" i="277"/>
  <c r="E182" i="277"/>
  <c r="F181" i="277"/>
  <c r="E181" i="277"/>
  <c r="F180" i="277"/>
  <c r="E180" i="277"/>
  <c r="F179" i="277"/>
  <c r="E179" i="277"/>
  <c r="F178" i="277"/>
  <c r="E178" i="277"/>
  <c r="F177" i="277"/>
  <c r="E177" i="277"/>
  <c r="F176" i="277"/>
  <c r="E176" i="277"/>
  <c r="F175" i="277"/>
  <c r="E175" i="277"/>
  <c r="E173" i="277"/>
  <c r="V168" i="277"/>
  <c r="U168" i="277"/>
  <c r="D168" i="277"/>
  <c r="D220" i="277" s="1"/>
  <c r="F165" i="277"/>
  <c r="E165" i="277"/>
  <c r="F164" i="277"/>
  <c r="E164" i="277"/>
  <c r="F163" i="277"/>
  <c r="E163" i="277"/>
  <c r="F162" i="277"/>
  <c r="E162" i="277"/>
  <c r="F161" i="277"/>
  <c r="E161" i="277"/>
  <c r="F160" i="277"/>
  <c r="E160" i="277"/>
  <c r="F159" i="277"/>
  <c r="E159" i="277"/>
  <c r="F158" i="277"/>
  <c r="E158" i="277"/>
  <c r="F157" i="277"/>
  <c r="E157" i="277"/>
  <c r="F156" i="277"/>
  <c r="E156" i="277"/>
  <c r="F155" i="277"/>
  <c r="E155" i="277"/>
  <c r="F154" i="277"/>
  <c r="E154" i="277"/>
  <c r="F153" i="277"/>
  <c r="E153" i="277"/>
  <c r="F152" i="277"/>
  <c r="E152" i="277"/>
  <c r="F151" i="277"/>
  <c r="E151" i="277"/>
  <c r="F150" i="277"/>
  <c r="E150" i="277"/>
  <c r="F149" i="277"/>
  <c r="E149" i="277"/>
  <c r="E147" i="277"/>
  <c r="V142" i="277"/>
  <c r="U142" i="277"/>
  <c r="S140" i="277"/>
  <c r="R140" i="277"/>
  <c r="Q140" i="277"/>
  <c r="P140" i="277"/>
  <c r="O140" i="277"/>
  <c r="N140" i="277"/>
  <c r="M140" i="277"/>
  <c r="L140" i="277"/>
  <c r="K140" i="277"/>
  <c r="J140" i="277"/>
  <c r="V139" i="277"/>
  <c r="U139" i="277"/>
  <c r="F139" i="277"/>
  <c r="E139" i="277"/>
  <c r="V138" i="277"/>
  <c r="U138" i="277"/>
  <c r="F138" i="277"/>
  <c r="E138" i="277"/>
  <c r="V137" i="277"/>
  <c r="U137" i="277"/>
  <c r="F137" i="277"/>
  <c r="E137" i="277"/>
  <c r="V136" i="277"/>
  <c r="U136" i="277"/>
  <c r="F136" i="277"/>
  <c r="E136" i="277"/>
  <c r="V135" i="277"/>
  <c r="U135" i="277"/>
  <c r="F135" i="277"/>
  <c r="E135" i="277"/>
  <c r="V134" i="277"/>
  <c r="U134" i="277"/>
  <c r="F134" i="277"/>
  <c r="E134" i="277"/>
  <c r="V133" i="277"/>
  <c r="U133" i="277"/>
  <c r="F133" i="277"/>
  <c r="E133" i="277"/>
  <c r="V132" i="277"/>
  <c r="U132" i="277"/>
  <c r="F132" i="277"/>
  <c r="E132" i="277"/>
  <c r="V131" i="277"/>
  <c r="U131" i="277"/>
  <c r="F131" i="277"/>
  <c r="E131" i="277"/>
  <c r="V130" i="277"/>
  <c r="U130" i="277"/>
  <c r="F130" i="277"/>
  <c r="E130" i="277"/>
  <c r="V129" i="277"/>
  <c r="U129" i="277"/>
  <c r="F129" i="277"/>
  <c r="E129" i="277"/>
  <c r="V128" i="277"/>
  <c r="U128" i="277"/>
  <c r="F128" i="277"/>
  <c r="E128" i="277"/>
  <c r="V127" i="277"/>
  <c r="U127" i="277"/>
  <c r="F127" i="277"/>
  <c r="E127" i="277"/>
  <c r="V126" i="277"/>
  <c r="U126" i="277"/>
  <c r="F126" i="277"/>
  <c r="E126" i="277"/>
  <c r="V125" i="277"/>
  <c r="U125" i="277"/>
  <c r="F125" i="277"/>
  <c r="E125" i="277"/>
  <c r="V124" i="277"/>
  <c r="U124" i="277"/>
  <c r="F124" i="277"/>
  <c r="E124" i="277"/>
  <c r="V123" i="277"/>
  <c r="U123" i="277"/>
  <c r="F123" i="277"/>
  <c r="E123" i="277"/>
  <c r="E121" i="277"/>
  <c r="V116" i="277"/>
  <c r="U116" i="277"/>
  <c r="F113" i="277"/>
  <c r="E113" i="277"/>
  <c r="F112" i="277"/>
  <c r="E112" i="277"/>
  <c r="F111" i="277"/>
  <c r="E111" i="277"/>
  <c r="F110" i="277"/>
  <c r="E110" i="277"/>
  <c r="F109" i="277"/>
  <c r="E109" i="277"/>
  <c r="F108" i="277"/>
  <c r="E108" i="277"/>
  <c r="F107" i="277"/>
  <c r="E107" i="277"/>
  <c r="F106" i="277"/>
  <c r="E106" i="277"/>
  <c r="F105" i="277"/>
  <c r="E105" i="277"/>
  <c r="F104" i="277"/>
  <c r="E104" i="277"/>
  <c r="F103" i="277"/>
  <c r="E103" i="277"/>
  <c r="F102" i="277"/>
  <c r="E102" i="277"/>
  <c r="F101" i="277"/>
  <c r="E101" i="277"/>
  <c r="F100" i="277"/>
  <c r="E100" i="277"/>
  <c r="F99" i="277"/>
  <c r="E99" i="277"/>
  <c r="F98" i="277"/>
  <c r="E98" i="277"/>
  <c r="F97" i="277"/>
  <c r="E97" i="277"/>
  <c r="E95" i="277"/>
  <c r="V90" i="277"/>
  <c r="U90" i="277"/>
  <c r="D90" i="277"/>
  <c r="D142" i="277" s="1"/>
  <c r="F142" i="277" s="1"/>
  <c r="C90" i="277"/>
  <c r="C116" i="277" s="1"/>
  <c r="F87" i="277"/>
  <c r="E87" i="277"/>
  <c r="F86" i="277"/>
  <c r="E86" i="277"/>
  <c r="F85" i="277"/>
  <c r="E85" i="277"/>
  <c r="F84" i="277"/>
  <c r="E84" i="277"/>
  <c r="F83" i="277"/>
  <c r="E83" i="277"/>
  <c r="F82" i="277"/>
  <c r="E82" i="277"/>
  <c r="F81" i="277"/>
  <c r="E81" i="277"/>
  <c r="F80" i="277"/>
  <c r="E80" i="277"/>
  <c r="F79" i="277"/>
  <c r="E79" i="277"/>
  <c r="F78" i="277"/>
  <c r="E78" i="277"/>
  <c r="F77" i="277"/>
  <c r="E77" i="277"/>
  <c r="F76" i="277"/>
  <c r="E76" i="277"/>
  <c r="F75" i="277"/>
  <c r="E75" i="277"/>
  <c r="F74" i="277"/>
  <c r="E74" i="277"/>
  <c r="F73" i="277"/>
  <c r="E73" i="277"/>
  <c r="F72" i="277"/>
  <c r="E72" i="277"/>
  <c r="F71" i="277"/>
  <c r="E71" i="277"/>
  <c r="E69" i="277"/>
  <c r="V64" i="277"/>
  <c r="U64" i="277"/>
  <c r="S62" i="277"/>
  <c r="R62" i="277"/>
  <c r="Q62" i="277"/>
  <c r="P62" i="277"/>
  <c r="O62" i="277"/>
  <c r="N62" i="277"/>
  <c r="M62" i="277"/>
  <c r="L62" i="277"/>
  <c r="K62" i="277"/>
  <c r="J62" i="277"/>
  <c r="V61" i="277"/>
  <c r="U61" i="277"/>
  <c r="F61" i="277"/>
  <c r="E61" i="277"/>
  <c r="V60" i="277"/>
  <c r="U60" i="277"/>
  <c r="F60" i="277"/>
  <c r="E60" i="277"/>
  <c r="V59" i="277"/>
  <c r="U59" i="277"/>
  <c r="F59" i="277"/>
  <c r="E59" i="277"/>
  <c r="V58" i="277"/>
  <c r="U58" i="277"/>
  <c r="F58" i="277"/>
  <c r="E58" i="277"/>
  <c r="V57" i="277"/>
  <c r="U57" i="277"/>
  <c r="F57" i="277"/>
  <c r="E57" i="277"/>
  <c r="V56" i="277"/>
  <c r="U56" i="277"/>
  <c r="F56" i="277"/>
  <c r="E56" i="277"/>
  <c r="V55" i="277"/>
  <c r="U55" i="277"/>
  <c r="F55" i="277"/>
  <c r="E55" i="277"/>
  <c r="V54" i="277"/>
  <c r="U54" i="277"/>
  <c r="F54" i="277"/>
  <c r="E54" i="277"/>
  <c r="V53" i="277"/>
  <c r="U53" i="277"/>
  <c r="F53" i="277"/>
  <c r="E53" i="277"/>
  <c r="V52" i="277"/>
  <c r="U52" i="277"/>
  <c r="F52" i="277"/>
  <c r="E52" i="277"/>
  <c r="V51" i="277"/>
  <c r="U51" i="277"/>
  <c r="F51" i="277"/>
  <c r="E51" i="277"/>
  <c r="V50" i="277"/>
  <c r="U50" i="277"/>
  <c r="F50" i="277"/>
  <c r="E50" i="277"/>
  <c r="V49" i="277"/>
  <c r="U49" i="277"/>
  <c r="F49" i="277"/>
  <c r="E49" i="277"/>
  <c r="V48" i="277"/>
  <c r="U48" i="277"/>
  <c r="F48" i="277"/>
  <c r="E48" i="277"/>
  <c r="V47" i="277"/>
  <c r="U47" i="277"/>
  <c r="F47" i="277"/>
  <c r="E47" i="277"/>
  <c r="V46" i="277"/>
  <c r="U46" i="277"/>
  <c r="F46" i="277"/>
  <c r="E46" i="277"/>
  <c r="V45" i="277"/>
  <c r="U45" i="277"/>
  <c r="F45" i="277"/>
  <c r="E45" i="277"/>
  <c r="E43" i="277"/>
  <c r="V38" i="277"/>
  <c r="U38" i="277"/>
  <c r="F35" i="277"/>
  <c r="E35" i="277"/>
  <c r="F34" i="277"/>
  <c r="E34" i="277"/>
  <c r="F33" i="277"/>
  <c r="E33" i="277"/>
  <c r="F32" i="277"/>
  <c r="E32" i="277"/>
  <c r="F31" i="277"/>
  <c r="E31" i="277"/>
  <c r="F30" i="277"/>
  <c r="E30" i="277"/>
  <c r="F29" i="277"/>
  <c r="E29" i="277"/>
  <c r="F28" i="277"/>
  <c r="E28" i="277"/>
  <c r="F27" i="277"/>
  <c r="E27" i="277"/>
  <c r="F26" i="277"/>
  <c r="E26" i="277"/>
  <c r="F25" i="277"/>
  <c r="E25" i="277"/>
  <c r="F24" i="277"/>
  <c r="E24" i="277"/>
  <c r="F23" i="277"/>
  <c r="E23" i="277"/>
  <c r="F22" i="277"/>
  <c r="E22" i="277"/>
  <c r="F21" i="277"/>
  <c r="E21" i="277"/>
  <c r="F20" i="277"/>
  <c r="E20" i="277"/>
  <c r="F19" i="277"/>
  <c r="E19" i="277"/>
  <c r="E17" i="277"/>
  <c r="V12" i="277"/>
  <c r="U12" i="277"/>
  <c r="D12" i="277"/>
  <c r="D38" i="277" s="1"/>
  <c r="F38" i="277" s="1"/>
  <c r="C12" i="277"/>
  <c r="C64" i="277" s="1"/>
  <c r="S7" i="277"/>
  <c r="R7" i="277"/>
  <c r="Q7" i="277"/>
  <c r="P7" i="277"/>
  <c r="O7" i="277"/>
  <c r="N7" i="277"/>
  <c r="M7" i="277"/>
  <c r="L7" i="277"/>
  <c r="K7" i="277"/>
  <c r="J7" i="277"/>
  <c r="S6" i="277"/>
  <c r="R6" i="277"/>
  <c r="Q6" i="277"/>
  <c r="P6" i="277"/>
  <c r="O6" i="277"/>
  <c r="N6" i="277"/>
  <c r="M6" i="277"/>
  <c r="L6" i="277"/>
  <c r="K6" i="277"/>
  <c r="J6" i="277"/>
  <c r="S5" i="277"/>
  <c r="R5" i="277"/>
  <c r="Q5" i="277"/>
  <c r="P5" i="277"/>
  <c r="O5" i="277"/>
  <c r="N5" i="277"/>
  <c r="M5" i="277"/>
  <c r="L5" i="277"/>
  <c r="K5" i="277"/>
  <c r="J5" i="277"/>
  <c r="V3" i="277"/>
  <c r="U3" i="277"/>
  <c r="A1" i="277"/>
  <c r="S13" i="278"/>
  <c r="S10" i="277" s="1"/>
  <c r="R13" i="278"/>
  <c r="R10" i="277" s="1"/>
  <c r="Q13" i="278"/>
  <c r="P13" i="278"/>
  <c r="O13" i="278"/>
  <c r="O10" i="277" s="1"/>
  <c r="A1" i="278"/>
  <c r="F62" i="48"/>
  <c r="F61" i="48"/>
  <c r="F60" i="48"/>
  <c r="F59" i="48"/>
  <c r="F58" i="48"/>
  <c r="F57" i="48"/>
  <c r="G53" i="48"/>
  <c r="G52" i="48"/>
  <c r="G51" i="48"/>
  <c r="G50" i="48"/>
  <c r="G49" i="48"/>
  <c r="G48" i="48"/>
  <c r="M14" i="48"/>
  <c r="L14" i="48"/>
  <c r="K14" i="48"/>
  <c r="F6" i="48"/>
  <c r="M7" i="48" s="1"/>
  <c r="I5" i="48"/>
  <c r="I4" i="48"/>
  <c r="F13" i="48" s="1"/>
  <c r="F16" i="273" s="1"/>
  <c r="F3" i="48"/>
  <c r="M2" i="48"/>
  <c r="L2" i="48"/>
  <c r="K2" i="48"/>
  <c r="A1" i="48"/>
  <c r="G31" i="273"/>
  <c r="E31" i="273"/>
  <c r="G30" i="273"/>
  <c r="E30" i="273"/>
  <c r="G29" i="273"/>
  <c r="E29" i="273"/>
  <c r="G25" i="273"/>
  <c r="E25" i="273"/>
  <c r="G24" i="273"/>
  <c r="E24" i="273"/>
  <c r="G23" i="273"/>
  <c r="E23" i="273"/>
  <c r="I17" i="273"/>
  <c r="G17" i="273"/>
  <c r="F17" i="273"/>
  <c r="E17" i="273"/>
  <c r="G16" i="273"/>
  <c r="E16" i="273"/>
  <c r="I12" i="273"/>
  <c r="H12" i="273"/>
  <c r="G12" i="273"/>
  <c r="F12" i="273"/>
  <c r="E12" i="273"/>
  <c r="J9" i="273"/>
  <c r="J4" i="273" s="1"/>
  <c r="E4" i="273"/>
  <c r="E3" i="273"/>
  <c r="E3" i="295" s="1"/>
  <c r="E2" i="273"/>
  <c r="A1" i="273"/>
  <c r="Y209" i="290"/>
  <c r="X209" i="290"/>
  <c r="W209" i="290"/>
  <c r="V209" i="290"/>
  <c r="U209" i="290"/>
  <c r="T209" i="290"/>
  <c r="S209" i="290"/>
  <c r="R209" i="290"/>
  <c r="Y208" i="290"/>
  <c r="X208" i="290"/>
  <c r="W208" i="290"/>
  <c r="V208" i="290"/>
  <c r="U208" i="290"/>
  <c r="T208" i="290"/>
  <c r="S208" i="290"/>
  <c r="R208" i="290"/>
  <c r="Y207" i="290"/>
  <c r="X207" i="290"/>
  <c r="W207" i="290"/>
  <c r="V207" i="290"/>
  <c r="U207" i="290"/>
  <c r="T207" i="290"/>
  <c r="S207" i="290"/>
  <c r="R207" i="290"/>
  <c r="Y206" i="290"/>
  <c r="X206" i="290"/>
  <c r="W206" i="290"/>
  <c r="V206" i="290"/>
  <c r="U206" i="290"/>
  <c r="T206" i="290"/>
  <c r="S206" i="290"/>
  <c r="R206" i="290"/>
  <c r="Y205" i="290"/>
  <c r="X205" i="290"/>
  <c r="W205" i="290"/>
  <c r="V205" i="290"/>
  <c r="U205" i="290"/>
  <c r="T205" i="290"/>
  <c r="S205" i="290"/>
  <c r="R205" i="290"/>
  <c r="Y204" i="290"/>
  <c r="X204" i="290"/>
  <c r="W204" i="290"/>
  <c r="V204" i="290"/>
  <c r="U204" i="290"/>
  <c r="T204" i="290"/>
  <c r="S204" i="290"/>
  <c r="R204" i="290"/>
  <c r="Y203" i="290"/>
  <c r="X203" i="290"/>
  <c r="W203" i="290"/>
  <c r="V203" i="290"/>
  <c r="U203" i="290"/>
  <c r="T203" i="290"/>
  <c r="S203" i="290"/>
  <c r="R203" i="290"/>
  <c r="Y202" i="290"/>
  <c r="X202" i="290"/>
  <c r="W202" i="290"/>
  <c r="V202" i="290"/>
  <c r="U202" i="290"/>
  <c r="T202" i="290"/>
  <c r="S202" i="290"/>
  <c r="R202" i="290"/>
  <c r="Y201" i="290"/>
  <c r="X201" i="290"/>
  <c r="W201" i="290"/>
  <c r="V201" i="290"/>
  <c r="U201" i="290"/>
  <c r="T201" i="290"/>
  <c r="S201" i="290"/>
  <c r="R201" i="290"/>
  <c r="Y200" i="290"/>
  <c r="X200" i="290"/>
  <c r="W200" i="290"/>
  <c r="V200" i="290"/>
  <c r="U200" i="290"/>
  <c r="T200" i="290"/>
  <c r="S200" i="290"/>
  <c r="R200" i="290"/>
  <c r="Y199" i="290"/>
  <c r="X199" i="290"/>
  <c r="W199" i="290"/>
  <c r="V199" i="290"/>
  <c r="U199" i="290"/>
  <c r="T199" i="290"/>
  <c r="S199" i="290"/>
  <c r="R199" i="290"/>
  <c r="Y198" i="290"/>
  <c r="X198" i="290"/>
  <c r="W198" i="290"/>
  <c r="V198" i="290"/>
  <c r="U198" i="290"/>
  <c r="T198" i="290"/>
  <c r="S198" i="290"/>
  <c r="R198" i="290"/>
  <c r="Y197" i="290"/>
  <c r="X197" i="290"/>
  <c r="W197" i="290"/>
  <c r="V197" i="290"/>
  <c r="U197" i="290"/>
  <c r="T197" i="290"/>
  <c r="S197" i="290"/>
  <c r="R197" i="290"/>
  <c r="Y196" i="290"/>
  <c r="X196" i="290"/>
  <c r="W196" i="290"/>
  <c r="V196" i="290"/>
  <c r="U196" i="290"/>
  <c r="T196" i="290"/>
  <c r="S196" i="290"/>
  <c r="R196" i="290"/>
  <c r="Y195" i="290"/>
  <c r="X195" i="290"/>
  <c r="W195" i="290"/>
  <c r="V195" i="290"/>
  <c r="U195" i="290"/>
  <c r="T195" i="290"/>
  <c r="S195" i="290"/>
  <c r="R195" i="290"/>
  <c r="Y194" i="290"/>
  <c r="X194" i="290"/>
  <c r="W194" i="290"/>
  <c r="V194" i="290"/>
  <c r="U194" i="290"/>
  <c r="T194" i="290"/>
  <c r="S194" i="290"/>
  <c r="R194" i="290"/>
  <c r="Y193" i="290"/>
  <c r="X193" i="290"/>
  <c r="W193" i="290"/>
  <c r="V193" i="290"/>
  <c r="U193" i="290"/>
  <c r="T193" i="290"/>
  <c r="S193" i="290"/>
  <c r="R193" i="290"/>
  <c r="Y192" i="290"/>
  <c r="X192" i="290"/>
  <c r="W192" i="290"/>
  <c r="V192" i="290"/>
  <c r="U192" i="290"/>
  <c r="T192" i="290"/>
  <c r="S192" i="290"/>
  <c r="R192" i="290"/>
  <c r="Y191" i="290"/>
  <c r="X191" i="290"/>
  <c r="W191" i="290"/>
  <c r="V191" i="290"/>
  <c r="U191" i="290"/>
  <c r="T191" i="290"/>
  <c r="S191" i="290"/>
  <c r="R191" i="290"/>
  <c r="Y190" i="290"/>
  <c r="X190" i="290"/>
  <c r="W190" i="290"/>
  <c r="V190" i="290"/>
  <c r="U190" i="290"/>
  <c r="T190" i="290"/>
  <c r="S190" i="290"/>
  <c r="R190" i="290"/>
  <c r="Y189" i="290"/>
  <c r="X189" i="290"/>
  <c r="W189" i="290"/>
  <c r="V189" i="290"/>
  <c r="U189" i="290"/>
  <c r="T189" i="290"/>
  <c r="S189" i="290"/>
  <c r="R189" i="290"/>
  <c r="Y188" i="290"/>
  <c r="X188" i="290"/>
  <c r="W188" i="290"/>
  <c r="V188" i="290"/>
  <c r="U188" i="290"/>
  <c r="T188" i="290"/>
  <c r="S188" i="290"/>
  <c r="R188" i="290"/>
  <c r="Y187" i="290"/>
  <c r="X187" i="290"/>
  <c r="W187" i="290"/>
  <c r="V187" i="290"/>
  <c r="U187" i="290"/>
  <c r="T187" i="290"/>
  <c r="S187" i="290"/>
  <c r="R187" i="290"/>
  <c r="Y186" i="290"/>
  <c r="X186" i="290"/>
  <c r="W186" i="290"/>
  <c r="V186" i="290"/>
  <c r="U186" i="290"/>
  <c r="T186" i="290"/>
  <c r="S186" i="290"/>
  <c r="R186" i="290"/>
  <c r="Y185" i="290"/>
  <c r="X185" i="290"/>
  <c r="W185" i="290"/>
  <c r="V185" i="290"/>
  <c r="U185" i="290"/>
  <c r="T185" i="290"/>
  <c r="S185" i="290"/>
  <c r="R185" i="290"/>
  <c r="Y184" i="290"/>
  <c r="X184" i="290"/>
  <c r="W184" i="290"/>
  <c r="V184" i="290"/>
  <c r="U184" i="290"/>
  <c r="T184" i="290"/>
  <c r="S184" i="290"/>
  <c r="R184" i="290"/>
  <c r="Y183" i="290"/>
  <c r="X183" i="290"/>
  <c r="W183" i="290"/>
  <c r="V183" i="290"/>
  <c r="U183" i="290"/>
  <c r="T183" i="290"/>
  <c r="S183" i="290"/>
  <c r="R183" i="290"/>
  <c r="Y182" i="290"/>
  <c r="X182" i="290"/>
  <c r="W182" i="290"/>
  <c r="V182" i="290"/>
  <c r="U182" i="290"/>
  <c r="T182" i="290"/>
  <c r="S182" i="290"/>
  <c r="R182" i="290"/>
  <c r="Y181" i="290"/>
  <c r="X181" i="290"/>
  <c r="W181" i="290"/>
  <c r="V181" i="290"/>
  <c r="U181" i="290"/>
  <c r="T181" i="290"/>
  <c r="S181" i="290"/>
  <c r="R181" i="290"/>
  <c r="Y180" i="290"/>
  <c r="X180" i="290"/>
  <c r="W180" i="290"/>
  <c r="V180" i="290"/>
  <c r="U180" i="290"/>
  <c r="T180" i="290"/>
  <c r="S180" i="290"/>
  <c r="R180" i="290"/>
  <c r="Y179" i="290"/>
  <c r="X179" i="290"/>
  <c r="W179" i="290"/>
  <c r="V179" i="290"/>
  <c r="U179" i="290"/>
  <c r="T179" i="290"/>
  <c r="S179" i="290"/>
  <c r="R179" i="290"/>
  <c r="Y178" i="290"/>
  <c r="X178" i="290"/>
  <c r="W178" i="290"/>
  <c r="V178" i="290"/>
  <c r="U178" i="290"/>
  <c r="T178" i="290"/>
  <c r="S178" i="290"/>
  <c r="R178" i="290"/>
  <c r="Y177" i="290"/>
  <c r="X177" i="290"/>
  <c r="W177" i="290"/>
  <c r="V177" i="290"/>
  <c r="U177" i="290"/>
  <c r="T177" i="290"/>
  <c r="S177" i="290"/>
  <c r="R177" i="290"/>
  <c r="Y176" i="290"/>
  <c r="X176" i="290"/>
  <c r="W176" i="290"/>
  <c r="V176" i="290"/>
  <c r="U176" i="290"/>
  <c r="T176" i="290"/>
  <c r="S176" i="290"/>
  <c r="R176" i="290"/>
  <c r="Y175" i="290"/>
  <c r="X175" i="290"/>
  <c r="W175" i="290"/>
  <c r="V175" i="290"/>
  <c r="U175" i="290"/>
  <c r="T175" i="290"/>
  <c r="S175" i="290"/>
  <c r="R175" i="290"/>
  <c r="Y174" i="290"/>
  <c r="X174" i="290"/>
  <c r="W174" i="290"/>
  <c r="V174" i="290"/>
  <c r="U174" i="290"/>
  <c r="T174" i="290"/>
  <c r="S174" i="290"/>
  <c r="R174" i="290"/>
  <c r="Y173" i="290"/>
  <c r="X173" i="290"/>
  <c r="W173" i="290"/>
  <c r="V173" i="290"/>
  <c r="U173" i="290"/>
  <c r="T173" i="290"/>
  <c r="S173" i="290"/>
  <c r="R173" i="290"/>
  <c r="Y172" i="290"/>
  <c r="X172" i="290"/>
  <c r="W172" i="290"/>
  <c r="V172" i="290"/>
  <c r="U172" i="290"/>
  <c r="T172" i="290"/>
  <c r="S172" i="290"/>
  <c r="R172" i="290"/>
  <c r="Y171" i="290"/>
  <c r="X171" i="290"/>
  <c r="W171" i="290"/>
  <c r="V171" i="290"/>
  <c r="U171" i="290"/>
  <c r="T171" i="290"/>
  <c r="S171" i="290"/>
  <c r="R171" i="290"/>
  <c r="Y170" i="290"/>
  <c r="X170" i="290"/>
  <c r="W170" i="290"/>
  <c r="V170" i="290"/>
  <c r="U170" i="290"/>
  <c r="T170" i="290"/>
  <c r="S170" i="290"/>
  <c r="R170" i="290"/>
  <c r="Y169" i="290"/>
  <c r="X169" i="290"/>
  <c r="W169" i="290"/>
  <c r="V169" i="290"/>
  <c r="U169" i="290"/>
  <c r="T169" i="290"/>
  <c r="S169" i="290"/>
  <c r="R169" i="290"/>
  <c r="Y168" i="290"/>
  <c r="X168" i="290"/>
  <c r="W168" i="290"/>
  <c r="V168" i="290"/>
  <c r="U168" i="290"/>
  <c r="T168" i="290"/>
  <c r="S168" i="290"/>
  <c r="R168" i="290"/>
  <c r="Y167" i="290"/>
  <c r="X167" i="290"/>
  <c r="W167" i="290"/>
  <c r="V167" i="290"/>
  <c r="U167" i="290"/>
  <c r="T167" i="290"/>
  <c r="S167" i="290"/>
  <c r="R167" i="290"/>
  <c r="Y166" i="290"/>
  <c r="X166" i="290"/>
  <c r="W166" i="290"/>
  <c r="V166" i="290"/>
  <c r="U166" i="290"/>
  <c r="T166" i="290"/>
  <c r="S166" i="290"/>
  <c r="R166" i="290"/>
  <c r="Y165" i="290"/>
  <c r="X165" i="290"/>
  <c r="W165" i="290"/>
  <c r="V165" i="290"/>
  <c r="U165" i="290"/>
  <c r="T165" i="290"/>
  <c r="S165" i="290"/>
  <c r="R165" i="290"/>
  <c r="Y164" i="290"/>
  <c r="X164" i="290"/>
  <c r="W164" i="290"/>
  <c r="V164" i="290"/>
  <c r="U164" i="290"/>
  <c r="T164" i="290"/>
  <c r="S164" i="290"/>
  <c r="R164" i="290"/>
  <c r="Y163" i="290"/>
  <c r="X163" i="290"/>
  <c r="W163" i="290"/>
  <c r="V163" i="290"/>
  <c r="U163" i="290"/>
  <c r="T163" i="290"/>
  <c r="S163" i="290"/>
  <c r="R163" i="290"/>
  <c r="Y162" i="290"/>
  <c r="X162" i="290"/>
  <c r="W162" i="290"/>
  <c r="V162" i="290"/>
  <c r="U162" i="290"/>
  <c r="T162" i="290"/>
  <c r="S162" i="290"/>
  <c r="R162" i="290"/>
  <c r="Y161" i="290"/>
  <c r="X161" i="290"/>
  <c r="W161" i="290"/>
  <c r="V161" i="290"/>
  <c r="U161" i="290"/>
  <c r="T161" i="290"/>
  <c r="S161" i="290"/>
  <c r="R161" i="290"/>
  <c r="Y160" i="290"/>
  <c r="X160" i="290"/>
  <c r="W160" i="290"/>
  <c r="V160" i="290"/>
  <c r="U160" i="290"/>
  <c r="T160" i="290"/>
  <c r="S160" i="290"/>
  <c r="R160" i="290"/>
  <c r="Y159" i="290"/>
  <c r="X159" i="290"/>
  <c r="W159" i="290"/>
  <c r="V159" i="290"/>
  <c r="U159" i="290"/>
  <c r="T159" i="290"/>
  <c r="S159" i="290"/>
  <c r="R159" i="290"/>
  <c r="Y158" i="290"/>
  <c r="X158" i="290"/>
  <c r="W158" i="290"/>
  <c r="V158" i="290"/>
  <c r="U158" i="290"/>
  <c r="T158" i="290"/>
  <c r="S158" i="290"/>
  <c r="R158" i="290"/>
  <c r="Y157" i="290"/>
  <c r="X157" i="290"/>
  <c r="W157" i="290"/>
  <c r="V157" i="290"/>
  <c r="U157" i="290"/>
  <c r="T157" i="290"/>
  <c r="S157" i="290"/>
  <c r="R157" i="290"/>
  <c r="Y156" i="290"/>
  <c r="X156" i="290"/>
  <c r="W156" i="290"/>
  <c r="V156" i="290"/>
  <c r="U156" i="290"/>
  <c r="T156" i="290"/>
  <c r="S156" i="290"/>
  <c r="R156" i="290"/>
  <c r="Y155" i="290"/>
  <c r="X155" i="290"/>
  <c r="W155" i="290"/>
  <c r="V155" i="290"/>
  <c r="U155" i="290"/>
  <c r="T155" i="290"/>
  <c r="S155" i="290"/>
  <c r="R155" i="290"/>
  <c r="Y154" i="290"/>
  <c r="X154" i="290"/>
  <c r="W154" i="290"/>
  <c r="V154" i="290"/>
  <c r="U154" i="290"/>
  <c r="T154" i="290"/>
  <c r="S154" i="290"/>
  <c r="R154" i="290"/>
  <c r="Y153" i="290"/>
  <c r="X153" i="290"/>
  <c r="W153" i="290"/>
  <c r="V153" i="290"/>
  <c r="U153" i="290"/>
  <c r="T153" i="290"/>
  <c r="S153" i="290"/>
  <c r="R153" i="290"/>
  <c r="Y152" i="290"/>
  <c r="X152" i="290"/>
  <c r="W152" i="290"/>
  <c r="V152" i="290"/>
  <c r="U152" i="290"/>
  <c r="T152" i="290"/>
  <c r="S152" i="290"/>
  <c r="R152" i="290"/>
  <c r="Y151" i="290"/>
  <c r="X151" i="290"/>
  <c r="W151" i="290"/>
  <c r="V151" i="290"/>
  <c r="U151" i="290"/>
  <c r="T151" i="290"/>
  <c r="S151" i="290"/>
  <c r="R151" i="290"/>
  <c r="Y150" i="290"/>
  <c r="X150" i="290"/>
  <c r="W150" i="290"/>
  <c r="V150" i="290"/>
  <c r="U150" i="290"/>
  <c r="T150" i="290"/>
  <c r="S150" i="290"/>
  <c r="R150" i="290"/>
  <c r="Y149" i="290"/>
  <c r="X149" i="290"/>
  <c r="W149" i="290"/>
  <c r="V149" i="290"/>
  <c r="U149" i="290"/>
  <c r="T149" i="290"/>
  <c r="S149" i="290"/>
  <c r="R149" i="290"/>
  <c r="Y148" i="290"/>
  <c r="X148" i="290"/>
  <c r="W148" i="290"/>
  <c r="V148" i="290"/>
  <c r="U148" i="290"/>
  <c r="T148" i="290"/>
  <c r="S148" i="290"/>
  <c r="R148" i="290"/>
  <c r="Y147" i="290"/>
  <c r="X147" i="290"/>
  <c r="W147" i="290"/>
  <c r="V147" i="290"/>
  <c r="U147" i="290"/>
  <c r="T147" i="290"/>
  <c r="S147" i="290"/>
  <c r="R147" i="290"/>
  <c r="Y146" i="290"/>
  <c r="X146" i="290"/>
  <c r="W146" i="290"/>
  <c r="V146" i="290"/>
  <c r="U146" i="290"/>
  <c r="T146" i="290"/>
  <c r="S146" i="290"/>
  <c r="R146" i="290"/>
  <c r="Y145" i="290"/>
  <c r="X145" i="290"/>
  <c r="W145" i="290"/>
  <c r="V145" i="290"/>
  <c r="U145" i="290"/>
  <c r="T145" i="290"/>
  <c r="S145" i="290"/>
  <c r="R145" i="290"/>
  <c r="Y144" i="290"/>
  <c r="X144" i="290"/>
  <c r="W144" i="290"/>
  <c r="V144" i="290"/>
  <c r="U144" i="290"/>
  <c r="T144" i="290"/>
  <c r="S144" i="290"/>
  <c r="R144" i="290"/>
  <c r="Y143" i="290"/>
  <c r="X143" i="290"/>
  <c r="W143" i="290"/>
  <c r="V143" i="290"/>
  <c r="U143" i="290"/>
  <c r="T143" i="290"/>
  <c r="S143" i="290"/>
  <c r="R143" i="290"/>
  <c r="Y142" i="290"/>
  <c r="X142" i="290"/>
  <c r="W142" i="290"/>
  <c r="V142" i="290"/>
  <c r="U142" i="290"/>
  <c r="T142" i="290"/>
  <c r="S142" i="290"/>
  <c r="R142" i="290"/>
  <c r="Y141" i="290"/>
  <c r="X141" i="290"/>
  <c r="W141" i="290"/>
  <c r="V141" i="290"/>
  <c r="U141" i="290"/>
  <c r="T141" i="290"/>
  <c r="S141" i="290"/>
  <c r="R141" i="290"/>
  <c r="Y140" i="290"/>
  <c r="X140" i="290"/>
  <c r="W140" i="290"/>
  <c r="V140" i="290"/>
  <c r="U140" i="290"/>
  <c r="T140" i="290"/>
  <c r="S140" i="290"/>
  <c r="R140" i="290"/>
  <c r="Y139" i="290"/>
  <c r="X139" i="290"/>
  <c r="W139" i="290"/>
  <c r="V139" i="290"/>
  <c r="U139" i="290"/>
  <c r="T139" i="290"/>
  <c r="S139" i="290"/>
  <c r="R139" i="290"/>
  <c r="Y138" i="290"/>
  <c r="X138" i="290"/>
  <c r="W138" i="290"/>
  <c r="V138" i="290"/>
  <c r="U138" i="290"/>
  <c r="T138" i="290"/>
  <c r="S138" i="290"/>
  <c r="R138" i="290"/>
  <c r="Y137" i="290"/>
  <c r="X137" i="290"/>
  <c r="W137" i="290"/>
  <c r="V137" i="290"/>
  <c r="U137" i="290"/>
  <c r="T137" i="290"/>
  <c r="S137" i="290"/>
  <c r="R137" i="290"/>
  <c r="Y136" i="290"/>
  <c r="X136" i="290"/>
  <c r="W136" i="290"/>
  <c r="V136" i="290"/>
  <c r="U136" i="290"/>
  <c r="T136" i="290"/>
  <c r="S136" i="290"/>
  <c r="R136" i="290"/>
  <c r="Y135" i="290"/>
  <c r="X135" i="290"/>
  <c r="W135" i="290"/>
  <c r="V135" i="290"/>
  <c r="U135" i="290"/>
  <c r="T135" i="290"/>
  <c r="S135" i="290"/>
  <c r="R135" i="290"/>
  <c r="Y134" i="290"/>
  <c r="X134" i="290"/>
  <c r="W134" i="290"/>
  <c r="V134" i="290"/>
  <c r="U134" i="290"/>
  <c r="T134" i="290"/>
  <c r="S134" i="290"/>
  <c r="R134" i="290"/>
  <c r="Y133" i="290"/>
  <c r="X133" i="290"/>
  <c r="W133" i="290"/>
  <c r="V133" i="290"/>
  <c r="U133" i="290"/>
  <c r="T133" i="290"/>
  <c r="S133" i="290"/>
  <c r="R133" i="290"/>
  <c r="Y132" i="290"/>
  <c r="X132" i="290"/>
  <c r="W132" i="290"/>
  <c r="V132" i="290"/>
  <c r="U132" i="290"/>
  <c r="T132" i="290"/>
  <c r="S132" i="290"/>
  <c r="R132" i="290"/>
  <c r="Y131" i="290"/>
  <c r="X131" i="290"/>
  <c r="W131" i="290"/>
  <c r="V131" i="290"/>
  <c r="U131" i="290"/>
  <c r="T131" i="290"/>
  <c r="S131" i="290"/>
  <c r="R131" i="290"/>
  <c r="Y130" i="290"/>
  <c r="X130" i="290"/>
  <c r="W130" i="290"/>
  <c r="V130" i="290"/>
  <c r="U130" i="290"/>
  <c r="T130" i="290"/>
  <c r="S130" i="290"/>
  <c r="R130" i="290"/>
  <c r="Y129" i="290"/>
  <c r="X129" i="290"/>
  <c r="W129" i="290"/>
  <c r="V129" i="290"/>
  <c r="U129" i="290"/>
  <c r="T129" i="290"/>
  <c r="S129" i="290"/>
  <c r="R129" i="290"/>
  <c r="Y128" i="290"/>
  <c r="X128" i="290"/>
  <c r="W128" i="290"/>
  <c r="V128" i="290"/>
  <c r="U128" i="290"/>
  <c r="T128" i="290"/>
  <c r="S128" i="290"/>
  <c r="R128" i="290"/>
  <c r="Y127" i="290"/>
  <c r="X127" i="290"/>
  <c r="W127" i="290"/>
  <c r="V127" i="290"/>
  <c r="U127" i="290"/>
  <c r="T127" i="290"/>
  <c r="S127" i="290"/>
  <c r="R127" i="290"/>
  <c r="Y126" i="290"/>
  <c r="X126" i="290"/>
  <c r="W126" i="290"/>
  <c r="V126" i="290"/>
  <c r="U126" i="290"/>
  <c r="T126" i="290"/>
  <c r="S126" i="290"/>
  <c r="R126" i="290"/>
  <c r="Y125" i="290"/>
  <c r="X125" i="290"/>
  <c r="W125" i="290"/>
  <c r="V125" i="290"/>
  <c r="U125" i="290"/>
  <c r="T125" i="290"/>
  <c r="S125" i="290"/>
  <c r="R125" i="290"/>
  <c r="Y124" i="290"/>
  <c r="X124" i="290"/>
  <c r="W124" i="290"/>
  <c r="V124" i="290"/>
  <c r="U124" i="290"/>
  <c r="T124" i="290"/>
  <c r="S124" i="290"/>
  <c r="R124" i="290"/>
  <c r="Y123" i="290"/>
  <c r="X123" i="290"/>
  <c r="W123" i="290"/>
  <c r="V123" i="290"/>
  <c r="U123" i="290"/>
  <c r="T123" i="290"/>
  <c r="S123" i="290"/>
  <c r="R123" i="290"/>
  <c r="Y122" i="290"/>
  <c r="X122" i="290"/>
  <c r="W122" i="290"/>
  <c r="V122" i="290"/>
  <c r="U122" i="290"/>
  <c r="T122" i="290"/>
  <c r="S122" i="290"/>
  <c r="R122" i="290"/>
  <c r="Y121" i="290"/>
  <c r="X121" i="290"/>
  <c r="W121" i="290"/>
  <c r="V121" i="290"/>
  <c r="U121" i="290"/>
  <c r="T121" i="290"/>
  <c r="S121" i="290"/>
  <c r="R121" i="290"/>
  <c r="Y120" i="290"/>
  <c r="X120" i="290"/>
  <c r="W120" i="290"/>
  <c r="V120" i="290"/>
  <c r="U120" i="290"/>
  <c r="T120" i="290"/>
  <c r="S120" i="290"/>
  <c r="R120" i="290"/>
  <c r="Y119" i="290"/>
  <c r="X119" i="290"/>
  <c r="W119" i="290"/>
  <c r="V119" i="290"/>
  <c r="U119" i="290"/>
  <c r="T119" i="290"/>
  <c r="S119" i="290"/>
  <c r="R119" i="290"/>
  <c r="Y118" i="290"/>
  <c r="X118" i="290"/>
  <c r="W118" i="290"/>
  <c r="V118" i="290"/>
  <c r="U118" i="290"/>
  <c r="T118" i="290"/>
  <c r="S118" i="290"/>
  <c r="R118" i="290"/>
  <c r="Y117" i="290"/>
  <c r="X117" i="290"/>
  <c r="W117" i="290"/>
  <c r="V117" i="290"/>
  <c r="U117" i="290"/>
  <c r="T117" i="290"/>
  <c r="S117" i="290"/>
  <c r="R117" i="290"/>
  <c r="Y116" i="290"/>
  <c r="X116" i="290"/>
  <c r="W116" i="290"/>
  <c r="V116" i="290"/>
  <c r="U116" i="290"/>
  <c r="T116" i="290"/>
  <c r="S116" i="290"/>
  <c r="R116" i="290"/>
  <c r="Y115" i="290"/>
  <c r="X115" i="290"/>
  <c r="W115" i="290"/>
  <c r="V115" i="290"/>
  <c r="U115" i="290"/>
  <c r="T115" i="290"/>
  <c r="S115" i="290"/>
  <c r="R115" i="290"/>
  <c r="Y114" i="290"/>
  <c r="X114" i="290"/>
  <c r="W114" i="290"/>
  <c r="V114" i="290"/>
  <c r="U114" i="290"/>
  <c r="T114" i="290"/>
  <c r="S114" i="290"/>
  <c r="R114" i="290"/>
  <c r="Y113" i="290"/>
  <c r="X113" i="290"/>
  <c r="W113" i="290"/>
  <c r="V113" i="290"/>
  <c r="U113" i="290"/>
  <c r="T113" i="290"/>
  <c r="S113" i="290"/>
  <c r="R113" i="290"/>
  <c r="Y112" i="290"/>
  <c r="X112" i="290"/>
  <c r="W112" i="290"/>
  <c r="V112" i="290"/>
  <c r="U112" i="290"/>
  <c r="T112" i="290"/>
  <c r="S112" i="290"/>
  <c r="R112" i="290"/>
  <c r="Y111" i="290"/>
  <c r="X111" i="290"/>
  <c r="W111" i="290"/>
  <c r="V111" i="290"/>
  <c r="U111" i="290"/>
  <c r="T111" i="290"/>
  <c r="S111" i="290"/>
  <c r="R111" i="290"/>
  <c r="Y110" i="290"/>
  <c r="X110" i="290"/>
  <c r="W110" i="290"/>
  <c r="V110" i="290"/>
  <c r="U110" i="290"/>
  <c r="T110" i="290"/>
  <c r="S110" i="290"/>
  <c r="R110" i="290"/>
  <c r="Y109" i="290"/>
  <c r="X109" i="290"/>
  <c r="W109" i="290"/>
  <c r="V109" i="290"/>
  <c r="U109" i="290"/>
  <c r="T109" i="290"/>
  <c r="S109" i="290"/>
  <c r="R109" i="290"/>
  <c r="Y108" i="290"/>
  <c r="X108" i="290"/>
  <c r="W108" i="290"/>
  <c r="V108" i="290"/>
  <c r="U108" i="290"/>
  <c r="T108" i="290"/>
  <c r="S108" i="290"/>
  <c r="R108" i="290"/>
  <c r="H107" i="290"/>
  <c r="G107" i="290"/>
  <c r="F107" i="290"/>
  <c r="H106" i="290"/>
  <c r="G106" i="290"/>
  <c r="F106" i="290"/>
  <c r="H105" i="290"/>
  <c r="G105" i="290"/>
  <c r="F105" i="290"/>
  <c r="H104" i="290"/>
  <c r="G104" i="290"/>
  <c r="F104" i="290"/>
  <c r="J27" i="295" s="1"/>
  <c r="H103" i="290"/>
  <c r="G103" i="290"/>
  <c r="F103" i="290"/>
  <c r="H102" i="290"/>
  <c r="G102" i="290"/>
  <c r="F102" i="290"/>
  <c r="H101" i="290"/>
  <c r="G101" i="290"/>
  <c r="F101" i="290"/>
  <c r="H100" i="290"/>
  <c r="G100" i="290"/>
  <c r="F100" i="290"/>
  <c r="H99" i="290"/>
  <c r="G99" i="290"/>
  <c r="F99" i="290"/>
  <c r="H98" i="290"/>
  <c r="G98" i="290"/>
  <c r="F98" i="290"/>
  <c r="H97" i="290"/>
  <c r="G97" i="290"/>
  <c r="F97" i="290"/>
  <c r="H96" i="290"/>
  <c r="G96" i="290"/>
  <c r="F96" i="290"/>
  <c r="H95" i="290"/>
  <c r="G95" i="290"/>
  <c r="F95" i="290"/>
  <c r="H94" i="290"/>
  <c r="G94" i="290"/>
  <c r="F94" i="290"/>
  <c r="H93" i="290"/>
  <c r="G93" i="290"/>
  <c r="F93" i="290"/>
  <c r="H92" i="290"/>
  <c r="G92" i="290"/>
  <c r="F92" i="290"/>
  <c r="H91" i="290"/>
  <c r="G91" i="290"/>
  <c r="F91" i="290"/>
  <c r="H90" i="290"/>
  <c r="G90" i="290"/>
  <c r="F90" i="290"/>
  <c r="H89" i="290"/>
  <c r="G89" i="290"/>
  <c r="F89" i="290"/>
  <c r="H88" i="290"/>
  <c r="G88" i="290"/>
  <c r="F88" i="290"/>
  <c r="H87" i="290"/>
  <c r="G87" i="290"/>
  <c r="F87" i="290"/>
  <c r="H86" i="290"/>
  <c r="G86" i="290"/>
  <c r="F86" i="290"/>
  <c r="H85" i="290"/>
  <c r="G85" i="290"/>
  <c r="F85" i="290"/>
  <c r="H84" i="290"/>
  <c r="G84" i="290"/>
  <c r="F84" i="290"/>
  <c r="H83" i="290"/>
  <c r="G83" i="290"/>
  <c r="F83" i="290"/>
  <c r="H82" i="290"/>
  <c r="G82" i="290"/>
  <c r="F82" i="290"/>
  <c r="H81" i="290"/>
  <c r="G81" i="290"/>
  <c r="F81" i="290"/>
  <c r="H80" i="290"/>
  <c r="G80" i="290"/>
  <c r="F80" i="290"/>
  <c r="J29" i="295" s="1"/>
  <c r="H79" i="290"/>
  <c r="G79" i="290"/>
  <c r="F79" i="290"/>
  <c r="H78" i="290"/>
  <c r="G78" i="290"/>
  <c r="F78" i="290"/>
  <c r="H77" i="290"/>
  <c r="G77" i="290"/>
  <c r="F77" i="290"/>
  <c r="H76" i="290"/>
  <c r="G76" i="290"/>
  <c r="F76" i="290"/>
  <c r="H75" i="290"/>
  <c r="G75" i="290"/>
  <c r="F75" i="290"/>
  <c r="H74" i="290"/>
  <c r="G74" i="290"/>
  <c r="F74" i="290"/>
  <c r="H73" i="290"/>
  <c r="G73" i="290"/>
  <c r="F73" i="290"/>
  <c r="H72" i="290"/>
  <c r="G72" i="290"/>
  <c r="F72" i="290"/>
  <c r="H71" i="290"/>
  <c r="G71" i="290"/>
  <c r="F71" i="290"/>
  <c r="H70" i="290"/>
  <c r="G70" i="290"/>
  <c r="F70" i="290"/>
  <c r="H69" i="290"/>
  <c r="G69" i="290"/>
  <c r="F69" i="290"/>
  <c r="H68" i="290"/>
  <c r="G68" i="290"/>
  <c r="F68" i="290"/>
  <c r="H67" i="290"/>
  <c r="G67" i="290"/>
  <c r="F67" i="290"/>
  <c r="H66" i="290"/>
  <c r="G66" i="290"/>
  <c r="F66" i="290"/>
  <c r="H65" i="290"/>
  <c r="G65" i="290"/>
  <c r="F65" i="290"/>
  <c r="H64" i="290"/>
  <c r="G64" i="290"/>
  <c r="F64" i="290"/>
  <c r="H63" i="290"/>
  <c r="G63" i="290"/>
  <c r="F63" i="290"/>
  <c r="H62" i="290"/>
  <c r="G62" i="290"/>
  <c r="F62" i="290"/>
  <c r="H61" i="290"/>
  <c r="G61" i="290"/>
  <c r="F61" i="290"/>
  <c r="H60" i="290"/>
  <c r="G60" i="290"/>
  <c r="F60" i="290"/>
  <c r="H59" i="290"/>
  <c r="G59" i="290"/>
  <c r="F59" i="290"/>
  <c r="H58" i="290"/>
  <c r="G58" i="290"/>
  <c r="F58" i="290"/>
  <c r="H57" i="290"/>
  <c r="G57" i="290"/>
  <c r="F57" i="290"/>
  <c r="H56" i="290"/>
  <c r="G56" i="290"/>
  <c r="F56" i="290"/>
  <c r="H55" i="290"/>
  <c r="G55" i="290"/>
  <c r="F55" i="290"/>
  <c r="H54" i="290"/>
  <c r="G54" i="290"/>
  <c r="F54" i="290"/>
  <c r="H53" i="290"/>
  <c r="G53" i="290"/>
  <c r="F53" i="290"/>
  <c r="H52" i="290"/>
  <c r="G52" i="290"/>
  <c r="F52" i="290"/>
  <c r="H51" i="290"/>
  <c r="G51" i="290"/>
  <c r="F51" i="290"/>
  <c r="H50" i="290"/>
  <c r="G50" i="290"/>
  <c r="F50" i="290"/>
  <c r="H49" i="290"/>
  <c r="G49" i="290"/>
  <c r="F49" i="290"/>
  <c r="H48" i="290"/>
  <c r="G48" i="290"/>
  <c r="F48" i="290"/>
  <c r="H47" i="290"/>
  <c r="G47" i="290"/>
  <c r="F47" i="290"/>
  <c r="H46" i="290"/>
  <c r="G46" i="290"/>
  <c r="F46" i="290"/>
  <c r="H45" i="290"/>
  <c r="G45" i="290"/>
  <c r="F45" i="290"/>
  <c r="H44" i="290"/>
  <c r="G44" i="290"/>
  <c r="F44" i="290"/>
  <c r="H43" i="290"/>
  <c r="G43" i="290"/>
  <c r="F43" i="290"/>
  <c r="H42" i="290"/>
  <c r="G42" i="290"/>
  <c r="F42" i="290"/>
  <c r="H41" i="290"/>
  <c r="G41" i="290"/>
  <c r="F41" i="290"/>
  <c r="H40" i="290"/>
  <c r="G40" i="290"/>
  <c r="F40" i="290"/>
  <c r="H39" i="290"/>
  <c r="G39" i="290"/>
  <c r="F39" i="290"/>
  <c r="H38" i="290"/>
  <c r="G38" i="290"/>
  <c r="F38" i="290"/>
  <c r="H37" i="290"/>
  <c r="G37" i="290"/>
  <c r="F37" i="290"/>
  <c r="H36" i="290"/>
  <c r="G36" i="290"/>
  <c r="F36" i="290"/>
  <c r="H35" i="290"/>
  <c r="G35" i="290"/>
  <c r="F35" i="290"/>
  <c r="H34" i="290"/>
  <c r="G34" i="290"/>
  <c r="F34" i="290"/>
  <c r="H33" i="290"/>
  <c r="G33" i="290"/>
  <c r="F33" i="290"/>
  <c r="H32" i="290"/>
  <c r="G32" i="290"/>
  <c r="F32" i="290"/>
  <c r="J17" i="295" s="1"/>
  <c r="H31" i="290"/>
  <c r="G31" i="290"/>
  <c r="F31" i="290"/>
  <c r="H30" i="290"/>
  <c r="G30" i="290"/>
  <c r="F30" i="290"/>
  <c r="H29" i="290"/>
  <c r="G29" i="290"/>
  <c r="F29" i="290"/>
  <c r="H28" i="290"/>
  <c r="G28" i="290"/>
  <c r="F28" i="290"/>
  <c r="H27" i="290"/>
  <c r="G27" i="290"/>
  <c r="F27" i="290"/>
  <c r="H26" i="290"/>
  <c r="G26" i="290"/>
  <c r="F26" i="290"/>
  <c r="H25" i="290"/>
  <c r="G25" i="290"/>
  <c r="F25" i="290"/>
  <c r="H24" i="290"/>
  <c r="G24" i="290"/>
  <c r="F24" i="290"/>
  <c r="H23" i="290"/>
  <c r="G23" i="290"/>
  <c r="F23" i="290"/>
  <c r="H22" i="290"/>
  <c r="G22" i="290"/>
  <c r="F22" i="290"/>
  <c r="H21" i="290"/>
  <c r="G21" i="290"/>
  <c r="F21" i="290"/>
  <c r="H20" i="290"/>
  <c r="G20" i="290"/>
  <c r="F20" i="290"/>
  <c r="H19" i="290"/>
  <c r="G19" i="290"/>
  <c r="F19" i="290"/>
  <c r="H18" i="290"/>
  <c r="G18" i="290"/>
  <c r="F18" i="290"/>
  <c r="H17" i="290"/>
  <c r="G17" i="290"/>
  <c r="F17" i="290"/>
  <c r="H16" i="290"/>
  <c r="G16" i="290"/>
  <c r="F16" i="290"/>
  <c r="H15" i="290"/>
  <c r="G15" i="290"/>
  <c r="F15" i="290"/>
  <c r="H14" i="290"/>
  <c r="G14" i="290"/>
  <c r="F14" i="290"/>
  <c r="H13" i="290"/>
  <c r="G13" i="290"/>
  <c r="F13" i="290"/>
  <c r="H12" i="290"/>
  <c r="G12" i="290"/>
  <c r="F12" i="290"/>
  <c r="H11" i="290"/>
  <c r="G11" i="290"/>
  <c r="F11" i="290"/>
  <c r="H10" i="290"/>
  <c r="G10" i="290"/>
  <c r="F10" i="290"/>
  <c r="H9" i="290"/>
  <c r="G9" i="290"/>
  <c r="F9" i="290"/>
  <c r="H8" i="290"/>
  <c r="G8" i="290"/>
  <c r="F8" i="290"/>
  <c r="J13" i="295" s="1"/>
  <c r="H7" i="290"/>
  <c r="G7" i="290"/>
  <c r="F7" i="290"/>
  <c r="H6" i="290"/>
  <c r="G6" i="290"/>
  <c r="F6" i="290"/>
  <c r="A1" i="322"/>
  <c r="C7" i="321"/>
  <c r="A1" i="321"/>
  <c r="J25" i="295" l="1"/>
  <c r="L25" i="295"/>
  <c r="D102" i="295"/>
  <c r="L18" i="295"/>
  <c r="L64" i="295" s="1"/>
  <c r="K26" i="295"/>
  <c r="L26" i="295"/>
  <c r="L72" i="295" s="1"/>
  <c r="L16" i="295"/>
  <c r="J28" i="295"/>
  <c r="J74" i="295" s="1"/>
  <c r="J20" i="295"/>
  <c r="J66" i="295" s="1"/>
  <c r="P84" i="295"/>
  <c r="P130" i="295" s="1"/>
  <c r="P85" i="295"/>
  <c r="P131" i="295" s="1"/>
  <c r="P97" i="295"/>
  <c r="P143" i="295" s="1"/>
  <c r="P88" i="295"/>
  <c r="P134" i="295" s="1"/>
  <c r="P89" i="295"/>
  <c r="P135" i="295" s="1"/>
  <c r="P93" i="295"/>
  <c r="P139" i="295" s="1"/>
  <c r="Q87" i="295"/>
  <c r="Q133" i="295" s="1"/>
  <c r="Q91" i="295"/>
  <c r="Q137" i="295" s="1"/>
  <c r="Q95" i="295"/>
  <c r="Q141" i="295" s="1"/>
  <c r="L20" i="295"/>
  <c r="L66" i="295" s="1"/>
  <c r="J24" i="295"/>
  <c r="R85" i="295"/>
  <c r="R131" i="295" s="1"/>
  <c r="R89" i="295"/>
  <c r="R135" i="295" s="1"/>
  <c r="R91" i="295"/>
  <c r="R137" i="295" s="1"/>
  <c r="S85" i="295"/>
  <c r="S131" i="295" s="1"/>
  <c r="C194" i="309"/>
  <c r="R218" i="293"/>
  <c r="V204" i="293"/>
  <c r="U208" i="293"/>
  <c r="V212" i="293"/>
  <c r="U216" i="293"/>
  <c r="V217" i="277"/>
  <c r="C159" i="305"/>
  <c r="F159" i="305"/>
  <c r="R161" i="305" s="1"/>
  <c r="C110" i="309"/>
  <c r="C117" i="309"/>
  <c r="F124" i="309"/>
  <c r="P125" i="309" s="1"/>
  <c r="C103" i="309"/>
  <c r="F110" i="309"/>
  <c r="Q111" i="309" s="1"/>
  <c r="F117" i="309"/>
  <c r="S118" i="309" s="1"/>
  <c r="V201" i="277"/>
  <c r="V205" i="277"/>
  <c r="V209" i="277"/>
  <c r="V213" i="277"/>
  <c r="U122" i="295"/>
  <c r="R126" i="305"/>
  <c r="C152" i="305"/>
  <c r="D170" i="295"/>
  <c r="F17" i="48"/>
  <c r="F23" i="273" s="1"/>
  <c r="C110" i="305"/>
  <c r="V227" i="305"/>
  <c r="V140" i="293"/>
  <c r="C187" i="309"/>
  <c r="G231" i="309"/>
  <c r="C231" i="309" s="1"/>
  <c r="V190" i="295"/>
  <c r="D116" i="293"/>
  <c r="F116" i="293" s="1"/>
  <c r="D117" i="293" s="1"/>
  <c r="V53" i="295"/>
  <c r="V122" i="295"/>
  <c r="V174" i="295"/>
  <c r="U183" i="295"/>
  <c r="U176" i="295"/>
  <c r="D142" i="293"/>
  <c r="F142" i="293" s="1"/>
  <c r="D143" i="293" s="1"/>
  <c r="F180" i="305"/>
  <c r="P181" i="305" s="1"/>
  <c r="F159" i="309"/>
  <c r="Q161" i="309" s="1"/>
  <c r="U181" i="295"/>
  <c r="F166" i="305"/>
  <c r="P168" i="305" s="1"/>
  <c r="C187" i="305"/>
  <c r="J15" i="295"/>
  <c r="L28" i="295"/>
  <c r="C124" i="305"/>
  <c r="F208" i="305"/>
  <c r="S153" i="305"/>
  <c r="S84" i="295"/>
  <c r="S130" i="295" s="1"/>
  <c r="S96" i="295"/>
  <c r="S142" i="295" s="1"/>
  <c r="M82" i="295"/>
  <c r="M128" i="295" s="1"/>
  <c r="M85" i="295"/>
  <c r="M131" i="295" s="1"/>
  <c r="M86" i="295"/>
  <c r="M132" i="295" s="1"/>
  <c r="M191" i="295"/>
  <c r="S88" i="295"/>
  <c r="S134" i="295" s="1"/>
  <c r="P218" i="277"/>
  <c r="M89" i="295"/>
  <c r="M135" i="295" s="1"/>
  <c r="M93" i="295"/>
  <c r="M139" i="295" s="1"/>
  <c r="V62" i="277"/>
  <c r="G246" i="305"/>
  <c r="V227" i="309"/>
  <c r="J16" i="295"/>
  <c r="J19" i="295"/>
  <c r="J65" i="295" s="1"/>
  <c r="J23" i="295"/>
  <c r="N83" i="295"/>
  <c r="N129" i="295" s="1"/>
  <c r="N84" i="295"/>
  <c r="N130" i="295" s="1"/>
  <c r="N85" i="295"/>
  <c r="N131" i="295" s="1"/>
  <c r="N97" i="295"/>
  <c r="N143" i="295" s="1"/>
  <c r="N88" i="295"/>
  <c r="N134" i="295" s="1"/>
  <c r="N89" i="295"/>
  <c r="N135" i="295" s="1"/>
  <c r="N92" i="295"/>
  <c r="N138" i="295" s="1"/>
  <c r="N93" i="295"/>
  <c r="N139" i="295" s="1"/>
  <c r="N96" i="295"/>
  <c r="N142" i="295" s="1"/>
  <c r="D143" i="277"/>
  <c r="U217" i="277"/>
  <c r="U189" i="295"/>
  <c r="F110" i="305"/>
  <c r="P111" i="305" s="1"/>
  <c r="O125" i="305"/>
  <c r="K27" i="295"/>
  <c r="K73" i="295" s="1"/>
  <c r="V176" i="295"/>
  <c r="S92" i="295"/>
  <c r="S138" i="295" s="1"/>
  <c r="K15" i="295"/>
  <c r="K61" i="295" s="1"/>
  <c r="M97" i="295"/>
  <c r="M143" i="295" s="1"/>
  <c r="U212" i="293"/>
  <c r="K23" i="295"/>
  <c r="K69" i="295" s="1"/>
  <c r="V185" i="295"/>
  <c r="U140" i="293"/>
  <c r="P218" i="293"/>
  <c r="U204" i="293"/>
  <c r="V207" i="293"/>
  <c r="S125" i="305"/>
  <c r="F12" i="277"/>
  <c r="C13" i="277" s="1"/>
  <c r="S22" i="277" s="1"/>
  <c r="S74" i="277" s="1"/>
  <c r="D64" i="277"/>
  <c r="F64" i="277" s="1"/>
  <c r="D65" i="277" s="1"/>
  <c r="F90" i="277"/>
  <c r="D91" i="277" s="1"/>
  <c r="C142" i="277"/>
  <c r="V203" i="277"/>
  <c r="F9" i="295"/>
  <c r="C10" i="295" s="1"/>
  <c r="V182" i="295"/>
  <c r="V184" i="295"/>
  <c r="C131" i="305"/>
  <c r="C145" i="309"/>
  <c r="O82" i="295"/>
  <c r="O128" i="295" s="1"/>
  <c r="O86" i="295"/>
  <c r="O132" i="295" s="1"/>
  <c r="O90" i="295"/>
  <c r="O136" i="295" s="1"/>
  <c r="O98" i="295"/>
  <c r="O144" i="295" s="1"/>
  <c r="O94" i="295"/>
  <c r="O140" i="295" s="1"/>
  <c r="V140" i="277"/>
  <c r="J218" i="277"/>
  <c r="U201" i="277"/>
  <c r="D55" i="295"/>
  <c r="F55" i="295" s="1"/>
  <c r="D56" i="295" s="1"/>
  <c r="P191" i="295"/>
  <c r="F131" i="305"/>
  <c r="S132" i="305" s="1"/>
  <c r="P153" i="305"/>
  <c r="F187" i="305"/>
  <c r="R188" i="305" s="1"/>
  <c r="U227" i="305"/>
  <c r="F145" i="309"/>
  <c r="Q146" i="309" s="1"/>
  <c r="C152" i="309"/>
  <c r="C201" i="309"/>
  <c r="P82" i="295"/>
  <c r="P128" i="295" s="1"/>
  <c r="P86" i="295"/>
  <c r="P132" i="295" s="1"/>
  <c r="P90" i="295"/>
  <c r="P136" i="295" s="1"/>
  <c r="P98" i="295"/>
  <c r="P144" i="295" s="1"/>
  <c r="P94" i="295"/>
  <c r="P140" i="295" s="1"/>
  <c r="U205" i="277"/>
  <c r="V189" i="295"/>
  <c r="K218" i="293"/>
  <c r="C266" i="309"/>
  <c r="F14" i="48"/>
  <c r="I14" i="48" s="1" a="1"/>
  <c r="I14" i="48" s="1"/>
  <c r="L218" i="277"/>
  <c r="U209" i="277"/>
  <c r="Q218" i="277"/>
  <c r="U175" i="295"/>
  <c r="V183" i="295"/>
  <c r="U62" i="293"/>
  <c r="G286" i="305"/>
  <c r="C286" i="305" s="1"/>
  <c r="R82" i="295"/>
  <c r="R128" i="295" s="1"/>
  <c r="R86" i="295"/>
  <c r="R132" i="295" s="1"/>
  <c r="R90" i="295"/>
  <c r="R136" i="295" s="1"/>
  <c r="R98" i="295"/>
  <c r="R144" i="295" s="1"/>
  <c r="R94" i="295"/>
  <c r="R140" i="295" s="1"/>
  <c r="U62" i="277"/>
  <c r="U140" i="277"/>
  <c r="M218" i="277"/>
  <c r="V204" i="277"/>
  <c r="U213" i="277"/>
  <c r="U177" i="295"/>
  <c r="V62" i="293"/>
  <c r="C116" i="293"/>
  <c r="V208" i="293"/>
  <c r="J218" i="293"/>
  <c r="V211" i="293"/>
  <c r="V216" i="293"/>
  <c r="C194" i="305"/>
  <c r="U227" i="309"/>
  <c r="F29" i="273"/>
  <c r="N218" i="277"/>
  <c r="V208" i="277"/>
  <c r="U182" i="295"/>
  <c r="C103" i="305"/>
  <c r="D116" i="277"/>
  <c r="F116" i="277" s="1"/>
  <c r="D117" i="277" s="1"/>
  <c r="V212" i="277"/>
  <c r="N191" i="295"/>
  <c r="U185" i="295"/>
  <c r="V215" i="293"/>
  <c r="F103" i="305"/>
  <c r="L71" i="295"/>
  <c r="K72" i="295"/>
  <c r="J4" i="309"/>
  <c r="J4" i="305"/>
  <c r="J4" i="293"/>
  <c r="J4" i="296"/>
  <c r="J4" i="277"/>
  <c r="J4" i="278"/>
  <c r="J4" i="295"/>
  <c r="E2" i="304"/>
  <c r="E2" i="309"/>
  <c r="E2" i="305"/>
  <c r="E2" i="293"/>
  <c r="E2" i="295"/>
  <c r="E2" i="296"/>
  <c r="E2" i="277"/>
  <c r="E2" i="278"/>
  <c r="V206" i="277"/>
  <c r="U206" i="277"/>
  <c r="K21" i="295"/>
  <c r="L21" i="295"/>
  <c r="J21" i="295"/>
  <c r="L97" i="295"/>
  <c r="L143" i="295" s="1"/>
  <c r="L93" i="295"/>
  <c r="L139" i="295" s="1"/>
  <c r="L89" i="295"/>
  <c r="L135" i="295" s="1"/>
  <c r="L85" i="295"/>
  <c r="L131" i="295" s="1"/>
  <c r="K97" i="295"/>
  <c r="K143" i="295" s="1"/>
  <c r="K93" i="295"/>
  <c r="K139" i="295" s="1"/>
  <c r="K89" i="295"/>
  <c r="K135" i="295" s="1"/>
  <c r="K85" i="295"/>
  <c r="K131" i="295" s="1"/>
  <c r="L98" i="295"/>
  <c r="L144" i="295" s="1"/>
  <c r="J97" i="295"/>
  <c r="J143" i="295" s="1"/>
  <c r="L94" i="295"/>
  <c r="L140" i="295" s="1"/>
  <c r="J93" i="295"/>
  <c r="J139" i="295" s="1"/>
  <c r="L90" i="295"/>
  <c r="L136" i="295" s="1"/>
  <c r="J89" i="295"/>
  <c r="J135" i="295" s="1"/>
  <c r="L86" i="295"/>
  <c r="L132" i="295" s="1"/>
  <c r="C124" i="295"/>
  <c r="L96" i="295"/>
  <c r="L142" i="295" s="1"/>
  <c r="J95" i="295"/>
  <c r="J141" i="295" s="1"/>
  <c r="J90" i="295"/>
  <c r="J136" i="295" s="1"/>
  <c r="L84" i="295"/>
  <c r="L130" i="295" s="1"/>
  <c r="L82" i="295"/>
  <c r="K96" i="295"/>
  <c r="K142" i="295" s="1"/>
  <c r="J85" i="295"/>
  <c r="J131" i="295" s="1"/>
  <c r="K84" i="295"/>
  <c r="K130" i="295" s="1"/>
  <c r="J82" i="295"/>
  <c r="L92" i="295"/>
  <c r="L138" i="295" s="1"/>
  <c r="J91" i="295"/>
  <c r="J137" i="295" s="1"/>
  <c r="J86" i="295"/>
  <c r="J132" i="295" s="1"/>
  <c r="C101" i="295"/>
  <c r="K92" i="295"/>
  <c r="K138" i="295" s="1"/>
  <c r="L87" i="295"/>
  <c r="L133" i="295" s="1"/>
  <c r="J98" i="295"/>
  <c r="J144" i="295" s="1"/>
  <c r="L88" i="295"/>
  <c r="L134" i="295" s="1"/>
  <c r="J87" i="295"/>
  <c r="J133" i="295" s="1"/>
  <c r="K88" i="295"/>
  <c r="K134" i="295" s="1"/>
  <c r="J94" i="295"/>
  <c r="J140" i="295" s="1"/>
  <c r="L95" i="295"/>
  <c r="L141" i="295" s="1"/>
  <c r="J62" i="295"/>
  <c r="J12" i="273"/>
  <c r="J13" i="273" s="1"/>
  <c r="I6" i="48"/>
  <c r="D39" i="277"/>
  <c r="C39" i="277"/>
  <c r="V210" i="277"/>
  <c r="U210" i="277"/>
  <c r="R83" i="295"/>
  <c r="R129" i="295" s="1"/>
  <c r="K9" i="273"/>
  <c r="K7" i="48"/>
  <c r="O218" i="277"/>
  <c r="V214" i="277"/>
  <c r="U214" i="277"/>
  <c r="R95" i="295"/>
  <c r="R141" i="295" s="1"/>
  <c r="L7" i="48"/>
  <c r="P10" i="293"/>
  <c r="P10" i="277"/>
  <c r="K218" i="277"/>
  <c r="S218" i="277"/>
  <c r="V216" i="277"/>
  <c r="D33" i="295"/>
  <c r="C33" i="295"/>
  <c r="J59" i="295"/>
  <c r="E3" i="304"/>
  <c r="E3" i="309"/>
  <c r="E3" i="305"/>
  <c r="E3" i="293"/>
  <c r="E3" i="296"/>
  <c r="E3" i="277"/>
  <c r="E3" i="278"/>
  <c r="J63" i="295"/>
  <c r="J70" i="295"/>
  <c r="V207" i="277"/>
  <c r="E4" i="304"/>
  <c r="E4" i="309"/>
  <c r="E4" i="305"/>
  <c r="E4" i="293"/>
  <c r="E4" i="296"/>
  <c r="E4" i="277"/>
  <c r="E4" i="278"/>
  <c r="E4" i="295"/>
  <c r="F19" i="48"/>
  <c r="I19" i="48" s="1" a="1"/>
  <c r="I19" i="48" s="1"/>
  <c r="F18" i="48"/>
  <c r="I18" i="48" s="1" a="1"/>
  <c r="I18" i="48" s="1"/>
  <c r="P32" i="277"/>
  <c r="C143" i="277"/>
  <c r="V211" i="277"/>
  <c r="L62" i="295"/>
  <c r="J75" i="295"/>
  <c r="J73" i="295"/>
  <c r="J61" i="295"/>
  <c r="J71" i="295"/>
  <c r="I13" i="48" a="1"/>
  <c r="I13" i="48" s="1"/>
  <c r="V202" i="277"/>
  <c r="U202" i="277"/>
  <c r="V215" i="277"/>
  <c r="Q89" i="295"/>
  <c r="Q135" i="295" s="1"/>
  <c r="S94" i="295"/>
  <c r="S140" i="295" s="1"/>
  <c r="V179" i="295"/>
  <c r="U179" i="295"/>
  <c r="H2" i="304"/>
  <c r="H2" i="309"/>
  <c r="H2" i="305"/>
  <c r="H2" i="293"/>
  <c r="H2" i="296"/>
  <c r="Q10" i="293"/>
  <c r="U204" i="277"/>
  <c r="U208" i="277"/>
  <c r="U212" i="277"/>
  <c r="U216" i="277"/>
  <c r="R218" i="277"/>
  <c r="H2" i="295"/>
  <c r="J22" i="295"/>
  <c r="Q83" i="295"/>
  <c r="Q129" i="295" s="1"/>
  <c r="R88" i="295"/>
  <c r="R134" i="295" s="1"/>
  <c r="V175" i="295"/>
  <c r="U184" i="295"/>
  <c r="V186" i="295"/>
  <c r="U186" i="295"/>
  <c r="R10" i="293"/>
  <c r="K17" i="295"/>
  <c r="K22" i="295"/>
  <c r="N98" i="295"/>
  <c r="N144" i="295" s="1"/>
  <c r="P87" i="295"/>
  <c r="P133" i="295" s="1"/>
  <c r="O87" i="295"/>
  <c r="N87" i="295"/>
  <c r="N133" i="295" s="1"/>
  <c r="M87" i="295"/>
  <c r="M133" i="295" s="1"/>
  <c r="S87" i="295"/>
  <c r="S133" i="295" s="1"/>
  <c r="K87" i="295"/>
  <c r="K133" i="295" s="1"/>
  <c r="Q93" i="295"/>
  <c r="Q139" i="295" s="1"/>
  <c r="S98" i="295"/>
  <c r="S144" i="295" s="1"/>
  <c r="O191" i="295"/>
  <c r="V177" i="295"/>
  <c r="V181" i="295"/>
  <c r="S10" i="293"/>
  <c r="U203" i="277"/>
  <c r="U207" i="277"/>
  <c r="U211" i="277"/>
  <c r="U215" i="277"/>
  <c r="J18" i="295"/>
  <c r="L22" i="295"/>
  <c r="U53" i="295"/>
  <c r="D79" i="295"/>
  <c r="R92" i="295"/>
  <c r="R138" i="295" s="1"/>
  <c r="D125" i="295"/>
  <c r="V178" i="295"/>
  <c r="U178" i="295"/>
  <c r="V188" i="295"/>
  <c r="D91" i="293"/>
  <c r="K13" i="295"/>
  <c r="L17" i="295"/>
  <c r="K18" i="295"/>
  <c r="K29" i="295"/>
  <c r="S86" i="295"/>
  <c r="S132" i="295" s="1"/>
  <c r="P91" i="295"/>
  <c r="P137" i="295" s="1"/>
  <c r="O91" i="295"/>
  <c r="N91" i="295"/>
  <c r="N137" i="295" s="1"/>
  <c r="M91" i="295"/>
  <c r="M137" i="295" s="1"/>
  <c r="S91" i="295"/>
  <c r="S137" i="295" s="1"/>
  <c r="K91" i="295"/>
  <c r="K137" i="295" s="1"/>
  <c r="Q97" i="295"/>
  <c r="Q143" i="295" s="1"/>
  <c r="Q191" i="295"/>
  <c r="C38" i="277"/>
  <c r="D194" i="277"/>
  <c r="J14" i="295"/>
  <c r="S82" i="295"/>
  <c r="P83" i="295"/>
  <c r="P129" i="295" s="1"/>
  <c r="O83" i="295"/>
  <c r="M83" i="295"/>
  <c r="M129" i="295" s="1"/>
  <c r="S83" i="295"/>
  <c r="S129" i="295" s="1"/>
  <c r="K83" i="295"/>
  <c r="K129" i="295" s="1"/>
  <c r="R84" i="295"/>
  <c r="R130" i="295" s="1"/>
  <c r="Q85" i="295"/>
  <c r="Q131" i="295" s="1"/>
  <c r="R96" i="295"/>
  <c r="R142" i="295" s="1"/>
  <c r="J191" i="295"/>
  <c r="R191" i="295"/>
  <c r="L191" i="295"/>
  <c r="V180" i="295"/>
  <c r="D38" i="293"/>
  <c r="F38" i="293" s="1"/>
  <c r="F12" i="293"/>
  <c r="D64" i="293"/>
  <c r="F64" i="293" s="1"/>
  <c r="H2" i="277"/>
  <c r="Q10" i="277"/>
  <c r="L27" i="295"/>
  <c r="L23" i="295"/>
  <c r="L19" i="295"/>
  <c r="L15" i="295"/>
  <c r="C55" i="295"/>
  <c r="L13" i="295"/>
  <c r="K14" i="295"/>
  <c r="K19" i="295"/>
  <c r="L24" i="295"/>
  <c r="K25" i="295"/>
  <c r="L29" i="295"/>
  <c r="J83" i="295"/>
  <c r="J129" i="295" s="1"/>
  <c r="R87" i="295"/>
  <c r="R133" i="295" s="1"/>
  <c r="S90" i="295"/>
  <c r="S136" i="295" s="1"/>
  <c r="L91" i="295"/>
  <c r="L137" i="295" s="1"/>
  <c r="P95" i="295"/>
  <c r="P141" i="295" s="1"/>
  <c r="O95" i="295"/>
  <c r="N95" i="295"/>
  <c r="N141" i="295" s="1"/>
  <c r="M95" i="295"/>
  <c r="M141" i="295" s="1"/>
  <c r="S95" i="295"/>
  <c r="S141" i="295" s="1"/>
  <c r="K95" i="295"/>
  <c r="K141" i="295" s="1"/>
  <c r="K191" i="295"/>
  <c r="S191" i="295"/>
  <c r="V187" i="295"/>
  <c r="U187" i="295"/>
  <c r="U190" i="295"/>
  <c r="C91" i="293"/>
  <c r="M108" i="293" s="1"/>
  <c r="M160" i="293" s="1"/>
  <c r="M68" i="309" s="1"/>
  <c r="M288" i="309" s="1"/>
  <c r="S218" i="293"/>
  <c r="V203" i="293"/>
  <c r="O10" i="293"/>
  <c r="L14" i="295"/>
  <c r="J26" i="295"/>
  <c r="L83" i="295"/>
  <c r="L129" i="295" s="1"/>
  <c r="Q82" i="295"/>
  <c r="M84" i="295"/>
  <c r="M130" i="295" s="1"/>
  <c r="O85" i="295"/>
  <c r="Q86" i="295"/>
  <c r="Q132" i="295" s="1"/>
  <c r="M88" i="295"/>
  <c r="M134" i="295" s="1"/>
  <c r="O89" i="295"/>
  <c r="Q90" i="295"/>
  <c r="Q136" i="295" s="1"/>
  <c r="M92" i="295"/>
  <c r="M138" i="295" s="1"/>
  <c r="O93" i="295"/>
  <c r="Q94" i="295"/>
  <c r="Q140" i="295" s="1"/>
  <c r="M96" i="295"/>
  <c r="M142" i="295" s="1"/>
  <c r="O97" i="295"/>
  <c r="Q98" i="295"/>
  <c r="Q144" i="295" s="1"/>
  <c r="U174" i="295"/>
  <c r="M218" i="293"/>
  <c r="V217" i="293"/>
  <c r="U217" i="293"/>
  <c r="K16" i="295"/>
  <c r="K20" i="295"/>
  <c r="K24" i="295"/>
  <c r="K28" i="295"/>
  <c r="K82" i="295"/>
  <c r="O84" i="295"/>
  <c r="K86" i="295"/>
  <c r="K132" i="295" s="1"/>
  <c r="O88" i="295"/>
  <c r="K90" i="295"/>
  <c r="K136" i="295" s="1"/>
  <c r="O92" i="295"/>
  <c r="K94" i="295"/>
  <c r="K140" i="295" s="1"/>
  <c r="O96" i="295"/>
  <c r="K98" i="295"/>
  <c r="K144" i="295" s="1"/>
  <c r="D101" i="295"/>
  <c r="U180" i="295"/>
  <c r="U188" i="295"/>
  <c r="P92" i="295"/>
  <c r="P138" i="295" s="1"/>
  <c r="R93" i="295"/>
  <c r="R139" i="295" s="1"/>
  <c r="P96" i="295"/>
  <c r="P142" i="295" s="1"/>
  <c r="R97" i="295"/>
  <c r="R143" i="295" s="1"/>
  <c r="D220" i="293"/>
  <c r="D194" i="293"/>
  <c r="Q84" i="295"/>
  <c r="Q130" i="295" s="1"/>
  <c r="Q88" i="295"/>
  <c r="Q134" i="295" s="1"/>
  <c r="S89" i="295"/>
  <c r="S135" i="295" s="1"/>
  <c r="M90" i="295"/>
  <c r="M136" i="295" s="1"/>
  <c r="Q92" i="295"/>
  <c r="Q138" i="295" s="1"/>
  <c r="S93" i="295"/>
  <c r="S139" i="295" s="1"/>
  <c r="M94" i="295"/>
  <c r="M140" i="295" s="1"/>
  <c r="Q96" i="295"/>
  <c r="Q142" i="295" s="1"/>
  <c r="S97" i="295"/>
  <c r="S143" i="295" s="1"/>
  <c r="M98" i="295"/>
  <c r="M144" i="295" s="1"/>
  <c r="N82" i="295"/>
  <c r="J84" i="295"/>
  <c r="J130" i="295" s="1"/>
  <c r="N86" i="295"/>
  <c r="N132" i="295" s="1"/>
  <c r="J88" i="295"/>
  <c r="J134" i="295" s="1"/>
  <c r="N90" i="295"/>
  <c r="N136" i="295" s="1"/>
  <c r="J92" i="295"/>
  <c r="J138" i="295" s="1"/>
  <c r="J207" i="295" s="1"/>
  <c r="J46" i="296" s="1"/>
  <c r="N94" i="295"/>
  <c r="N140" i="295" s="1"/>
  <c r="J96" i="295"/>
  <c r="J142" i="295" s="1"/>
  <c r="L218" i="293"/>
  <c r="V202" i="293"/>
  <c r="U202" i="293"/>
  <c r="V209" i="293"/>
  <c r="U209" i="293"/>
  <c r="U211" i="293"/>
  <c r="V214" i="293"/>
  <c r="U214" i="293"/>
  <c r="C38" i="293"/>
  <c r="N218" i="293"/>
  <c r="V201" i="293"/>
  <c r="U201" i="293"/>
  <c r="O218" i="293"/>
  <c r="U203" i="293"/>
  <c r="V206" i="293"/>
  <c r="U206" i="293"/>
  <c r="V213" i="293"/>
  <c r="U213" i="293"/>
  <c r="U215" i="293"/>
  <c r="Q218" i="293"/>
  <c r="V205" i="293"/>
  <c r="U205" i="293"/>
  <c r="U207" i="293"/>
  <c r="V210" i="293"/>
  <c r="U210" i="293"/>
  <c r="O140" i="305"/>
  <c r="S139" i="305"/>
  <c r="R139" i="305"/>
  <c r="S140" i="305"/>
  <c r="P139" i="305"/>
  <c r="R140" i="305"/>
  <c r="O139" i="305"/>
  <c r="P140" i="305"/>
  <c r="Q139" i="305"/>
  <c r="G241" i="305"/>
  <c r="F117" i="305"/>
  <c r="C117" i="305"/>
  <c r="Q140" i="305"/>
  <c r="O126" i="309"/>
  <c r="S125" i="309"/>
  <c r="R125" i="309"/>
  <c r="Q125" i="309"/>
  <c r="S126" i="309"/>
  <c r="R126" i="309"/>
  <c r="O125" i="309"/>
  <c r="Q126" i="309"/>
  <c r="P126" i="309"/>
  <c r="C276" i="305"/>
  <c r="F201" i="305"/>
  <c r="G301" i="305"/>
  <c r="C201" i="305"/>
  <c r="Q154" i="305"/>
  <c r="P154" i="305"/>
  <c r="O154" i="305"/>
  <c r="R153" i="305"/>
  <c r="Q153" i="305"/>
  <c r="F173" i="305"/>
  <c r="G281" i="305"/>
  <c r="C173" i="305"/>
  <c r="F296" i="305"/>
  <c r="C296" i="305"/>
  <c r="F271" i="305"/>
  <c r="C271" i="305"/>
  <c r="O153" i="305"/>
  <c r="C236" i="305"/>
  <c r="G311" i="305"/>
  <c r="F215" i="305"/>
  <c r="C215" i="305"/>
  <c r="C222" i="305"/>
  <c r="G316" i="305"/>
  <c r="G256" i="305"/>
  <c r="C138" i="305"/>
  <c r="F231" i="305"/>
  <c r="C231" i="305"/>
  <c r="R125" i="305"/>
  <c r="Q125" i="305"/>
  <c r="S126" i="305"/>
  <c r="P125" i="305"/>
  <c r="Q126" i="305"/>
  <c r="P126" i="305"/>
  <c r="F145" i="305"/>
  <c r="G261" i="305"/>
  <c r="C145" i="305"/>
  <c r="S154" i="305"/>
  <c r="S168" i="305"/>
  <c r="P167" i="305"/>
  <c r="R168" i="305"/>
  <c r="O167" i="305"/>
  <c r="Q168" i="305"/>
  <c r="O168" i="305"/>
  <c r="F251" i="305"/>
  <c r="C251" i="305"/>
  <c r="F194" i="305"/>
  <c r="C306" i="305"/>
  <c r="C166" i="305"/>
  <c r="C208" i="305"/>
  <c r="G286" i="309"/>
  <c r="C180" i="309"/>
  <c r="F180" i="309"/>
  <c r="Q104" i="309"/>
  <c r="S105" i="309"/>
  <c r="P104" i="309"/>
  <c r="R105" i="309"/>
  <c r="O104" i="309"/>
  <c r="Q105" i="309"/>
  <c r="P105" i="309"/>
  <c r="O105" i="309"/>
  <c r="S104" i="309"/>
  <c r="G251" i="309"/>
  <c r="F131" i="309"/>
  <c r="C131" i="309"/>
  <c r="G311" i="309"/>
  <c r="F215" i="309"/>
  <c r="C215" i="309"/>
  <c r="G266" i="305"/>
  <c r="R104" i="309"/>
  <c r="F291" i="309"/>
  <c r="C291" i="309"/>
  <c r="C291" i="305"/>
  <c r="C256" i="309"/>
  <c r="F256" i="309"/>
  <c r="F246" i="309"/>
  <c r="C246" i="309"/>
  <c r="O210" i="309"/>
  <c r="S209" i="309"/>
  <c r="Q209" i="309"/>
  <c r="S210" i="309"/>
  <c r="P209" i="309"/>
  <c r="F241" i="309"/>
  <c r="C241" i="309"/>
  <c r="F173" i="309"/>
  <c r="C173" i="309"/>
  <c r="G281" i="309"/>
  <c r="F187" i="309"/>
  <c r="G306" i="309"/>
  <c r="C208" i="309"/>
  <c r="F236" i="309"/>
  <c r="C236" i="309"/>
  <c r="O209" i="309"/>
  <c r="P118" i="309"/>
  <c r="C159" i="309"/>
  <c r="F166" i="309"/>
  <c r="R209" i="309"/>
  <c r="C138" i="309"/>
  <c r="R160" i="309"/>
  <c r="P210" i="309"/>
  <c r="F138" i="309"/>
  <c r="F152" i="309"/>
  <c r="F271" i="309"/>
  <c r="C271" i="309"/>
  <c r="S161" i="309"/>
  <c r="Q210" i="309"/>
  <c r="C124" i="309"/>
  <c r="R147" i="309"/>
  <c r="Q147" i="309"/>
  <c r="R210" i="309"/>
  <c r="F261" i="309"/>
  <c r="C261" i="309"/>
  <c r="G276" i="309"/>
  <c r="F201" i="309"/>
  <c r="C222" i="309"/>
  <c r="F301" i="309"/>
  <c r="C301" i="309"/>
  <c r="F222" i="309"/>
  <c r="F316" i="309"/>
  <c r="F194" i="309"/>
  <c r="F296" i="309"/>
  <c r="C296" i="309"/>
  <c r="O160" i="305" l="1"/>
  <c r="O31" i="277"/>
  <c r="S19" i="277"/>
  <c r="Q20" i="277"/>
  <c r="R111" i="305"/>
  <c r="Q167" i="305"/>
  <c r="N26" i="277"/>
  <c r="S33" i="277"/>
  <c r="S167" i="305"/>
  <c r="Q31" i="277"/>
  <c r="O22" i="277"/>
  <c r="R27" i="277"/>
  <c r="R79" i="277" s="1"/>
  <c r="R26" i="277"/>
  <c r="M29" i="277"/>
  <c r="O20" i="277"/>
  <c r="I17" i="48" a="1"/>
  <c r="I17" i="48" s="1"/>
  <c r="J209" i="295"/>
  <c r="J48" i="296" s="1"/>
  <c r="D10" i="295"/>
  <c r="P132" i="305"/>
  <c r="O132" i="305"/>
  <c r="C143" i="293"/>
  <c r="P161" i="305"/>
  <c r="R160" i="305"/>
  <c r="P160" i="305"/>
  <c r="Q160" i="305"/>
  <c r="J200" i="295"/>
  <c r="J39" i="296" s="1"/>
  <c r="Q161" i="305"/>
  <c r="O161" i="305"/>
  <c r="S160" i="305"/>
  <c r="M33" i="277"/>
  <c r="M85" i="277" s="1"/>
  <c r="P161" i="309"/>
  <c r="P112" i="309"/>
  <c r="P119" i="309"/>
  <c r="Q27" i="277"/>
  <c r="Q30" i="277"/>
  <c r="R25" i="277"/>
  <c r="R77" i="277" s="1"/>
  <c r="P20" i="277"/>
  <c r="O19" i="277"/>
  <c r="O35" i="277"/>
  <c r="R28" i="277"/>
  <c r="R80" i="277" s="1"/>
  <c r="O30" i="277"/>
  <c r="O82" i="277" s="1"/>
  <c r="R31" i="277"/>
  <c r="R30" i="277"/>
  <c r="Q29" i="277"/>
  <c r="Q81" i="277" s="1"/>
  <c r="O29" i="277"/>
  <c r="O81" i="277" s="1"/>
  <c r="N33" i="277"/>
  <c r="N85" i="277" s="1"/>
  <c r="R21" i="277"/>
  <c r="P111" i="309"/>
  <c r="Q34" i="277"/>
  <c r="Q118" i="309"/>
  <c r="R119" i="309"/>
  <c r="S24" i="277"/>
  <c r="S76" i="277" s="1"/>
  <c r="S23" i="277"/>
  <c r="S25" i="277"/>
  <c r="S77" i="277" s="1"/>
  <c r="N23" i="277"/>
  <c r="N75" i="277" s="1"/>
  <c r="M22" i="277"/>
  <c r="M74" i="277" s="1"/>
  <c r="P19" i="277"/>
  <c r="P71" i="277" s="1"/>
  <c r="N30" i="277"/>
  <c r="O34" i="277"/>
  <c r="P34" i="277"/>
  <c r="P86" i="277" s="1"/>
  <c r="N32" i="277"/>
  <c r="N84" i="277" s="1"/>
  <c r="S27" i="277"/>
  <c r="S79" i="277" s="1"/>
  <c r="J155" i="295"/>
  <c r="P29" i="277"/>
  <c r="Q33" i="277"/>
  <c r="Q85" i="277" s="1"/>
  <c r="O33" i="277"/>
  <c r="S21" i="277"/>
  <c r="S30" i="277"/>
  <c r="S82" i="277" s="1"/>
  <c r="S67" i="305" s="1"/>
  <c r="D13" i="277"/>
  <c r="S160" i="309"/>
  <c r="S28" i="277"/>
  <c r="S80" i="277" s="1"/>
  <c r="Q23" i="277"/>
  <c r="Q75" i="277" s="1"/>
  <c r="M25" i="277"/>
  <c r="M77" i="277" s="1"/>
  <c r="P24" i="277"/>
  <c r="O23" i="277"/>
  <c r="R20" i="277"/>
  <c r="R72" i="277" s="1"/>
  <c r="P31" i="277"/>
  <c r="P83" i="277" s="1"/>
  <c r="R19" i="277"/>
  <c r="R71" i="277" s="1"/>
  <c r="R35" i="277"/>
  <c r="R87" i="277" s="1"/>
  <c r="R34" i="277"/>
  <c r="R86" i="277" s="1"/>
  <c r="M20" i="277"/>
  <c r="S31" i="277"/>
  <c r="P33" i="277"/>
  <c r="S35" i="277"/>
  <c r="S87" i="277" s="1"/>
  <c r="M21" i="277"/>
  <c r="M73" i="277" s="1"/>
  <c r="S26" i="277"/>
  <c r="S78" i="277" s="1"/>
  <c r="S47" i="305" s="1"/>
  <c r="M23" i="277"/>
  <c r="M75" i="277" s="1"/>
  <c r="M32" i="305" s="1"/>
  <c r="P160" i="309"/>
  <c r="R118" i="309"/>
  <c r="Q112" i="309"/>
  <c r="S20" i="277"/>
  <c r="Q32" i="277"/>
  <c r="Q84" i="277" s="1"/>
  <c r="C56" i="295"/>
  <c r="L154" i="295"/>
  <c r="N25" i="277"/>
  <c r="N77" i="277" s="1"/>
  <c r="N27" i="277"/>
  <c r="N79" i="277" s="1"/>
  <c r="M26" i="277"/>
  <c r="M78" i="277" s="1"/>
  <c r="N22" i="277"/>
  <c r="R32" i="277"/>
  <c r="P22" i="277"/>
  <c r="N20" i="277"/>
  <c r="N72" i="277" s="1"/>
  <c r="M24" i="277"/>
  <c r="M76" i="277" s="1"/>
  <c r="M28" i="277"/>
  <c r="M80" i="277" s="1"/>
  <c r="N21" i="277"/>
  <c r="S34" i="277"/>
  <c r="S86" i="277" s="1"/>
  <c r="S87" i="305" s="1"/>
  <c r="R111" i="309"/>
  <c r="M27" i="277"/>
  <c r="M34" i="277"/>
  <c r="M86" i="277" s="1"/>
  <c r="N28" i="277"/>
  <c r="O160" i="309"/>
  <c r="O118" i="309"/>
  <c r="O161" i="309"/>
  <c r="C117" i="293"/>
  <c r="Q35" i="277"/>
  <c r="Q19" i="277"/>
  <c r="Q28" i="277"/>
  <c r="Q80" i="277" s="1"/>
  <c r="L200" i="295"/>
  <c r="L39" i="296" s="1"/>
  <c r="O25" i="277"/>
  <c r="O77" i="277" s="1"/>
  <c r="P28" i="277"/>
  <c r="P80" i="277" s="1"/>
  <c r="O27" i="277"/>
  <c r="O79" i="277" s="1"/>
  <c r="P23" i="277"/>
  <c r="P75" i="277" s="1"/>
  <c r="N34" i="277"/>
  <c r="R23" i="277"/>
  <c r="R22" i="277"/>
  <c r="R74" i="277" s="1"/>
  <c r="J208" i="295"/>
  <c r="J47" i="296" s="1"/>
  <c r="J70" i="296" s="1"/>
  <c r="R29" i="277"/>
  <c r="R81" i="277" s="1"/>
  <c r="Q22" i="277"/>
  <c r="Q74" i="277" s="1"/>
  <c r="Q26" i="277"/>
  <c r="Q78" i="277" s="1"/>
  <c r="O21" i="277"/>
  <c r="O73" i="277" s="1"/>
  <c r="M31" i="277"/>
  <c r="M83" i="277" s="1"/>
  <c r="Q25" i="277"/>
  <c r="Q77" i="277" s="1"/>
  <c r="M32" i="277"/>
  <c r="M84" i="277" s="1"/>
  <c r="N19" i="277"/>
  <c r="N71" i="277" s="1"/>
  <c r="N35" i="277"/>
  <c r="N87" i="277" s="1"/>
  <c r="P27" i="277"/>
  <c r="P79" i="277" s="1"/>
  <c r="O26" i="277"/>
  <c r="P30" i="277"/>
  <c r="P82" i="277" s="1"/>
  <c r="N29" i="277"/>
  <c r="R161" i="309"/>
  <c r="S119" i="309"/>
  <c r="Q119" i="309"/>
  <c r="S32" i="277"/>
  <c r="Q24" i="277"/>
  <c r="Q76" i="277" s="1"/>
  <c r="J163" i="295"/>
  <c r="P25" i="277"/>
  <c r="P77" i="277" s="1"/>
  <c r="N31" i="277"/>
  <c r="M30" i="277"/>
  <c r="R24" i="277"/>
  <c r="P35" i="277"/>
  <c r="P26" i="277"/>
  <c r="P78" i="277" s="1"/>
  <c r="N24" i="277"/>
  <c r="N76" i="277" s="1"/>
  <c r="J162" i="295"/>
  <c r="S29" i="277"/>
  <c r="S81" i="277" s="1"/>
  <c r="R33" i="277"/>
  <c r="Q21" i="277"/>
  <c r="P21" i="277"/>
  <c r="P73" i="277" s="1"/>
  <c r="M19" i="277"/>
  <c r="M71" i="277" s="1"/>
  <c r="M12" i="305" s="1"/>
  <c r="S161" i="305"/>
  <c r="S99" i="293"/>
  <c r="S151" i="293" s="1"/>
  <c r="S23" i="309" s="1"/>
  <c r="J204" i="295"/>
  <c r="J43" i="296" s="1"/>
  <c r="K211" i="295"/>
  <c r="K50" i="296" s="1"/>
  <c r="O101" i="293"/>
  <c r="O119" i="309"/>
  <c r="O28" i="277"/>
  <c r="O80" i="277" s="1"/>
  <c r="O57" i="305" s="1"/>
  <c r="J167" i="295"/>
  <c r="C65" i="277"/>
  <c r="O104" i="293"/>
  <c r="S112" i="309"/>
  <c r="O112" i="309"/>
  <c r="R112" i="309"/>
  <c r="O111" i="309"/>
  <c r="S188" i="305"/>
  <c r="N112" i="293"/>
  <c r="N164" i="293" s="1"/>
  <c r="N88" i="309" s="1"/>
  <c r="N308" i="309" s="1"/>
  <c r="R108" i="293"/>
  <c r="R160" i="293" s="1"/>
  <c r="R68" i="309" s="1"/>
  <c r="R288" i="309" s="1"/>
  <c r="J212" i="295"/>
  <c r="J51" i="296" s="1"/>
  <c r="J74" i="296" s="1"/>
  <c r="S111" i="309"/>
  <c r="M35" i="277"/>
  <c r="M87" i="277" s="1"/>
  <c r="M92" i="305" s="1"/>
  <c r="J166" i="295"/>
  <c r="Q181" i="305"/>
  <c r="Q112" i="305"/>
  <c r="R112" i="305"/>
  <c r="R181" i="305"/>
  <c r="S181" i="305"/>
  <c r="P112" i="305"/>
  <c r="R167" i="305"/>
  <c r="Q133" i="305"/>
  <c r="S112" i="305"/>
  <c r="O111" i="305"/>
  <c r="R133" i="305"/>
  <c r="O112" i="305"/>
  <c r="Q132" i="305"/>
  <c r="O181" i="305"/>
  <c r="R132" i="305"/>
  <c r="F231" i="309"/>
  <c r="Q160" i="309"/>
  <c r="O32" i="277"/>
  <c r="O84" i="277" s="1"/>
  <c r="O77" i="305" s="1"/>
  <c r="R102" i="293"/>
  <c r="R154" i="293" s="1"/>
  <c r="R38" i="309" s="1"/>
  <c r="J201" i="295"/>
  <c r="J40" i="296" s="1"/>
  <c r="O24" i="277"/>
  <c r="O76" i="277" s="1"/>
  <c r="O37" i="305" s="1"/>
  <c r="P103" i="293"/>
  <c r="P155" i="293" s="1"/>
  <c r="P43" i="309" s="1"/>
  <c r="L166" i="295"/>
  <c r="F286" i="305"/>
  <c r="C91" i="277"/>
  <c r="P112" i="277" s="1"/>
  <c r="L74" i="295"/>
  <c r="L212" i="295" s="1"/>
  <c r="L51" i="296" s="1"/>
  <c r="L74" i="296" s="1"/>
  <c r="L210" i="295"/>
  <c r="L49" i="296" s="1"/>
  <c r="J154" i="295"/>
  <c r="C246" i="305"/>
  <c r="F246" i="305"/>
  <c r="P101" i="293"/>
  <c r="P153" i="293" s="1"/>
  <c r="P33" i="309" s="1"/>
  <c r="L158" i="295"/>
  <c r="C117" i="277"/>
  <c r="V218" i="277"/>
  <c r="U82" i="295"/>
  <c r="L202" i="295"/>
  <c r="L41" i="296" s="1"/>
  <c r="L164" i="295"/>
  <c r="S111" i="305"/>
  <c r="Q111" i="305"/>
  <c r="S17" i="295"/>
  <c r="S63" i="295" s="1"/>
  <c r="S201" i="295" s="1"/>
  <c r="S40" i="296" s="1"/>
  <c r="R18" i="295"/>
  <c r="R64" i="295" s="1"/>
  <c r="R202" i="295" s="1"/>
  <c r="R41" i="296" s="1"/>
  <c r="P22" i="295"/>
  <c r="P160" i="295" s="1"/>
  <c r="M17" i="295"/>
  <c r="M63" i="295" s="1"/>
  <c r="M201" i="295" s="1"/>
  <c r="M40" i="296" s="1"/>
  <c r="Q22" i="295"/>
  <c r="Q68" i="295" s="1"/>
  <c r="Q206" i="295" s="1"/>
  <c r="Q45" i="296" s="1"/>
  <c r="Q26" i="295"/>
  <c r="Q164" i="295" s="1"/>
  <c r="P14" i="295"/>
  <c r="P152" i="295" s="1"/>
  <c r="Q19" i="295"/>
  <c r="Q157" i="295" s="1"/>
  <c r="P25" i="295"/>
  <c r="P71" i="295" s="1"/>
  <c r="P209" i="295" s="1"/>
  <c r="P48" i="296" s="1"/>
  <c r="Q16" i="295"/>
  <c r="Q62" i="295" s="1"/>
  <c r="Q200" i="295" s="1"/>
  <c r="Q39" i="296" s="1"/>
  <c r="M22" i="295"/>
  <c r="M68" i="295" s="1"/>
  <c r="M206" i="295" s="1"/>
  <c r="M45" i="296" s="1"/>
  <c r="Q14" i="295"/>
  <c r="Q152" i="295" s="1"/>
  <c r="R22" i="295"/>
  <c r="R68" i="295" s="1"/>
  <c r="R206" i="295" s="1"/>
  <c r="R45" i="296" s="1"/>
  <c r="O18" i="295"/>
  <c r="O64" i="295" s="1"/>
  <c r="N22" i="295"/>
  <c r="N160" i="295" s="1"/>
  <c r="Q15" i="295"/>
  <c r="Q153" i="295" s="1"/>
  <c r="M25" i="295"/>
  <c r="M71" i="295" s="1"/>
  <c r="M209" i="295" s="1"/>
  <c r="M48" i="296" s="1"/>
  <c r="Q20" i="295"/>
  <c r="Q66" i="295" s="1"/>
  <c r="Q204" i="295" s="1"/>
  <c r="Q43" i="296" s="1"/>
  <c r="S28" i="295"/>
  <c r="S74" i="295" s="1"/>
  <c r="S212" i="295" s="1"/>
  <c r="S51" i="296" s="1"/>
  <c r="M14" i="295"/>
  <c r="M60" i="295" s="1"/>
  <c r="M198" i="295" s="1"/>
  <c r="M37" i="296" s="1"/>
  <c r="Q23" i="295"/>
  <c r="Q161" i="295" s="1"/>
  <c r="M18" i="295"/>
  <c r="M64" i="295" s="1"/>
  <c r="M202" i="295" s="1"/>
  <c r="M41" i="296" s="1"/>
  <c r="P13" i="295"/>
  <c r="P151" i="295" s="1"/>
  <c r="S24" i="295"/>
  <c r="S162" i="295" s="1"/>
  <c r="O17" i="295"/>
  <c r="O155" i="295" s="1"/>
  <c r="S25" i="295"/>
  <c r="S163" i="295" s="1"/>
  <c r="S22" i="295"/>
  <c r="S68" i="295" s="1"/>
  <c r="S206" i="295" s="1"/>
  <c r="S45" i="296" s="1"/>
  <c r="Q24" i="295"/>
  <c r="Q70" i="295" s="1"/>
  <c r="Q208" i="295" s="1"/>
  <c r="Q47" i="296" s="1"/>
  <c r="S13" i="295"/>
  <c r="S59" i="295" s="1"/>
  <c r="M29" i="295"/>
  <c r="M167" i="295" s="1"/>
  <c r="S21" i="295"/>
  <c r="S67" i="295" s="1"/>
  <c r="S205" i="295" s="1"/>
  <c r="S44" i="296" s="1"/>
  <c r="O22" i="295"/>
  <c r="O160" i="295" s="1"/>
  <c r="N26" i="295"/>
  <c r="N72" i="295" s="1"/>
  <c r="N210" i="295" s="1"/>
  <c r="N49" i="296" s="1"/>
  <c r="M13" i="295"/>
  <c r="M151" i="295" s="1"/>
  <c r="P29" i="295"/>
  <c r="P167" i="295" s="1"/>
  <c r="R14" i="295"/>
  <c r="R152" i="295" s="1"/>
  <c r="N18" i="295"/>
  <c r="N64" i="295" s="1"/>
  <c r="N202" i="295" s="1"/>
  <c r="N41" i="296" s="1"/>
  <c r="R26" i="295"/>
  <c r="R164" i="295" s="1"/>
  <c r="Q28" i="295"/>
  <c r="Q74" i="295" s="1"/>
  <c r="Q212" i="295" s="1"/>
  <c r="Q51" i="296" s="1"/>
  <c r="P17" i="295"/>
  <c r="S29" i="295"/>
  <c r="S167" i="295" s="1"/>
  <c r="O14" i="295"/>
  <c r="O60" i="295" s="1"/>
  <c r="S20" i="295"/>
  <c r="S158" i="295" s="1"/>
  <c r="O26" i="295"/>
  <c r="O72" i="295" s="1"/>
  <c r="M26" i="295"/>
  <c r="M72" i="295" s="1"/>
  <c r="M210" i="295" s="1"/>
  <c r="M49" i="296" s="1"/>
  <c r="O146" i="309"/>
  <c r="P113" i="293"/>
  <c r="P165" i="293" s="1"/>
  <c r="P93" i="309" s="1"/>
  <c r="M112" i="293"/>
  <c r="M164" i="293" s="1"/>
  <c r="M88" i="309" s="1"/>
  <c r="M308" i="309" s="1"/>
  <c r="P104" i="293"/>
  <c r="P156" i="293" s="1"/>
  <c r="P48" i="309" s="1"/>
  <c r="P156" i="309" s="1"/>
  <c r="P268" i="309" s="1"/>
  <c r="Q110" i="293"/>
  <c r="Q162" i="293" s="1"/>
  <c r="Q78" i="309" s="1"/>
  <c r="Q298" i="309" s="1"/>
  <c r="R103" i="293"/>
  <c r="R155" i="293" s="1"/>
  <c r="R43" i="309" s="1"/>
  <c r="R149" i="309" s="1"/>
  <c r="R263" i="309" s="1"/>
  <c r="J213" i="295"/>
  <c r="J52" i="296" s="1"/>
  <c r="K161" i="295"/>
  <c r="J30" i="295"/>
  <c r="P147" i="309"/>
  <c r="P146" i="309"/>
  <c r="P97" i="293"/>
  <c r="P149" i="293" s="1"/>
  <c r="Q98" i="293"/>
  <c r="Q150" i="293" s="1"/>
  <c r="Q18" i="309" s="1"/>
  <c r="Q114" i="309" s="1"/>
  <c r="Q238" i="309" s="1"/>
  <c r="O112" i="293"/>
  <c r="O164" i="293" s="1"/>
  <c r="M99" i="293"/>
  <c r="M151" i="293" s="1"/>
  <c r="M23" i="309" s="1"/>
  <c r="M243" i="309" s="1"/>
  <c r="M100" i="293"/>
  <c r="M152" i="293" s="1"/>
  <c r="M28" i="309" s="1"/>
  <c r="M248" i="309" s="1"/>
  <c r="J158" i="295"/>
  <c r="K165" i="295"/>
  <c r="R146" i="309"/>
  <c r="O97" i="293"/>
  <c r="P112" i="293"/>
  <c r="P164" i="293" s="1"/>
  <c r="P88" i="309" s="1"/>
  <c r="P212" i="309" s="1"/>
  <c r="P308" i="309" s="1"/>
  <c r="N99" i="293"/>
  <c r="N151" i="293" s="1"/>
  <c r="N23" i="309" s="1"/>
  <c r="N243" i="309" s="1"/>
  <c r="R111" i="293"/>
  <c r="R163" i="293" s="1"/>
  <c r="R83" i="309" s="1"/>
  <c r="R303" i="309" s="1"/>
  <c r="N100" i="293"/>
  <c r="N152" i="293" s="1"/>
  <c r="N28" i="309" s="1"/>
  <c r="N248" i="309" s="1"/>
  <c r="O99" i="295"/>
  <c r="Q99" i="277"/>
  <c r="Q151" i="277" s="1"/>
  <c r="Q23" i="305" s="1"/>
  <c r="O188" i="305"/>
  <c r="Q188" i="305"/>
  <c r="P188" i="305"/>
  <c r="S146" i="309"/>
  <c r="S107" i="293"/>
  <c r="S159" i="293" s="1"/>
  <c r="S63" i="309" s="1"/>
  <c r="S283" i="309" s="1"/>
  <c r="N111" i="293"/>
  <c r="N163" i="293" s="1"/>
  <c r="N83" i="309" s="1"/>
  <c r="N303" i="309" s="1"/>
  <c r="U218" i="277"/>
  <c r="Q105" i="293"/>
  <c r="Q157" i="293" s="1"/>
  <c r="Q53" i="309" s="1"/>
  <c r="Q163" i="309" s="1"/>
  <c r="Q273" i="309" s="1"/>
  <c r="M107" i="293"/>
  <c r="M159" i="293" s="1"/>
  <c r="M63" i="309" s="1"/>
  <c r="M283" i="309" s="1"/>
  <c r="P111" i="293"/>
  <c r="P163" i="293" s="1"/>
  <c r="P83" i="309" s="1"/>
  <c r="P303" i="309" s="1"/>
  <c r="S133" i="305"/>
  <c r="P133" i="305"/>
  <c r="O133" i="305"/>
  <c r="S147" i="309"/>
  <c r="O147" i="309"/>
  <c r="Q101" i="293"/>
  <c r="Q153" i="293" s="1"/>
  <c r="Q33" i="309" s="1"/>
  <c r="N104" i="293"/>
  <c r="N156" i="293" s="1"/>
  <c r="N48" i="309" s="1"/>
  <c r="N268" i="309" s="1"/>
  <c r="K199" i="295"/>
  <c r="K38" i="296" s="1"/>
  <c r="K61" i="296" s="1"/>
  <c r="O153" i="293"/>
  <c r="K128" i="295"/>
  <c r="K145" i="295" s="1"/>
  <c r="K99" i="295"/>
  <c r="N110" i="293"/>
  <c r="N162" i="293" s="1"/>
  <c r="N78" i="309" s="1"/>
  <c r="N298" i="309" s="1"/>
  <c r="N106" i="293"/>
  <c r="N158" i="293" s="1"/>
  <c r="N58" i="309" s="1"/>
  <c r="N278" i="309" s="1"/>
  <c r="N102" i="293"/>
  <c r="N154" i="293" s="1"/>
  <c r="N38" i="309" s="1"/>
  <c r="N258" i="309" s="1"/>
  <c r="N98" i="293"/>
  <c r="N150" i="293" s="1"/>
  <c r="N18" i="309" s="1"/>
  <c r="N238" i="309" s="1"/>
  <c r="R113" i="293"/>
  <c r="R165" i="293" s="1"/>
  <c r="R93" i="309" s="1"/>
  <c r="R109" i="293"/>
  <c r="R161" i="293" s="1"/>
  <c r="R73" i="309" s="1"/>
  <c r="R293" i="309" s="1"/>
  <c r="R105" i="293"/>
  <c r="R157" i="293" s="1"/>
  <c r="R53" i="309" s="1"/>
  <c r="R163" i="309" s="1"/>
  <c r="R273" i="309" s="1"/>
  <c r="R101" i="293"/>
  <c r="R153" i="293" s="1"/>
  <c r="R33" i="309" s="1"/>
  <c r="R97" i="293"/>
  <c r="S110" i="293"/>
  <c r="S162" i="293" s="1"/>
  <c r="S78" i="309" s="1"/>
  <c r="S298" i="309" s="1"/>
  <c r="S106" i="293"/>
  <c r="S158" i="293" s="1"/>
  <c r="S58" i="309" s="1"/>
  <c r="S102" i="293"/>
  <c r="S154" i="293" s="1"/>
  <c r="S38" i="309" s="1"/>
  <c r="S98" i="293"/>
  <c r="S150" i="293" s="1"/>
  <c r="S18" i="309" s="1"/>
  <c r="R110" i="293"/>
  <c r="R162" i="293" s="1"/>
  <c r="R78" i="309" s="1"/>
  <c r="R298" i="309" s="1"/>
  <c r="R106" i="293"/>
  <c r="R158" i="293" s="1"/>
  <c r="R58" i="309" s="1"/>
  <c r="N113" i="293"/>
  <c r="N165" i="293" s="1"/>
  <c r="N93" i="309" s="1"/>
  <c r="N313" i="309" s="1"/>
  <c r="P110" i="293"/>
  <c r="P162" i="293" s="1"/>
  <c r="P78" i="309" s="1"/>
  <c r="P298" i="309" s="1"/>
  <c r="N109" i="293"/>
  <c r="N161" i="293" s="1"/>
  <c r="N73" i="309" s="1"/>
  <c r="N293" i="309" s="1"/>
  <c r="P106" i="293"/>
  <c r="P158" i="293" s="1"/>
  <c r="P58" i="309" s="1"/>
  <c r="N105" i="293"/>
  <c r="N157" i="293" s="1"/>
  <c r="N53" i="309" s="1"/>
  <c r="N273" i="309" s="1"/>
  <c r="P102" i="293"/>
  <c r="P154" i="293" s="1"/>
  <c r="P38" i="309" s="1"/>
  <c r="N101" i="293"/>
  <c r="N153" i="293" s="1"/>
  <c r="N33" i="309" s="1"/>
  <c r="N253" i="309" s="1"/>
  <c r="P98" i="293"/>
  <c r="P150" i="293" s="1"/>
  <c r="P18" i="309" s="1"/>
  <c r="N97" i="293"/>
  <c r="O110" i="293"/>
  <c r="O107" i="293"/>
  <c r="O102" i="293"/>
  <c r="O99" i="293"/>
  <c r="S113" i="293"/>
  <c r="S165" i="293" s="1"/>
  <c r="S93" i="309" s="1"/>
  <c r="M110" i="293"/>
  <c r="M162" i="293" s="1"/>
  <c r="M78" i="309" s="1"/>
  <c r="M298" i="309" s="1"/>
  <c r="S105" i="293"/>
  <c r="S157" i="293" s="1"/>
  <c r="S53" i="309" s="1"/>
  <c r="S163" i="309" s="1"/>
  <c r="S273" i="309" s="1"/>
  <c r="M102" i="293"/>
  <c r="M154" i="293" s="1"/>
  <c r="M38" i="309" s="1"/>
  <c r="M258" i="309" s="1"/>
  <c r="S97" i="293"/>
  <c r="M113" i="293"/>
  <c r="M165" i="293" s="1"/>
  <c r="M93" i="309" s="1"/>
  <c r="M313" i="309" s="1"/>
  <c r="S108" i="293"/>
  <c r="S160" i="293" s="1"/>
  <c r="S68" i="309" s="1"/>
  <c r="S288" i="309" s="1"/>
  <c r="M105" i="293"/>
  <c r="M157" i="293" s="1"/>
  <c r="M53" i="309" s="1"/>
  <c r="M273" i="309" s="1"/>
  <c r="S100" i="293"/>
  <c r="S152" i="293" s="1"/>
  <c r="S28" i="309" s="1"/>
  <c r="S128" i="309" s="1"/>
  <c r="S248" i="309" s="1"/>
  <c r="M97" i="293"/>
  <c r="Q111" i="293"/>
  <c r="Q163" i="293" s="1"/>
  <c r="Q83" i="309" s="1"/>
  <c r="Q303" i="309" s="1"/>
  <c r="Q108" i="293"/>
  <c r="Q160" i="293" s="1"/>
  <c r="Q68" i="309" s="1"/>
  <c r="Q288" i="309" s="1"/>
  <c r="Q103" i="293"/>
  <c r="Q155" i="293" s="1"/>
  <c r="Q43" i="309" s="1"/>
  <c r="Q149" i="309" s="1"/>
  <c r="Q263" i="309" s="1"/>
  <c r="Q100" i="293"/>
  <c r="Q152" i="293" s="1"/>
  <c r="Q28" i="309" s="1"/>
  <c r="Q128" i="309" s="1"/>
  <c r="Q248" i="309" s="1"/>
  <c r="S109" i="293"/>
  <c r="S161" i="293" s="1"/>
  <c r="S73" i="309" s="1"/>
  <c r="S293" i="309" s="1"/>
  <c r="M106" i="293"/>
  <c r="M158" i="293" s="1"/>
  <c r="M58" i="309" s="1"/>
  <c r="M278" i="309" s="1"/>
  <c r="S101" i="293"/>
  <c r="S153" i="293" s="1"/>
  <c r="S33" i="309" s="1"/>
  <c r="M98" i="293"/>
  <c r="M150" i="293" s="1"/>
  <c r="M18" i="309" s="1"/>
  <c r="M238" i="309" s="1"/>
  <c r="O111" i="293"/>
  <c r="Q99" i="293"/>
  <c r="Q151" i="293" s="1"/>
  <c r="Q23" i="309" s="1"/>
  <c r="O106" i="293"/>
  <c r="M101" i="293"/>
  <c r="M153" i="293" s="1"/>
  <c r="M33" i="309" s="1"/>
  <c r="M253" i="309" s="1"/>
  <c r="O103" i="293"/>
  <c r="O98" i="293"/>
  <c r="S112" i="293"/>
  <c r="S164" i="293" s="1"/>
  <c r="S88" i="309" s="1"/>
  <c r="S212" i="309" s="1"/>
  <c r="S308" i="309" s="1"/>
  <c r="Q112" i="293"/>
  <c r="Q164" i="293" s="1"/>
  <c r="Q88" i="309" s="1"/>
  <c r="Q212" i="309" s="1"/>
  <c r="Q308" i="309" s="1"/>
  <c r="Q107" i="293"/>
  <c r="Q159" i="293" s="1"/>
  <c r="Q63" i="309" s="1"/>
  <c r="Q283" i="309" s="1"/>
  <c r="S104" i="293"/>
  <c r="S156" i="293" s="1"/>
  <c r="S48" i="309" s="1"/>
  <c r="S156" i="309" s="1"/>
  <c r="S268" i="309" s="1"/>
  <c r="M109" i="293"/>
  <c r="M161" i="293" s="1"/>
  <c r="M73" i="309" s="1"/>
  <c r="M293" i="309" s="1"/>
  <c r="Q104" i="293"/>
  <c r="Q156" i="293" s="1"/>
  <c r="Q48" i="309" s="1"/>
  <c r="Q156" i="309" s="1"/>
  <c r="Q268" i="309" s="1"/>
  <c r="L167" i="295"/>
  <c r="L75" i="295"/>
  <c r="L213" i="295" s="1"/>
  <c r="L52" i="296" s="1"/>
  <c r="K157" i="295"/>
  <c r="K65" i="295"/>
  <c r="K203" i="295" s="1"/>
  <c r="K42" i="296" s="1"/>
  <c r="L157" i="295"/>
  <c r="L65" i="295"/>
  <c r="L203" i="295" s="1"/>
  <c r="L42" i="296" s="1"/>
  <c r="C65" i="293"/>
  <c r="D65" i="293"/>
  <c r="K160" i="295"/>
  <c r="K68" i="295"/>
  <c r="K206" i="295" s="1"/>
  <c r="K45" i="296" s="1"/>
  <c r="F7" i="48"/>
  <c r="M107" i="277"/>
  <c r="M159" i="277" s="1"/>
  <c r="N82" i="277"/>
  <c r="O86" i="277"/>
  <c r="P100" i="277"/>
  <c r="P152" i="277" s="1"/>
  <c r="N104" i="277"/>
  <c r="N156" i="277" s="1"/>
  <c r="Q113" i="277"/>
  <c r="Q165" i="277" s="1"/>
  <c r="U94" i="295"/>
  <c r="V132" i="295"/>
  <c r="U132" i="295"/>
  <c r="N108" i="277"/>
  <c r="N160" i="277" s="1"/>
  <c r="J99" i="295"/>
  <c r="J128" i="295"/>
  <c r="J145" i="295" s="1"/>
  <c r="S73" i="277"/>
  <c r="M99" i="295"/>
  <c r="F281" i="309"/>
  <c r="C281" i="309"/>
  <c r="O156" i="293"/>
  <c r="O142" i="295"/>
  <c r="V96" i="295"/>
  <c r="U96" i="295"/>
  <c r="K74" i="295"/>
  <c r="K212" i="295" s="1"/>
  <c r="K51" i="296" s="1"/>
  <c r="K74" i="296" s="1"/>
  <c r="K166" i="295"/>
  <c r="U97" i="295"/>
  <c r="O143" i="295"/>
  <c r="V97" i="295"/>
  <c r="L60" i="295"/>
  <c r="L198" i="295" s="1"/>
  <c r="L37" i="296" s="1"/>
  <c r="L152" i="295"/>
  <c r="K71" i="295"/>
  <c r="K209" i="295" s="1"/>
  <c r="K48" i="296" s="1"/>
  <c r="K163" i="295"/>
  <c r="L161" i="295"/>
  <c r="L69" i="295"/>
  <c r="L207" i="295" s="1"/>
  <c r="L46" i="296" s="1"/>
  <c r="D13" i="293"/>
  <c r="C13" i="293"/>
  <c r="K156" i="295"/>
  <c r="K64" i="295"/>
  <c r="K202" i="295" s="1"/>
  <c r="K41" i="296" s="1"/>
  <c r="Q79" i="277"/>
  <c r="R98" i="293"/>
  <c r="R150" i="293" s="1"/>
  <c r="R18" i="309" s="1"/>
  <c r="R114" i="309" s="1"/>
  <c r="R238" i="309" s="1"/>
  <c r="K155" i="295"/>
  <c r="K63" i="295"/>
  <c r="K201" i="295" s="1"/>
  <c r="K40" i="296" s="1"/>
  <c r="J199" i="295"/>
  <c r="J38" i="296" s="1"/>
  <c r="J61" i="296" s="1"/>
  <c r="Q105" i="277"/>
  <c r="Q157" i="277" s="1"/>
  <c r="P76" i="277"/>
  <c r="O75" i="277"/>
  <c r="R100" i="277"/>
  <c r="R152" i="277" s="1"/>
  <c r="Q86" i="277"/>
  <c r="N28" i="295"/>
  <c r="N24" i="295"/>
  <c r="N20" i="295"/>
  <c r="N16" i="295"/>
  <c r="O27" i="295"/>
  <c r="O23" i="295"/>
  <c r="O19" i="295"/>
  <c r="O15" i="295"/>
  <c r="N29" i="295"/>
  <c r="P28" i="295"/>
  <c r="S27" i="295"/>
  <c r="M24" i="295"/>
  <c r="P23" i="295"/>
  <c r="M19" i="295"/>
  <c r="P18" i="295"/>
  <c r="Q17" i="295"/>
  <c r="N13" i="295"/>
  <c r="O28" i="295"/>
  <c r="R27" i="295"/>
  <c r="N23" i="295"/>
  <c r="R16" i="295"/>
  <c r="M28" i="295"/>
  <c r="P27" i="295"/>
  <c r="S26" i="295"/>
  <c r="M23" i="295"/>
  <c r="N17" i="295"/>
  <c r="P16" i="295"/>
  <c r="S15" i="295"/>
  <c r="N27" i="295"/>
  <c r="R25" i="295"/>
  <c r="R20" i="295"/>
  <c r="O16" i="295"/>
  <c r="R15" i="295"/>
  <c r="M27" i="295"/>
  <c r="P26" i="295"/>
  <c r="Q25" i="295"/>
  <c r="P20" i="295"/>
  <c r="S19" i="295"/>
  <c r="M16" i="295"/>
  <c r="P15" i="295"/>
  <c r="R29" i="295"/>
  <c r="O25" i="295"/>
  <c r="R24" i="295"/>
  <c r="O20" i="295"/>
  <c r="R19" i="295"/>
  <c r="N15" i="295"/>
  <c r="R13" i="295"/>
  <c r="Q29" i="295"/>
  <c r="N25" i="295"/>
  <c r="P24" i="295"/>
  <c r="S23" i="295"/>
  <c r="M20" i="295"/>
  <c r="P19" i="295"/>
  <c r="S18" i="295"/>
  <c r="M15" i="295"/>
  <c r="Q13" i="295"/>
  <c r="R23" i="295"/>
  <c r="R28" i="295"/>
  <c r="R17" i="295"/>
  <c r="N14" i="295"/>
  <c r="N19" i="295"/>
  <c r="O24" i="295"/>
  <c r="O13" i="295"/>
  <c r="O29" i="295"/>
  <c r="Q18" i="295"/>
  <c r="J151" i="295"/>
  <c r="O104" i="277"/>
  <c r="S106" i="277"/>
  <c r="S158" i="277" s="1"/>
  <c r="V94" i="295"/>
  <c r="U86" i="295"/>
  <c r="J159" i="295"/>
  <c r="J67" i="295"/>
  <c r="J205" i="295" s="1"/>
  <c r="J44" i="296" s="1"/>
  <c r="M21" i="295"/>
  <c r="D39" i="293"/>
  <c r="C39" i="293"/>
  <c r="K167" i="295"/>
  <c r="K75" i="295"/>
  <c r="K213" i="295" s="1"/>
  <c r="K52" i="296" s="1"/>
  <c r="L155" i="295"/>
  <c r="L63" i="295"/>
  <c r="L201" i="295" s="1"/>
  <c r="L40" i="296" s="1"/>
  <c r="V87" i="295"/>
  <c r="U87" i="295"/>
  <c r="O133" i="295"/>
  <c r="R113" i="277"/>
  <c r="R165" i="277" s="1"/>
  <c r="N111" i="277"/>
  <c r="N163" i="277" s="1"/>
  <c r="R109" i="277"/>
  <c r="R161" i="277" s="1"/>
  <c r="N107" i="277"/>
  <c r="N159" i="277" s="1"/>
  <c r="R105" i="277"/>
  <c r="R157" i="277" s="1"/>
  <c r="N103" i="277"/>
  <c r="N155" i="277" s="1"/>
  <c r="R101" i="277"/>
  <c r="R153" i="277" s="1"/>
  <c r="N99" i="277"/>
  <c r="N151" i="277" s="1"/>
  <c r="R97" i="277"/>
  <c r="P113" i="277"/>
  <c r="P165" i="277" s="1"/>
  <c r="R110" i="277"/>
  <c r="R162" i="277" s="1"/>
  <c r="P109" i="277"/>
  <c r="P161" i="277" s="1"/>
  <c r="R106" i="277"/>
  <c r="R158" i="277" s="1"/>
  <c r="P105" i="277"/>
  <c r="P157" i="277" s="1"/>
  <c r="R102" i="277"/>
  <c r="R154" i="277" s="1"/>
  <c r="P101" i="277"/>
  <c r="P153" i="277" s="1"/>
  <c r="R98" i="277"/>
  <c r="R150" i="277" s="1"/>
  <c r="P97" i="277"/>
  <c r="O113" i="277"/>
  <c r="O109" i="277"/>
  <c r="O187" i="277" s="1"/>
  <c r="O105" i="277"/>
  <c r="O101" i="277"/>
  <c r="O179" i="277" s="1"/>
  <c r="O97" i="277"/>
  <c r="N113" i="277"/>
  <c r="N165" i="277" s="1"/>
  <c r="R111" i="277"/>
  <c r="R163" i="277" s="1"/>
  <c r="P110" i="277"/>
  <c r="P162" i="277" s="1"/>
  <c r="N109" i="277"/>
  <c r="N161" i="277" s="1"/>
  <c r="R107" i="277"/>
  <c r="R159" i="277" s="1"/>
  <c r="P106" i="277"/>
  <c r="P158" i="277" s="1"/>
  <c r="N105" i="277"/>
  <c r="N157" i="277" s="1"/>
  <c r="R103" i="277"/>
  <c r="R155" i="277" s="1"/>
  <c r="P102" i="277"/>
  <c r="P154" i="277" s="1"/>
  <c r="N101" i="277"/>
  <c r="N153" i="277" s="1"/>
  <c r="R99" i="277"/>
  <c r="R151" i="277" s="1"/>
  <c r="P98" i="277"/>
  <c r="P150" i="277" s="1"/>
  <c r="N97" i="277"/>
  <c r="M113" i="277"/>
  <c r="O110" i="277"/>
  <c r="M109" i="277"/>
  <c r="O106" i="277"/>
  <c r="M105" i="277"/>
  <c r="M157" i="277" s="1"/>
  <c r="O102" i="277"/>
  <c r="M101" i="277"/>
  <c r="O98" i="277"/>
  <c r="O176" i="277" s="1"/>
  <c r="M97" i="277"/>
  <c r="P111" i="277"/>
  <c r="P163" i="277" s="1"/>
  <c r="N110" i="277"/>
  <c r="N162" i="277" s="1"/>
  <c r="P107" i="277"/>
  <c r="P159" i="277" s="1"/>
  <c r="N106" i="277"/>
  <c r="N158" i="277" s="1"/>
  <c r="P103" i="277"/>
  <c r="P155" i="277" s="1"/>
  <c r="N102" i="277"/>
  <c r="N154" i="277" s="1"/>
  <c r="P99" i="277"/>
  <c r="P151" i="277" s="1"/>
  <c r="N98" i="277"/>
  <c r="N150" i="277" s="1"/>
  <c r="O107" i="277"/>
  <c r="M98" i="277"/>
  <c r="M150" i="277" s="1"/>
  <c r="S109" i="277"/>
  <c r="S161" i="277" s="1"/>
  <c r="Q100" i="277"/>
  <c r="Q152" i="277" s="1"/>
  <c r="O111" i="277"/>
  <c r="O189" i="277" s="1"/>
  <c r="M102" i="277"/>
  <c r="M154" i="277" s="1"/>
  <c r="S113" i="277"/>
  <c r="S165" i="277" s="1"/>
  <c r="Q104" i="277"/>
  <c r="Q156" i="277" s="1"/>
  <c r="S97" i="277"/>
  <c r="S175" i="277" s="1"/>
  <c r="M106" i="277"/>
  <c r="M158" i="277" s="1"/>
  <c r="O99" i="277"/>
  <c r="Q108" i="277"/>
  <c r="Q160" i="277" s="1"/>
  <c r="S101" i="277"/>
  <c r="S153" i="277" s="1"/>
  <c r="M110" i="277"/>
  <c r="M162" i="277" s="1"/>
  <c r="O103" i="277"/>
  <c r="Q112" i="277"/>
  <c r="Q164" i="277" s="1"/>
  <c r="S105" i="277"/>
  <c r="S157" i="277" s="1"/>
  <c r="N112" i="277"/>
  <c r="N164" i="277" s="1"/>
  <c r="J153" i="295"/>
  <c r="S98" i="277"/>
  <c r="S150" i="277" s="1"/>
  <c r="N74" i="277"/>
  <c r="R84" i="277"/>
  <c r="F30" i="273"/>
  <c r="F24" i="273"/>
  <c r="P104" i="277"/>
  <c r="P156" i="277" s="1"/>
  <c r="M99" i="277"/>
  <c r="M151" i="277" s="1"/>
  <c r="U98" i="295"/>
  <c r="V86" i="295"/>
  <c r="P108" i="277"/>
  <c r="P160" i="277" s="1"/>
  <c r="L159" i="295"/>
  <c r="L67" i="295"/>
  <c r="L205" i="295" s="1"/>
  <c r="L44" i="296" s="1"/>
  <c r="P21" i="295"/>
  <c r="Q42" i="305"/>
  <c r="S27" i="305"/>
  <c r="F261" i="305"/>
  <c r="C261" i="305"/>
  <c r="F311" i="305"/>
  <c r="C311" i="305"/>
  <c r="K70" i="295"/>
  <c r="K208" i="295" s="1"/>
  <c r="K47" i="296" s="1"/>
  <c r="K70" i="296" s="1"/>
  <c r="K162" i="295"/>
  <c r="V95" i="295"/>
  <c r="U95" i="295"/>
  <c r="O141" i="295"/>
  <c r="F301" i="305"/>
  <c r="C301" i="305"/>
  <c r="V92" i="295"/>
  <c r="O138" i="295"/>
  <c r="U92" i="295"/>
  <c r="J60" i="295"/>
  <c r="J198" i="295" s="1"/>
  <c r="J37" i="296" s="1"/>
  <c r="J152" i="295"/>
  <c r="K30" i="295"/>
  <c r="K151" i="295"/>
  <c r="K59" i="295"/>
  <c r="Q87" i="277"/>
  <c r="L68" i="295"/>
  <c r="L206" i="295" s="1"/>
  <c r="L45" i="296" s="1"/>
  <c r="L160" i="295"/>
  <c r="O112" i="277"/>
  <c r="O190" i="277" s="1"/>
  <c r="J211" i="295"/>
  <c r="J50" i="296" s="1"/>
  <c r="M79" i="277"/>
  <c r="N86" i="277"/>
  <c r="R75" i="277"/>
  <c r="F31" i="273"/>
  <c r="F25" i="273"/>
  <c r="S100" i="277"/>
  <c r="P99" i="295"/>
  <c r="M111" i="277"/>
  <c r="M163" i="277" s="1"/>
  <c r="M81" i="277"/>
  <c r="J197" i="295"/>
  <c r="R104" i="277"/>
  <c r="R156" i="277" s="1"/>
  <c r="Q97" i="277"/>
  <c r="Q175" i="277" s="1"/>
  <c r="O85" i="277"/>
  <c r="U144" i="295"/>
  <c r="V144" i="295"/>
  <c r="R108" i="277"/>
  <c r="R160" i="277" s="1"/>
  <c r="J17" i="273"/>
  <c r="J18" i="273" s="1"/>
  <c r="J19" i="273" s="1"/>
  <c r="N21" i="295"/>
  <c r="K210" i="295"/>
  <c r="K49" i="296" s="1"/>
  <c r="J165" i="295"/>
  <c r="N83" i="277"/>
  <c r="M82" i="277"/>
  <c r="M72" i="277"/>
  <c r="P145" i="295"/>
  <c r="Q109" i="277"/>
  <c r="Q161" i="277" s="1"/>
  <c r="N81" i="277"/>
  <c r="S14" i="295"/>
  <c r="S83" i="277"/>
  <c r="P85" i="277"/>
  <c r="V98" i="295"/>
  <c r="K207" i="295"/>
  <c r="K46" i="296" s="1"/>
  <c r="J161" i="295"/>
  <c r="L128" i="295"/>
  <c r="L145" i="295" s="1"/>
  <c r="L99" i="295"/>
  <c r="O21" i="295"/>
  <c r="K164" i="295"/>
  <c r="P133" i="309"/>
  <c r="P135" i="309" s="1"/>
  <c r="P253" i="309" s="1"/>
  <c r="O133" i="309"/>
  <c r="S132" i="309"/>
  <c r="R132" i="309"/>
  <c r="Q132" i="309"/>
  <c r="S133" i="309"/>
  <c r="P132" i="309"/>
  <c r="R133" i="309"/>
  <c r="O132" i="309"/>
  <c r="Q133" i="309"/>
  <c r="Q174" i="309"/>
  <c r="S174" i="309"/>
  <c r="R174" i="309"/>
  <c r="P174" i="309"/>
  <c r="O174" i="309"/>
  <c r="O149" i="293"/>
  <c r="V218" i="293"/>
  <c r="C276" i="309"/>
  <c r="F276" i="309"/>
  <c r="R195" i="305"/>
  <c r="Q195" i="305"/>
  <c r="P195" i="305"/>
  <c r="S195" i="305"/>
  <c r="O195" i="305"/>
  <c r="O113" i="293"/>
  <c r="S103" i="293"/>
  <c r="S155" i="293" s="1"/>
  <c r="S43" i="309" s="1"/>
  <c r="Q128" i="295"/>
  <c r="Q145" i="295" s="1"/>
  <c r="Q99" i="295"/>
  <c r="F256" i="305"/>
  <c r="C256" i="305"/>
  <c r="Q118" i="305"/>
  <c r="S119" i="305"/>
  <c r="P118" i="305"/>
  <c r="R119" i="305"/>
  <c r="Q119" i="305"/>
  <c r="P119" i="305"/>
  <c r="O119" i="305"/>
  <c r="S118" i="305"/>
  <c r="R118" i="305"/>
  <c r="O118" i="305"/>
  <c r="P109" i="293"/>
  <c r="P161" i="293" s="1"/>
  <c r="P73" i="309" s="1"/>
  <c r="P293" i="309" s="1"/>
  <c r="O109" i="293"/>
  <c r="N128" i="295"/>
  <c r="N145" i="295" s="1"/>
  <c r="N99" i="295"/>
  <c r="R112" i="293"/>
  <c r="R164" i="293" s="1"/>
  <c r="R88" i="309" s="1"/>
  <c r="R212" i="309" s="1"/>
  <c r="R308" i="309" s="1"/>
  <c r="P107" i="293"/>
  <c r="P159" i="293" s="1"/>
  <c r="P63" i="309" s="1"/>
  <c r="P283" i="309" s="1"/>
  <c r="O134" i="295"/>
  <c r="V88" i="295"/>
  <c r="U88" i="295"/>
  <c r="S111" i="293"/>
  <c r="S163" i="293" s="1"/>
  <c r="S83" i="309" s="1"/>
  <c r="S303" i="309" s="1"/>
  <c r="O108" i="293"/>
  <c r="P100" i="293"/>
  <c r="P152" i="293" s="1"/>
  <c r="P28" i="309" s="1"/>
  <c r="P128" i="309" s="1"/>
  <c r="P248" i="309" s="1"/>
  <c r="L70" i="295"/>
  <c r="L208" i="295" s="1"/>
  <c r="L47" i="296" s="1"/>
  <c r="L70" i="296" s="1"/>
  <c r="L162" i="295"/>
  <c r="L30" i="295"/>
  <c r="L151" i="295"/>
  <c r="L59" i="295"/>
  <c r="O129" i="295"/>
  <c r="V83" i="295"/>
  <c r="U83" i="295"/>
  <c r="S103" i="277"/>
  <c r="S155" i="277" s="1"/>
  <c r="S72" i="277"/>
  <c r="Q60" i="295"/>
  <c r="Q198" i="295" s="1"/>
  <c r="Q37" i="296" s="1"/>
  <c r="R112" i="277"/>
  <c r="R164" i="277" s="1"/>
  <c r="O72" i="277"/>
  <c r="P84" i="277"/>
  <c r="O83" i="277"/>
  <c r="N78" i="277"/>
  <c r="O74" i="277"/>
  <c r="R78" i="277"/>
  <c r="M100" i="277"/>
  <c r="M152" i="277" s="1"/>
  <c r="R145" i="295"/>
  <c r="S102" i="277"/>
  <c r="S154" i="277" s="1"/>
  <c r="S104" i="277"/>
  <c r="R85" i="277"/>
  <c r="U90" i="295"/>
  <c r="S108" i="277"/>
  <c r="J203" i="295"/>
  <c r="J42" i="296" s="1"/>
  <c r="Q21" i="295"/>
  <c r="S110" i="277"/>
  <c r="S162" i="277" s="1"/>
  <c r="L209" i="295"/>
  <c r="L48" i="296" s="1"/>
  <c r="C281" i="305"/>
  <c r="F281" i="305"/>
  <c r="P147" i="305"/>
  <c r="O147" i="305"/>
  <c r="S146" i="305"/>
  <c r="Q146" i="305"/>
  <c r="S147" i="305"/>
  <c r="P146" i="305"/>
  <c r="R147" i="305"/>
  <c r="Q147" i="305"/>
  <c r="R146" i="305"/>
  <c r="O146" i="305"/>
  <c r="K66" i="295"/>
  <c r="K204" i="295" s="1"/>
  <c r="K43" i="296" s="1"/>
  <c r="K158" i="295"/>
  <c r="S202" i="305"/>
  <c r="Q202" i="305"/>
  <c r="P202" i="305"/>
  <c r="R202" i="305"/>
  <c r="O202" i="305"/>
  <c r="Q97" i="293"/>
  <c r="K154" i="295"/>
  <c r="K62" i="295"/>
  <c r="K200" i="295" s="1"/>
  <c r="K39" i="296" s="1"/>
  <c r="N108" i="293"/>
  <c r="N160" i="293" s="1"/>
  <c r="N68" i="309" s="1"/>
  <c r="N288" i="309" s="1"/>
  <c r="O100" i="293"/>
  <c r="K152" i="295"/>
  <c r="K60" i="295"/>
  <c r="K198" i="295" s="1"/>
  <c r="K37" i="296" s="1"/>
  <c r="K60" i="296" s="1"/>
  <c r="O168" i="309"/>
  <c r="S167" i="309"/>
  <c r="P167" i="309"/>
  <c r="O167" i="309"/>
  <c r="S168" i="309"/>
  <c r="R168" i="309"/>
  <c r="Q168" i="309"/>
  <c r="P168" i="309"/>
  <c r="R167" i="309"/>
  <c r="Q167" i="309"/>
  <c r="C286" i="309"/>
  <c r="F286" i="309"/>
  <c r="C316" i="305"/>
  <c r="F316" i="305"/>
  <c r="F241" i="305"/>
  <c r="C241" i="305"/>
  <c r="Q109" i="293"/>
  <c r="Q161" i="293" s="1"/>
  <c r="Q73" i="309" s="1"/>
  <c r="Q293" i="309" s="1"/>
  <c r="O105" i="293"/>
  <c r="R99" i="293"/>
  <c r="R151" i="293" s="1"/>
  <c r="R23" i="309" s="1"/>
  <c r="R121" i="309" s="1"/>
  <c r="R243" i="309" s="1"/>
  <c r="P108" i="293"/>
  <c r="P160" i="293" s="1"/>
  <c r="P68" i="309" s="1"/>
  <c r="P288" i="309" s="1"/>
  <c r="M103" i="293"/>
  <c r="M155" i="293" s="1"/>
  <c r="M43" i="309" s="1"/>
  <c r="M263" i="309" s="1"/>
  <c r="J164" i="295"/>
  <c r="J72" i="295"/>
  <c r="J210" i="295" s="1"/>
  <c r="J49" i="296" s="1"/>
  <c r="Q83" i="277"/>
  <c r="J156" i="295"/>
  <c r="J64" i="295"/>
  <c r="J202" i="295" s="1"/>
  <c r="J41" i="296" s="1"/>
  <c r="Q111" i="277"/>
  <c r="Q163" i="277" s="1"/>
  <c r="Q72" i="277"/>
  <c r="P60" i="295"/>
  <c r="P198" i="295" s="1"/>
  <c r="P37" i="296" s="1"/>
  <c r="Q82" i="277"/>
  <c r="N100" i="277"/>
  <c r="N152" i="277" s="1"/>
  <c r="R99" i="295"/>
  <c r="L9" i="273"/>
  <c r="K12" i="273"/>
  <c r="K13" i="273" s="1"/>
  <c r="K17" i="273" s="1"/>
  <c r="K4" i="273"/>
  <c r="U136" i="295"/>
  <c r="V136" i="295"/>
  <c r="Q27" i="295"/>
  <c r="Q73" i="277"/>
  <c r="J157" i="295"/>
  <c r="R21" i="295"/>
  <c r="M103" i="277"/>
  <c r="M155" i="277" s="1"/>
  <c r="R73" i="277"/>
  <c r="V82" i="295"/>
  <c r="M72" i="305"/>
  <c r="L163" i="295"/>
  <c r="F251" i="309"/>
  <c r="C251" i="309"/>
  <c r="U218" i="293"/>
  <c r="U85" i="295"/>
  <c r="O131" i="295"/>
  <c r="V85" i="295"/>
  <c r="L165" i="295"/>
  <c r="L73" i="295"/>
  <c r="L211" i="295" s="1"/>
  <c r="L50" i="296" s="1"/>
  <c r="Q202" i="309"/>
  <c r="P202" i="309"/>
  <c r="S202" i="309"/>
  <c r="R202" i="309"/>
  <c r="O202" i="309"/>
  <c r="Q140" i="309"/>
  <c r="P140" i="309"/>
  <c r="O140" i="309"/>
  <c r="S139" i="309"/>
  <c r="R139" i="309"/>
  <c r="Q139" i="309"/>
  <c r="S140" i="309"/>
  <c r="P139" i="309"/>
  <c r="R140" i="309"/>
  <c r="O139" i="309"/>
  <c r="C266" i="305"/>
  <c r="F266" i="305"/>
  <c r="Q174" i="305"/>
  <c r="P174" i="305"/>
  <c r="O174" i="305"/>
  <c r="S174" i="305"/>
  <c r="R174" i="305"/>
  <c r="P181" i="309"/>
  <c r="O181" i="309"/>
  <c r="S181" i="309"/>
  <c r="R181" i="309"/>
  <c r="Q181" i="309"/>
  <c r="Q113" i="293"/>
  <c r="Q165" i="293" s="1"/>
  <c r="Q93" i="309" s="1"/>
  <c r="N107" i="293"/>
  <c r="N159" i="293" s="1"/>
  <c r="N63" i="309" s="1"/>
  <c r="N283" i="309" s="1"/>
  <c r="R104" i="293"/>
  <c r="R156" i="293" s="1"/>
  <c r="R48" i="309" s="1"/>
  <c r="R156" i="309" s="1"/>
  <c r="R268" i="309" s="1"/>
  <c r="P99" i="293"/>
  <c r="P151" i="293" s="1"/>
  <c r="P23" i="309" s="1"/>
  <c r="P121" i="309" s="1"/>
  <c r="P243" i="309" s="1"/>
  <c r="U93" i="295"/>
  <c r="O139" i="295"/>
  <c r="V93" i="295"/>
  <c r="P163" i="295"/>
  <c r="R60" i="295"/>
  <c r="R198" i="295" s="1"/>
  <c r="R37" i="296" s="1"/>
  <c r="J68" i="295"/>
  <c r="J206" i="295" s="1"/>
  <c r="J45" i="296" s="1"/>
  <c r="J160" i="295"/>
  <c r="S195" i="309"/>
  <c r="R195" i="309"/>
  <c r="Q195" i="309"/>
  <c r="P195" i="309"/>
  <c r="O195" i="309"/>
  <c r="C306" i="309"/>
  <c r="F306" i="309"/>
  <c r="S188" i="309"/>
  <c r="R188" i="309"/>
  <c r="P188" i="309"/>
  <c r="O188" i="309"/>
  <c r="Q188" i="309"/>
  <c r="F311" i="309"/>
  <c r="C311" i="309"/>
  <c r="P105" i="293"/>
  <c r="P157" i="293" s="1"/>
  <c r="P53" i="309" s="1"/>
  <c r="P163" i="309" s="1"/>
  <c r="P273" i="309" s="1"/>
  <c r="Q102" i="293"/>
  <c r="Q154" i="293" s="1"/>
  <c r="Q38" i="309" s="1"/>
  <c r="R107" i="293"/>
  <c r="R159" i="293" s="1"/>
  <c r="R63" i="309" s="1"/>
  <c r="R283" i="309" s="1"/>
  <c r="M104" i="293"/>
  <c r="M156" i="293" s="1"/>
  <c r="M48" i="309" s="1"/>
  <c r="M268" i="309" s="1"/>
  <c r="V84" i="295"/>
  <c r="U84" i="295"/>
  <c r="O130" i="295"/>
  <c r="M111" i="293"/>
  <c r="M163" i="293" s="1"/>
  <c r="M83" i="309" s="1"/>
  <c r="M303" i="309" s="1"/>
  <c r="N103" i="293"/>
  <c r="N155" i="293" s="1"/>
  <c r="N43" i="309" s="1"/>
  <c r="N263" i="309" s="1"/>
  <c r="R100" i="293"/>
  <c r="R152" i="293" s="1"/>
  <c r="R28" i="309" s="1"/>
  <c r="R128" i="309" s="1"/>
  <c r="R248" i="309" s="1"/>
  <c r="U191" i="295"/>
  <c r="U89" i="295"/>
  <c r="O135" i="295"/>
  <c r="V89" i="295"/>
  <c r="L153" i="295"/>
  <c r="L61" i="295"/>
  <c r="L199" i="295" s="1"/>
  <c r="L38" i="296" s="1"/>
  <c r="L61" i="296" s="1"/>
  <c r="Q106" i="293"/>
  <c r="Q158" i="293" s="1"/>
  <c r="Q58" i="309" s="1"/>
  <c r="S128" i="295"/>
  <c r="S145" i="295" s="1"/>
  <c r="S99" i="295"/>
  <c r="O137" i="295"/>
  <c r="V91" i="295"/>
  <c r="U91" i="295"/>
  <c r="N68" i="295"/>
  <c r="N206" i="295" s="1"/>
  <c r="N45" i="296" s="1"/>
  <c r="S111" i="277"/>
  <c r="S163" i="277" s="1"/>
  <c r="Q102" i="277"/>
  <c r="Q154" i="277" s="1"/>
  <c r="Q71" i="277"/>
  <c r="Q107" i="277"/>
  <c r="Q159" i="277" s="1"/>
  <c r="V191" i="295"/>
  <c r="S112" i="277"/>
  <c r="O87" i="277"/>
  <c r="R83" i="277"/>
  <c r="R82" i="277"/>
  <c r="O100" i="277"/>
  <c r="M104" i="277"/>
  <c r="M156" i="277" s="1"/>
  <c r="S85" i="277"/>
  <c r="V140" i="295"/>
  <c r="U140" i="295"/>
  <c r="V90" i="295"/>
  <c r="S16" i="295"/>
  <c r="M108" i="277"/>
  <c r="M160" i="277" s="1"/>
  <c r="S71" i="277"/>
  <c r="L156" i="295"/>
  <c r="K159" i="295"/>
  <c r="K67" i="295"/>
  <c r="K205" i="295" s="1"/>
  <c r="K44" i="296" s="1"/>
  <c r="Q101" i="277"/>
  <c r="Q153" i="277" s="1"/>
  <c r="M145" i="295"/>
  <c r="L204" i="295"/>
  <c r="L43" i="296" s="1"/>
  <c r="K153" i="295"/>
  <c r="Q191" i="277" l="1"/>
  <c r="U33" i="277"/>
  <c r="V33" i="277"/>
  <c r="O177" i="277"/>
  <c r="S66" i="295"/>
  <c r="S204" i="295" s="1"/>
  <c r="S43" i="296" s="1"/>
  <c r="U21" i="277"/>
  <c r="M156" i="295"/>
  <c r="O191" i="277"/>
  <c r="S151" i="295"/>
  <c r="R160" i="295"/>
  <c r="Q69" i="295"/>
  <c r="Q207" i="295" s="1"/>
  <c r="Q46" i="296" s="1"/>
  <c r="M164" i="295"/>
  <c r="Q160" i="295"/>
  <c r="V32" i="277"/>
  <c r="O175" i="277"/>
  <c r="V30" i="277"/>
  <c r="U35" i="277"/>
  <c r="R181" i="277"/>
  <c r="R179" i="277"/>
  <c r="U26" i="277"/>
  <c r="U26" i="295"/>
  <c r="O182" i="277"/>
  <c r="U27" i="277"/>
  <c r="N177" i="277"/>
  <c r="P185" i="277"/>
  <c r="S84" i="277"/>
  <c r="O71" i="277"/>
  <c r="O12" i="305" s="1"/>
  <c r="M155" i="295"/>
  <c r="M152" i="295"/>
  <c r="Q162" i="295"/>
  <c r="U19" i="277"/>
  <c r="O164" i="295"/>
  <c r="O181" i="277"/>
  <c r="V19" i="277"/>
  <c r="V26" i="295"/>
  <c r="V27" i="277"/>
  <c r="O78" i="277"/>
  <c r="O47" i="305" s="1"/>
  <c r="O156" i="295"/>
  <c r="M184" i="277"/>
  <c r="V26" i="277"/>
  <c r="P81" i="277"/>
  <c r="P62" i="305" s="1"/>
  <c r="M75" i="295"/>
  <c r="M213" i="295" s="1"/>
  <c r="M52" i="296" s="1"/>
  <c r="V28" i="277"/>
  <c r="O183" i="277"/>
  <c r="P114" i="309"/>
  <c r="P238" i="309" s="1"/>
  <c r="M123" i="304" s="1"/>
  <c r="N184" i="277"/>
  <c r="V23" i="277"/>
  <c r="M176" i="277"/>
  <c r="N73" i="277"/>
  <c r="S114" i="309"/>
  <c r="S238" i="309" s="1"/>
  <c r="P123" i="304" s="1"/>
  <c r="N191" i="277"/>
  <c r="R72" i="295"/>
  <c r="R210" i="295" s="1"/>
  <c r="R49" i="296" s="1"/>
  <c r="Q72" i="295"/>
  <c r="Q210" i="295" s="1"/>
  <c r="Q49" i="296" s="1"/>
  <c r="P179" i="277"/>
  <c r="R180" i="277"/>
  <c r="S121" i="309"/>
  <c r="S243" i="309" s="1"/>
  <c r="P124" i="304" s="1"/>
  <c r="R178" i="277"/>
  <c r="V22" i="277"/>
  <c r="V34" i="277"/>
  <c r="V25" i="277"/>
  <c r="M160" i="295"/>
  <c r="P68" i="295"/>
  <c r="P206" i="295" s="1"/>
  <c r="P45" i="296" s="1"/>
  <c r="P75" i="295"/>
  <c r="P213" i="295" s="1"/>
  <c r="P52" i="296" s="1"/>
  <c r="O185" i="277"/>
  <c r="P36" i="277"/>
  <c r="Q178" i="277"/>
  <c r="S166" i="295"/>
  <c r="S160" i="295"/>
  <c r="P164" i="277"/>
  <c r="P242" i="277" s="1"/>
  <c r="P28" i="296" s="1"/>
  <c r="P190" i="277"/>
  <c r="P87" i="277"/>
  <c r="P176" i="277"/>
  <c r="V31" i="277"/>
  <c r="V21" i="277"/>
  <c r="R76" i="277"/>
  <c r="V76" i="277" s="1"/>
  <c r="M163" i="295"/>
  <c r="N175" i="277"/>
  <c r="O63" i="295"/>
  <c r="U34" i="277"/>
  <c r="Q121" i="309"/>
  <c r="Q243" i="309" s="1"/>
  <c r="N124" i="304" s="1"/>
  <c r="N80" i="277"/>
  <c r="N57" i="305" s="1"/>
  <c r="P183" i="277"/>
  <c r="U31" i="277"/>
  <c r="R36" i="277"/>
  <c r="Q103" i="277"/>
  <c r="Q155" i="277" s="1"/>
  <c r="U28" i="277"/>
  <c r="S36" i="277"/>
  <c r="Q36" i="277"/>
  <c r="M36" i="277"/>
  <c r="Q177" i="277"/>
  <c r="N164" i="295"/>
  <c r="U25" i="277"/>
  <c r="U23" i="277"/>
  <c r="V35" i="277"/>
  <c r="P72" i="277"/>
  <c r="V72" i="277" s="1"/>
  <c r="R156" i="295"/>
  <c r="S75" i="277"/>
  <c r="S32" i="305" s="1"/>
  <c r="U29" i="277"/>
  <c r="U22" i="277"/>
  <c r="U20" i="277"/>
  <c r="P74" i="277"/>
  <c r="U74" i="277" s="1"/>
  <c r="N36" i="277"/>
  <c r="V29" i="277"/>
  <c r="V20" i="277"/>
  <c r="S75" i="295"/>
  <c r="S213" i="295" s="1"/>
  <c r="S52" i="296" s="1"/>
  <c r="S155" i="295"/>
  <c r="U30" i="277"/>
  <c r="P189" i="277"/>
  <c r="U32" i="277"/>
  <c r="R185" i="277"/>
  <c r="M185" i="277"/>
  <c r="M88" i="277"/>
  <c r="M97" i="305" s="1"/>
  <c r="R142" i="309"/>
  <c r="R258" i="309" s="1"/>
  <c r="O127" i="304" s="1"/>
  <c r="P186" i="277"/>
  <c r="S191" i="277"/>
  <c r="V17" i="295"/>
  <c r="P177" i="277"/>
  <c r="V22" i="295"/>
  <c r="N185" i="277"/>
  <c r="M59" i="295"/>
  <c r="M197" i="295" s="1"/>
  <c r="S183" i="277"/>
  <c r="V24" i="277"/>
  <c r="Q154" i="295"/>
  <c r="S71" i="295"/>
  <c r="S209" i="295" s="1"/>
  <c r="S48" i="296" s="1"/>
  <c r="O36" i="277"/>
  <c r="Q158" i="295"/>
  <c r="U14" i="295"/>
  <c r="O152" i="295"/>
  <c r="M177" i="277"/>
  <c r="U24" i="277"/>
  <c r="P149" i="309"/>
  <c r="P263" i="309" s="1"/>
  <c r="M128" i="304" s="1"/>
  <c r="Q135" i="309"/>
  <c r="Q253" i="309" s="1"/>
  <c r="N126" i="304" s="1"/>
  <c r="J128" i="304"/>
  <c r="P132" i="304"/>
  <c r="Q142" i="309"/>
  <c r="Q258" i="309" s="1"/>
  <c r="N127" i="304" s="1"/>
  <c r="M188" i="277"/>
  <c r="N156" i="295"/>
  <c r="S159" i="295"/>
  <c r="Q187" i="277"/>
  <c r="R189" i="277"/>
  <c r="S187" i="277"/>
  <c r="N187" i="277"/>
  <c r="M183" i="277"/>
  <c r="N183" i="277"/>
  <c r="V14" i="295"/>
  <c r="N180" i="277"/>
  <c r="Q166" i="295"/>
  <c r="P59" i="295"/>
  <c r="P197" i="295" s="1"/>
  <c r="O125" i="304"/>
  <c r="U97" i="293"/>
  <c r="N182" i="277"/>
  <c r="V18" i="295"/>
  <c r="M30" i="295"/>
  <c r="R186" i="277"/>
  <c r="K128" i="304"/>
  <c r="K138" i="304"/>
  <c r="M180" i="277"/>
  <c r="S176" i="277"/>
  <c r="P182" i="277"/>
  <c r="N181" i="277"/>
  <c r="U17" i="295"/>
  <c r="R187" i="277"/>
  <c r="Q186" i="277"/>
  <c r="N190" i="277"/>
  <c r="R188" i="277"/>
  <c r="O108" i="277"/>
  <c r="V108" i="277" s="1"/>
  <c r="S99" i="277"/>
  <c r="U99" i="277" s="1"/>
  <c r="M112" i="277"/>
  <c r="Q106" i="277"/>
  <c r="U106" i="277" s="1"/>
  <c r="Q110" i="277"/>
  <c r="S107" i="277"/>
  <c r="U107" i="277" s="1"/>
  <c r="Q98" i="277"/>
  <c r="V98" i="277" s="1"/>
  <c r="V84" i="277"/>
  <c r="S188" i="277"/>
  <c r="O68" i="295"/>
  <c r="O206" i="295" s="1"/>
  <c r="Q61" i="295"/>
  <c r="Q199" i="295" s="1"/>
  <c r="Q38" i="296" s="1"/>
  <c r="Q61" i="296" s="1"/>
  <c r="P125" i="304"/>
  <c r="P63" i="295"/>
  <c r="P201" i="295" s="1"/>
  <c r="P40" i="296" s="1"/>
  <c r="U18" i="295"/>
  <c r="P184" i="277"/>
  <c r="R191" i="277"/>
  <c r="P155" i="295"/>
  <c r="S180" i="277"/>
  <c r="K133" i="304"/>
  <c r="O123" i="304"/>
  <c r="N179" i="277"/>
  <c r="R135" i="309"/>
  <c r="R253" i="309" s="1"/>
  <c r="O126" i="304" s="1"/>
  <c r="N176" i="277"/>
  <c r="S184" i="277"/>
  <c r="S181" i="277"/>
  <c r="Q170" i="309"/>
  <c r="Q278" i="309" s="1"/>
  <c r="N131" i="304" s="1"/>
  <c r="N123" i="304"/>
  <c r="J129" i="304"/>
  <c r="P30" i="295"/>
  <c r="S30" i="295"/>
  <c r="S70" i="295"/>
  <c r="S208" i="295" s="1"/>
  <c r="S47" i="296" s="1"/>
  <c r="Q182" i="277"/>
  <c r="R182" i="277"/>
  <c r="O132" i="304"/>
  <c r="Q65" i="295"/>
  <c r="Q203" i="295" s="1"/>
  <c r="Q42" i="296" s="1"/>
  <c r="U99" i="295"/>
  <c r="S149" i="309"/>
  <c r="S263" i="309" s="1"/>
  <c r="P128" i="304" s="1"/>
  <c r="U22" i="295"/>
  <c r="K136" i="304"/>
  <c r="R184" i="277"/>
  <c r="O124" i="304"/>
  <c r="R183" i="277"/>
  <c r="O152" i="277"/>
  <c r="V100" i="277"/>
  <c r="U100" i="277"/>
  <c r="P43" i="305"/>
  <c r="P149" i="305" s="1"/>
  <c r="P263" i="305" s="1"/>
  <c r="M49" i="304" s="1"/>
  <c r="O163" i="295"/>
  <c r="V25" i="295"/>
  <c r="U25" i="295"/>
  <c r="O71" i="295"/>
  <c r="N162" i="295"/>
  <c r="N70" i="295"/>
  <c r="N208" i="295" s="1"/>
  <c r="N47" i="296" s="1"/>
  <c r="P28" i="305"/>
  <c r="P128" i="305" s="1"/>
  <c r="P248" i="305" s="1"/>
  <c r="M46" i="304" s="1"/>
  <c r="S83" i="305"/>
  <c r="S303" i="305" s="1"/>
  <c r="P57" i="304" s="1"/>
  <c r="V130" i="295"/>
  <c r="U130" i="295"/>
  <c r="J123" i="304"/>
  <c r="M124" i="304"/>
  <c r="N133" i="304"/>
  <c r="M9" i="273"/>
  <c r="L12" i="273"/>
  <c r="L13" i="273" s="1"/>
  <c r="L17" i="273" s="1"/>
  <c r="L4" i="273"/>
  <c r="P52" i="305"/>
  <c r="P235" i="277"/>
  <c r="P21" i="296" s="1"/>
  <c r="N12" i="305"/>
  <c r="O198" i="295"/>
  <c r="P22" i="305"/>
  <c r="P229" i="277"/>
  <c r="P15" i="296" s="1"/>
  <c r="O62" i="305"/>
  <c r="V81" i="277"/>
  <c r="O17" i="305"/>
  <c r="U72" i="277"/>
  <c r="Q37" i="305"/>
  <c r="Q232" i="277"/>
  <c r="Q18" i="296" s="1"/>
  <c r="O202" i="295"/>
  <c r="V97" i="293"/>
  <c r="S72" i="305"/>
  <c r="S239" i="277"/>
  <c r="S25" i="296" s="1"/>
  <c r="Q149" i="277"/>
  <c r="Q227" i="277" s="1"/>
  <c r="M83" i="305"/>
  <c r="M303" i="305" s="1"/>
  <c r="J57" i="304" s="1"/>
  <c r="K134" i="304"/>
  <c r="N189" i="277"/>
  <c r="M182" i="277"/>
  <c r="N88" i="305"/>
  <c r="N308" i="305" s="1"/>
  <c r="K58" i="304" s="1"/>
  <c r="Q68" i="305"/>
  <c r="Q288" i="305" s="1"/>
  <c r="N54" i="304" s="1"/>
  <c r="Q28" i="305"/>
  <c r="Q128" i="305" s="1"/>
  <c r="Q248" i="305" s="1"/>
  <c r="N46" i="304" s="1"/>
  <c r="N58" i="305"/>
  <c r="N278" i="305" s="1"/>
  <c r="K52" i="304" s="1"/>
  <c r="M53" i="305"/>
  <c r="M273" i="305" s="1"/>
  <c r="J51" i="304" s="1"/>
  <c r="N33" i="305"/>
  <c r="N253" i="305" s="1"/>
  <c r="R83" i="305"/>
  <c r="R303" i="305" s="1"/>
  <c r="O57" i="304" s="1"/>
  <c r="R18" i="305"/>
  <c r="R114" i="305" s="1"/>
  <c r="R238" i="305" s="1"/>
  <c r="O44" i="304" s="1"/>
  <c r="R149" i="277"/>
  <c r="R114" i="277"/>
  <c r="R93" i="305"/>
  <c r="R313" i="305" s="1"/>
  <c r="O59" i="304" s="1"/>
  <c r="N134" i="304"/>
  <c r="K131" i="304"/>
  <c r="M134" i="304"/>
  <c r="P133" i="304"/>
  <c r="N132" i="304"/>
  <c r="Q156" i="295"/>
  <c r="Q64" i="295"/>
  <c r="Q202" i="295" s="1"/>
  <c r="Q41" i="296" s="1"/>
  <c r="R161" i="295"/>
  <c r="R69" i="295"/>
  <c r="R207" i="295" s="1"/>
  <c r="R46" i="296" s="1"/>
  <c r="N163" i="295"/>
  <c r="N71" i="295"/>
  <c r="N209" i="295" s="1"/>
  <c r="N48" i="296" s="1"/>
  <c r="R167" i="295"/>
  <c r="R75" i="295"/>
  <c r="R213" i="295" s="1"/>
  <c r="R52" i="296" s="1"/>
  <c r="R153" i="295"/>
  <c r="R61" i="295"/>
  <c r="R199" i="295" s="1"/>
  <c r="R38" i="296" s="1"/>
  <c r="R61" i="296" s="1"/>
  <c r="M161" i="295"/>
  <c r="M69" i="295"/>
  <c r="M207" i="295" s="1"/>
  <c r="M46" i="296" s="1"/>
  <c r="N151" i="295"/>
  <c r="N59" i="295"/>
  <c r="N30" i="295"/>
  <c r="N167" i="295"/>
  <c r="N75" i="295"/>
  <c r="N213" i="295" s="1"/>
  <c r="N52" i="296" s="1"/>
  <c r="N166" i="295"/>
  <c r="N74" i="295"/>
  <c r="N212" i="295" s="1"/>
  <c r="N51" i="296" s="1"/>
  <c r="O32" i="305"/>
  <c r="U75" i="277"/>
  <c r="Q52" i="305"/>
  <c r="Q235" i="277"/>
  <c r="Q21" i="296" s="1"/>
  <c r="N35" i="293"/>
  <c r="N31" i="293"/>
  <c r="N27" i="293"/>
  <c r="N23" i="293"/>
  <c r="N19" i="293"/>
  <c r="P34" i="293"/>
  <c r="P30" i="293"/>
  <c r="P26" i="293"/>
  <c r="P22" i="293"/>
  <c r="O34" i="293"/>
  <c r="O30" i="293"/>
  <c r="O26" i="293"/>
  <c r="O22" i="293"/>
  <c r="P35" i="293"/>
  <c r="N34" i="293"/>
  <c r="P31" i="293"/>
  <c r="N30" i="293"/>
  <c r="P27" i="293"/>
  <c r="N26" i="293"/>
  <c r="P23" i="293"/>
  <c r="N22" i="293"/>
  <c r="P19" i="293"/>
  <c r="N32" i="293"/>
  <c r="Q28" i="293"/>
  <c r="M27" i="293"/>
  <c r="R22" i="293"/>
  <c r="P21" i="293"/>
  <c r="S34" i="293"/>
  <c r="O28" i="293"/>
  <c r="O23" i="293"/>
  <c r="M22" i="293"/>
  <c r="R34" i="293"/>
  <c r="N28" i="293"/>
  <c r="Q24" i="293"/>
  <c r="M23" i="293"/>
  <c r="O35" i="293"/>
  <c r="M34" i="293"/>
  <c r="S30" i="293"/>
  <c r="O24" i="293"/>
  <c r="O19" i="293"/>
  <c r="O31" i="293"/>
  <c r="M30" i="293"/>
  <c r="S26" i="293"/>
  <c r="O32" i="293"/>
  <c r="R30" i="293"/>
  <c r="M26" i="293"/>
  <c r="N24" i="293"/>
  <c r="S21" i="293"/>
  <c r="M19" i="293"/>
  <c r="O27" i="293"/>
  <c r="S25" i="293"/>
  <c r="Q21" i="293"/>
  <c r="M31" i="293"/>
  <c r="P25" i="293"/>
  <c r="M35" i="293"/>
  <c r="Q32" i="293"/>
  <c r="R26" i="293"/>
  <c r="S22" i="293"/>
  <c r="N20" i="293"/>
  <c r="N29" i="293"/>
  <c r="R33" i="293"/>
  <c r="P33" i="293"/>
  <c r="Q34" i="293"/>
  <c r="S20" i="293"/>
  <c r="R28" i="293"/>
  <c r="O21" i="293"/>
  <c r="Q19" i="293"/>
  <c r="R31" i="293"/>
  <c r="P28" i="293"/>
  <c r="P32" i="293"/>
  <c r="Q35" i="293"/>
  <c r="R23" i="293"/>
  <c r="M29" i="293"/>
  <c r="P24" i="293"/>
  <c r="N21" i="293"/>
  <c r="R32" i="293"/>
  <c r="Q30" i="293"/>
  <c r="Q23" i="293"/>
  <c r="S29" i="293"/>
  <c r="N33" i="293"/>
  <c r="O20" i="293"/>
  <c r="Q26" i="293"/>
  <c r="P20" i="293"/>
  <c r="O33" i="293"/>
  <c r="R20" i="293"/>
  <c r="M24" i="293"/>
  <c r="M21" i="293"/>
  <c r="S31" i="293"/>
  <c r="Q27" i="293"/>
  <c r="R19" i="293"/>
  <c r="R35" i="293"/>
  <c r="R25" i="293"/>
  <c r="Q31" i="293"/>
  <c r="M28" i="293"/>
  <c r="Q22" i="293"/>
  <c r="S27" i="293"/>
  <c r="O25" i="293"/>
  <c r="Q20" i="293"/>
  <c r="Q25" i="293"/>
  <c r="Q29" i="293"/>
  <c r="M33" i="293"/>
  <c r="S23" i="293"/>
  <c r="S24" i="293"/>
  <c r="N25" i="293"/>
  <c r="R29" i="293"/>
  <c r="M32" i="293"/>
  <c r="S33" i="293"/>
  <c r="M20" i="293"/>
  <c r="S35" i="293"/>
  <c r="R24" i="293"/>
  <c r="S28" i="293"/>
  <c r="R21" i="293"/>
  <c r="R27" i="293"/>
  <c r="O29" i="293"/>
  <c r="P29" i="293"/>
  <c r="Q33" i="293"/>
  <c r="S19" i="293"/>
  <c r="S32" i="293"/>
  <c r="M25" i="293"/>
  <c r="S22" i="305"/>
  <c r="N77" i="305"/>
  <c r="N240" i="277"/>
  <c r="N26" i="296" s="1"/>
  <c r="N67" i="305"/>
  <c r="N238" i="277"/>
  <c r="N24" i="296" s="1"/>
  <c r="N32" i="305"/>
  <c r="N231" i="277"/>
  <c r="N17" i="296" s="1"/>
  <c r="O163" i="293"/>
  <c r="V111" i="293"/>
  <c r="U111" i="293"/>
  <c r="R170" i="309"/>
  <c r="R278" i="309" s="1"/>
  <c r="O131" i="304" s="1"/>
  <c r="U101" i="293"/>
  <c r="S92" i="305"/>
  <c r="S243" i="277"/>
  <c r="S29" i="296" s="1"/>
  <c r="O42" i="305"/>
  <c r="V77" i="277"/>
  <c r="U77" i="277"/>
  <c r="V138" i="295"/>
  <c r="U138" i="295"/>
  <c r="U102" i="277"/>
  <c r="V102" i="277"/>
  <c r="O154" i="277"/>
  <c r="O180" i="277"/>
  <c r="M165" i="295"/>
  <c r="M73" i="295"/>
  <c r="M211" i="295" s="1"/>
  <c r="M50" i="296" s="1"/>
  <c r="Q53" i="305"/>
  <c r="Q163" i="305" s="1"/>
  <c r="Q273" i="305" s="1"/>
  <c r="N51" i="304" s="1"/>
  <c r="P135" i="304"/>
  <c r="N128" i="304"/>
  <c r="O128" i="304"/>
  <c r="P13" i="309"/>
  <c r="P107" i="309" s="1"/>
  <c r="P233" i="309" s="1"/>
  <c r="P166" i="293"/>
  <c r="P98" i="309" s="1"/>
  <c r="U112" i="293"/>
  <c r="M292" i="305"/>
  <c r="J29" i="304" s="1"/>
  <c r="Q22" i="305"/>
  <c r="Q229" i="277"/>
  <c r="Q15" i="296" s="1"/>
  <c r="Q27" i="305"/>
  <c r="Q230" i="277"/>
  <c r="Q16" i="296" s="1"/>
  <c r="Q62" i="296" s="1"/>
  <c r="Q83" i="305"/>
  <c r="Q303" i="305" s="1"/>
  <c r="N57" i="304" s="1"/>
  <c r="Q180" i="277"/>
  <c r="O160" i="293"/>
  <c r="V108" i="293"/>
  <c r="U108" i="293"/>
  <c r="N37" i="305"/>
  <c r="N232" i="277"/>
  <c r="N18" i="296" s="1"/>
  <c r="N64" i="296" s="1"/>
  <c r="M67" i="305"/>
  <c r="M238" i="277"/>
  <c r="M24" i="296" s="1"/>
  <c r="R68" i="305"/>
  <c r="R288" i="305" s="1"/>
  <c r="O54" i="304" s="1"/>
  <c r="Q189" i="277"/>
  <c r="R32" i="305"/>
  <c r="R231" i="277"/>
  <c r="R17" i="296" s="1"/>
  <c r="Q92" i="305"/>
  <c r="Q243" i="277"/>
  <c r="Q29" i="296" s="1"/>
  <c r="P159" i="295"/>
  <c r="P67" i="295"/>
  <c r="P205" i="295" s="1"/>
  <c r="P44" i="296" s="1"/>
  <c r="M23" i="305"/>
  <c r="M243" i="305" s="1"/>
  <c r="J45" i="304" s="1"/>
  <c r="O151" i="277"/>
  <c r="S73" i="305"/>
  <c r="S293" i="305" s="1"/>
  <c r="P55" i="304" s="1"/>
  <c r="P63" i="305"/>
  <c r="P283" i="305" s="1"/>
  <c r="M53" i="304" s="1"/>
  <c r="O158" i="277"/>
  <c r="O184" i="277"/>
  <c r="P38" i="305"/>
  <c r="P142" i="305" s="1"/>
  <c r="P258" i="305" s="1"/>
  <c r="M48" i="304" s="1"/>
  <c r="N93" i="305"/>
  <c r="N313" i="305" s="1"/>
  <c r="K59" i="304" s="1"/>
  <c r="P33" i="305"/>
  <c r="P135" i="305" s="1"/>
  <c r="P253" i="305" s="1"/>
  <c r="M47" i="304" s="1"/>
  <c r="N23" i="305"/>
  <c r="N243" i="305" s="1"/>
  <c r="K45" i="304" s="1"/>
  <c r="O133" i="304"/>
  <c r="O136" i="304"/>
  <c r="P134" i="304"/>
  <c r="M135" i="304"/>
  <c r="P136" i="304"/>
  <c r="J132" i="304"/>
  <c r="M82" i="305"/>
  <c r="M241" i="277"/>
  <c r="M27" i="296" s="1"/>
  <c r="O167" i="295"/>
  <c r="V29" i="295"/>
  <c r="U29" i="295"/>
  <c r="O75" i="295"/>
  <c r="Q151" i="295"/>
  <c r="Q59" i="295"/>
  <c r="Q30" i="295"/>
  <c r="Q167" i="295"/>
  <c r="Q75" i="295"/>
  <c r="Q213" i="295" s="1"/>
  <c r="Q52" i="296" s="1"/>
  <c r="P61" i="295"/>
  <c r="P199" i="295" s="1"/>
  <c r="P38" i="296" s="1"/>
  <c r="P61" i="296" s="1"/>
  <c r="P153" i="295"/>
  <c r="O154" i="295"/>
  <c r="O62" i="295"/>
  <c r="U16" i="295"/>
  <c r="V16" i="295"/>
  <c r="S164" i="295"/>
  <c r="S72" i="295"/>
  <c r="S210" i="295" s="1"/>
  <c r="S49" i="296" s="1"/>
  <c r="Q155" i="295"/>
  <c r="Q63" i="295"/>
  <c r="Q201" i="295" s="1"/>
  <c r="Q40" i="296" s="1"/>
  <c r="U15" i="295"/>
  <c r="O61" i="295"/>
  <c r="V15" i="295"/>
  <c r="O153" i="295"/>
  <c r="Q87" i="305"/>
  <c r="Q242" i="277"/>
  <c r="Q28" i="296" s="1"/>
  <c r="Q74" i="296" s="1"/>
  <c r="R12" i="305"/>
  <c r="R227" i="277"/>
  <c r="Q183" i="277"/>
  <c r="V142" i="295"/>
  <c r="U142" i="295"/>
  <c r="N188" i="277"/>
  <c r="N186" i="277"/>
  <c r="M63" i="305"/>
  <c r="M283" i="305" s="1"/>
  <c r="J53" i="304" s="1"/>
  <c r="M114" i="293"/>
  <c r="M149" i="293"/>
  <c r="J124" i="304"/>
  <c r="R27" i="305"/>
  <c r="R230" i="277"/>
  <c r="R16" i="296" s="1"/>
  <c r="N82" i="305"/>
  <c r="N241" i="277"/>
  <c r="N27" i="296" s="1"/>
  <c r="M47" i="305"/>
  <c r="M234" i="277"/>
  <c r="M20" i="296" s="1"/>
  <c r="P149" i="277"/>
  <c r="P227" i="277" s="1"/>
  <c r="P114" i="277"/>
  <c r="R166" i="295"/>
  <c r="R74" i="295"/>
  <c r="R212" i="295" s="1"/>
  <c r="R51" i="296" s="1"/>
  <c r="P74" i="295"/>
  <c r="P212" i="295" s="1"/>
  <c r="P51" i="296" s="1"/>
  <c r="P166" i="295"/>
  <c r="N68" i="305"/>
  <c r="N288" i="305" s="1"/>
  <c r="K54" i="304" s="1"/>
  <c r="N149" i="293"/>
  <c r="N114" i="293"/>
  <c r="O33" i="309"/>
  <c r="U153" i="293"/>
  <c r="V153" i="293"/>
  <c r="R67" i="305"/>
  <c r="R238" i="277"/>
  <c r="R24" i="296" s="1"/>
  <c r="M232" i="305"/>
  <c r="S82" i="305"/>
  <c r="S241" i="277"/>
  <c r="S27" i="296" s="1"/>
  <c r="R72" i="305"/>
  <c r="R239" i="277"/>
  <c r="R25" i="296" s="1"/>
  <c r="S179" i="277"/>
  <c r="V135" i="295"/>
  <c r="U135" i="295"/>
  <c r="Q73" i="295"/>
  <c r="Q211" i="295" s="1"/>
  <c r="Q50" i="296" s="1"/>
  <c r="Q165" i="295"/>
  <c r="M87" i="305"/>
  <c r="O152" i="293"/>
  <c r="V100" i="293"/>
  <c r="U100" i="293"/>
  <c r="S78" i="305"/>
  <c r="S298" i="305" s="1"/>
  <c r="P56" i="304" s="1"/>
  <c r="R82" i="305"/>
  <c r="R241" i="277"/>
  <c r="R27" i="296" s="1"/>
  <c r="S38" i="305"/>
  <c r="S142" i="305" s="1"/>
  <c r="S258" i="305" s="1"/>
  <c r="P48" i="304" s="1"/>
  <c r="R42" i="305"/>
  <c r="R233" i="277"/>
  <c r="R19" i="296" s="1"/>
  <c r="S17" i="305"/>
  <c r="S228" i="277"/>
  <c r="S14" i="296" s="1"/>
  <c r="U109" i="293"/>
  <c r="O161" i="293"/>
  <c r="V109" i="293"/>
  <c r="U84" i="277"/>
  <c r="M57" i="305"/>
  <c r="M236" i="277"/>
  <c r="M22" i="296" s="1"/>
  <c r="M68" i="296" s="1"/>
  <c r="S152" i="295"/>
  <c r="S60" i="295"/>
  <c r="S198" i="295" s="1"/>
  <c r="S37" i="296" s="1"/>
  <c r="M186" i="277"/>
  <c r="Q82" i="305"/>
  <c r="Q241" i="277"/>
  <c r="Q27" i="296" s="1"/>
  <c r="S52" i="305"/>
  <c r="S235" i="277"/>
  <c r="S21" i="296" s="1"/>
  <c r="S67" i="296" s="1"/>
  <c r="M52" i="305"/>
  <c r="M235" i="277"/>
  <c r="M21" i="296" s="1"/>
  <c r="S183" i="305"/>
  <c r="P48" i="305"/>
  <c r="P156" i="305" s="1"/>
  <c r="P268" i="305" s="1"/>
  <c r="M50" i="304" s="1"/>
  <c r="P178" i="277"/>
  <c r="N52" i="305"/>
  <c r="N235" i="277"/>
  <c r="N21" i="296" s="1"/>
  <c r="M58" i="305"/>
  <c r="M278" i="305" s="1"/>
  <c r="J52" i="304" s="1"/>
  <c r="M18" i="305"/>
  <c r="M238" i="305" s="1"/>
  <c r="J44" i="304" s="1"/>
  <c r="N78" i="305"/>
  <c r="N298" i="305" s="1"/>
  <c r="K56" i="304" s="1"/>
  <c r="M161" i="277"/>
  <c r="M187" i="277"/>
  <c r="R43" i="305"/>
  <c r="R149" i="305" s="1"/>
  <c r="R263" i="305" s="1"/>
  <c r="O49" i="304" s="1"/>
  <c r="O149" i="277"/>
  <c r="V97" i="277"/>
  <c r="U97" i="277"/>
  <c r="R38" i="305"/>
  <c r="R142" i="305" s="1"/>
  <c r="R258" i="305" s="1"/>
  <c r="O48" i="304" s="1"/>
  <c r="R33" i="305"/>
  <c r="R135" i="305" s="1"/>
  <c r="R253" i="305" s="1"/>
  <c r="O47" i="304" s="1"/>
  <c r="K130" i="304"/>
  <c r="O135" i="304"/>
  <c r="J131" i="304"/>
  <c r="M189" i="277"/>
  <c r="O151" i="295"/>
  <c r="V13" i="295"/>
  <c r="O30" i="295"/>
  <c r="U13" i="295"/>
  <c r="O59" i="295"/>
  <c r="M153" i="295"/>
  <c r="M61" i="295"/>
  <c r="M199" i="295" s="1"/>
  <c r="M38" i="296" s="1"/>
  <c r="M61" i="296" s="1"/>
  <c r="R151" i="295"/>
  <c r="R59" i="295"/>
  <c r="R30" i="295"/>
  <c r="M154" i="295"/>
  <c r="M62" i="295"/>
  <c r="M200" i="295" s="1"/>
  <c r="M39" i="296" s="1"/>
  <c r="R158" i="295"/>
  <c r="R66" i="295"/>
  <c r="R204" i="295" s="1"/>
  <c r="R43" i="296" s="1"/>
  <c r="P165" i="295"/>
  <c r="P73" i="295"/>
  <c r="P211" i="295" s="1"/>
  <c r="P50" i="296" s="1"/>
  <c r="P156" i="295"/>
  <c r="P64" i="295"/>
  <c r="P202" i="295" s="1"/>
  <c r="P41" i="296" s="1"/>
  <c r="O65" i="295"/>
  <c r="U19" i="295"/>
  <c r="O157" i="295"/>
  <c r="V19" i="295"/>
  <c r="Q190" i="277"/>
  <c r="R175" i="277"/>
  <c r="P87" i="305"/>
  <c r="P12" i="305"/>
  <c r="S135" i="309"/>
  <c r="S253" i="309" s="1"/>
  <c r="P126" i="304" s="1"/>
  <c r="P142" i="309"/>
  <c r="P258" i="309" s="1"/>
  <c r="M127" i="304" s="1"/>
  <c r="U131" i="295"/>
  <c r="V131" i="295"/>
  <c r="Q17" i="305"/>
  <c r="O72" i="305"/>
  <c r="V83" i="277"/>
  <c r="U83" i="277"/>
  <c r="O163" i="277"/>
  <c r="O241" i="277" s="1"/>
  <c r="V111" i="277"/>
  <c r="U111" i="277"/>
  <c r="R23" i="305"/>
  <c r="R121" i="305" s="1"/>
  <c r="R243" i="305" s="1"/>
  <c r="O45" i="304" s="1"/>
  <c r="N155" i="295"/>
  <c r="N63" i="295"/>
  <c r="N201" i="295" s="1"/>
  <c r="N40" i="296" s="1"/>
  <c r="R57" i="305"/>
  <c r="R236" i="277"/>
  <c r="R22" i="296" s="1"/>
  <c r="R68" i="296" s="1"/>
  <c r="P114" i="293"/>
  <c r="O88" i="309"/>
  <c r="V164" i="293"/>
  <c r="U164" i="293"/>
  <c r="V99" i="295"/>
  <c r="P67" i="305"/>
  <c r="P238" i="277"/>
  <c r="P24" i="296" s="1"/>
  <c r="S12" i="305"/>
  <c r="S88" i="277"/>
  <c r="S97" i="305" s="1"/>
  <c r="S189" i="277"/>
  <c r="O92" i="305"/>
  <c r="V87" i="277"/>
  <c r="U87" i="277"/>
  <c r="S164" i="277"/>
  <c r="S190" i="277"/>
  <c r="Q12" i="305"/>
  <c r="Q88" i="277"/>
  <c r="Q97" i="305" s="1"/>
  <c r="V112" i="293"/>
  <c r="R177" i="277"/>
  <c r="Q67" i="305"/>
  <c r="Q238" i="277"/>
  <c r="Q24" i="296" s="1"/>
  <c r="Q70" i="296" s="1"/>
  <c r="N72" i="296"/>
  <c r="K125" i="304"/>
  <c r="Q159" i="295"/>
  <c r="Q67" i="295"/>
  <c r="Q205" i="295" s="1"/>
  <c r="Q44" i="296" s="1"/>
  <c r="Q67" i="296" s="1"/>
  <c r="M37" i="305"/>
  <c r="M232" i="277"/>
  <c r="M18" i="296" s="1"/>
  <c r="M64" i="296" s="1"/>
  <c r="O27" i="305"/>
  <c r="P188" i="277"/>
  <c r="M77" i="305"/>
  <c r="M240" i="277"/>
  <c r="M26" i="296" s="1"/>
  <c r="M72" i="296" s="1"/>
  <c r="O210" i="295"/>
  <c r="N62" i="305"/>
  <c r="N237" i="277"/>
  <c r="N23" i="296" s="1"/>
  <c r="P47" i="305"/>
  <c r="P234" i="277"/>
  <c r="P20" i="296" s="1"/>
  <c r="R48" i="305"/>
  <c r="R156" i="305" s="1"/>
  <c r="R268" i="305" s="1"/>
  <c r="O50" i="304" s="1"/>
  <c r="N87" i="305"/>
  <c r="N242" i="277"/>
  <c r="N28" i="296" s="1"/>
  <c r="Q77" i="305"/>
  <c r="K197" i="295"/>
  <c r="K76" i="295"/>
  <c r="Q185" i="277"/>
  <c r="R77" i="305"/>
  <c r="R240" i="277"/>
  <c r="R26" i="296" s="1"/>
  <c r="N42" i="305"/>
  <c r="N233" i="277"/>
  <c r="N19" i="296" s="1"/>
  <c r="S53" i="305"/>
  <c r="S163" i="305" s="1"/>
  <c r="S273" i="305" s="1"/>
  <c r="P51" i="304" s="1"/>
  <c r="S149" i="277"/>
  <c r="S227" i="277" s="1"/>
  <c r="O159" i="277"/>
  <c r="O237" i="277" s="1"/>
  <c r="P83" i="305"/>
  <c r="P303" i="305" s="1"/>
  <c r="M57" i="304" s="1"/>
  <c r="U110" i="277"/>
  <c r="O162" i="277"/>
  <c r="O188" i="277"/>
  <c r="N53" i="305"/>
  <c r="N273" i="305" s="1"/>
  <c r="K51" i="304" s="1"/>
  <c r="O153" i="277"/>
  <c r="V101" i="277"/>
  <c r="U101" i="277"/>
  <c r="P53" i="305"/>
  <c r="P163" i="305" s="1"/>
  <c r="P273" i="305" s="1"/>
  <c r="M51" i="304" s="1"/>
  <c r="N43" i="305"/>
  <c r="N263" i="305" s="1"/>
  <c r="K49" i="304" s="1"/>
  <c r="V133" i="295"/>
  <c r="U133" i="295"/>
  <c r="O201" i="295"/>
  <c r="M133" i="304"/>
  <c r="P137" i="304"/>
  <c r="K132" i="304"/>
  <c r="K137" i="304"/>
  <c r="J126" i="304"/>
  <c r="M67" i="295"/>
  <c r="M205" i="295" s="1"/>
  <c r="M44" i="296" s="1"/>
  <c r="M159" i="295"/>
  <c r="S58" i="305"/>
  <c r="S170" i="305" s="1"/>
  <c r="S278" i="305" s="1"/>
  <c r="P52" i="304" s="1"/>
  <c r="O162" i="295"/>
  <c r="O70" i="295"/>
  <c r="V24" i="295"/>
  <c r="U24" i="295"/>
  <c r="S156" i="295"/>
  <c r="S64" i="295"/>
  <c r="S202" i="295" s="1"/>
  <c r="S41" i="296" s="1"/>
  <c r="N61" i="295"/>
  <c r="N199" i="295" s="1"/>
  <c r="N38" i="296" s="1"/>
  <c r="N61" i="296" s="1"/>
  <c r="N153" i="295"/>
  <c r="S157" i="295"/>
  <c r="S65" i="295"/>
  <c r="S203" i="295" s="1"/>
  <c r="S42" i="296" s="1"/>
  <c r="R71" i="295"/>
  <c r="R209" i="295" s="1"/>
  <c r="R48" i="296" s="1"/>
  <c r="R163" i="295"/>
  <c r="M166" i="295"/>
  <c r="M74" i="295"/>
  <c r="M212" i="295" s="1"/>
  <c r="M51" i="296" s="1"/>
  <c r="M157" i="295"/>
  <c r="M65" i="295"/>
  <c r="M203" i="295" s="1"/>
  <c r="M42" i="296" s="1"/>
  <c r="U23" i="295"/>
  <c r="O161" i="295"/>
  <c r="O69" i="295"/>
  <c r="V23" i="295"/>
  <c r="R28" i="305"/>
  <c r="R128" i="305" s="1"/>
  <c r="R248" i="305" s="1"/>
  <c r="O46" i="304" s="1"/>
  <c r="P72" i="305"/>
  <c r="P239" i="277"/>
  <c r="P25" i="296" s="1"/>
  <c r="P71" i="296" s="1"/>
  <c r="P180" i="277"/>
  <c r="V143" i="295"/>
  <c r="U143" i="295"/>
  <c r="U104" i="293"/>
  <c r="M312" i="305"/>
  <c r="J33" i="304" s="1"/>
  <c r="Q93" i="305"/>
  <c r="Q313" i="305" s="1"/>
  <c r="N59" i="304" s="1"/>
  <c r="P175" i="277"/>
  <c r="U98" i="293"/>
  <c r="O150" i="293"/>
  <c r="V98" i="293"/>
  <c r="O151" i="293"/>
  <c r="V99" i="293"/>
  <c r="U99" i="293"/>
  <c r="S142" i="309"/>
  <c r="S258" i="309" s="1"/>
  <c r="P127" i="304" s="1"/>
  <c r="O145" i="295"/>
  <c r="M17" i="305"/>
  <c r="M228" i="277"/>
  <c r="M14" i="296" s="1"/>
  <c r="M60" i="296" s="1"/>
  <c r="S33" i="305"/>
  <c r="S135" i="305" s="1"/>
  <c r="S253" i="305" s="1"/>
  <c r="P47" i="304" s="1"/>
  <c r="P93" i="305"/>
  <c r="P313" i="305" s="1"/>
  <c r="M59" i="304" s="1"/>
  <c r="P70" i="295"/>
  <c r="P208" i="295" s="1"/>
  <c r="P47" i="296" s="1"/>
  <c r="P162" i="295"/>
  <c r="O166" i="295"/>
  <c r="V28" i="295"/>
  <c r="U28" i="295"/>
  <c r="O74" i="295"/>
  <c r="M48" i="305"/>
  <c r="M268" i="305" s="1"/>
  <c r="J50" i="304" s="1"/>
  <c r="P17" i="305"/>
  <c r="P228" i="277"/>
  <c r="P14" i="296" s="1"/>
  <c r="P60" i="296" s="1"/>
  <c r="R22" i="305"/>
  <c r="R229" i="277"/>
  <c r="R15" i="296" s="1"/>
  <c r="M125" i="304"/>
  <c r="S197" i="295"/>
  <c r="M28" i="305"/>
  <c r="M248" i="305" s="1"/>
  <c r="J46" i="304" s="1"/>
  <c r="O178" i="277"/>
  <c r="P77" i="305"/>
  <c r="P240" i="277"/>
  <c r="P26" i="296" s="1"/>
  <c r="S43" i="305"/>
  <c r="S149" i="305" s="1"/>
  <c r="S263" i="305" s="1"/>
  <c r="P49" i="304" s="1"/>
  <c r="V129" i="295"/>
  <c r="U129" i="295"/>
  <c r="Q57" i="305"/>
  <c r="U80" i="277"/>
  <c r="S211" i="305"/>
  <c r="N72" i="305"/>
  <c r="N239" i="277"/>
  <c r="N25" i="296" s="1"/>
  <c r="N159" i="295"/>
  <c r="N67" i="295"/>
  <c r="N205" i="295" s="1"/>
  <c r="N44" i="296" s="1"/>
  <c r="J76" i="295"/>
  <c r="S152" i="277"/>
  <c r="S178" i="277"/>
  <c r="P57" i="305"/>
  <c r="P236" i="277"/>
  <c r="P22" i="296" s="1"/>
  <c r="K168" i="295"/>
  <c r="K47" i="304"/>
  <c r="N137" i="304"/>
  <c r="S127" i="305"/>
  <c r="P68" i="305"/>
  <c r="P288" i="305" s="1"/>
  <c r="M54" i="304" s="1"/>
  <c r="Q62" i="305"/>
  <c r="Q237" i="277"/>
  <c r="Q23" i="296" s="1"/>
  <c r="Q88" i="305"/>
  <c r="Q212" i="305" s="1"/>
  <c r="Q308" i="305" s="1"/>
  <c r="N58" i="304" s="1"/>
  <c r="Q48" i="305"/>
  <c r="Q156" i="305" s="1"/>
  <c r="Q268" i="305" s="1"/>
  <c r="N50" i="304" s="1"/>
  <c r="N18" i="305"/>
  <c r="N238" i="305" s="1"/>
  <c r="K44" i="304" s="1"/>
  <c r="M149" i="277"/>
  <c r="M175" i="277"/>
  <c r="M165" i="277"/>
  <c r="M191" i="277"/>
  <c r="P58" i="305"/>
  <c r="P170" i="305" s="1"/>
  <c r="P278" i="305" s="1"/>
  <c r="M52" i="304" s="1"/>
  <c r="O157" i="277"/>
  <c r="O235" i="277" s="1"/>
  <c r="V105" i="277"/>
  <c r="U105" i="277"/>
  <c r="R58" i="305"/>
  <c r="R170" i="305" s="1"/>
  <c r="R278" i="305" s="1"/>
  <c r="O52" i="304" s="1"/>
  <c r="R53" i="305"/>
  <c r="R163" i="305" s="1"/>
  <c r="R273" i="305" s="1"/>
  <c r="O51" i="304" s="1"/>
  <c r="N135" i="304"/>
  <c r="K129" i="304"/>
  <c r="K123" i="304"/>
  <c r="J133" i="304"/>
  <c r="J138" i="304"/>
  <c r="O129" i="304"/>
  <c r="O156" i="277"/>
  <c r="V104" i="277"/>
  <c r="U104" i="277"/>
  <c r="N157" i="295"/>
  <c r="N65" i="295"/>
  <c r="N203" i="295" s="1"/>
  <c r="N42" i="296" s="1"/>
  <c r="P157" i="295"/>
  <c r="P65" i="295"/>
  <c r="P203" i="295" s="1"/>
  <c r="P42" i="296" s="1"/>
  <c r="R157" i="295"/>
  <c r="R65" i="295"/>
  <c r="R203" i="295" s="1"/>
  <c r="R42" i="296" s="1"/>
  <c r="P66" i="295"/>
  <c r="P204" i="295" s="1"/>
  <c r="P43" i="296" s="1"/>
  <c r="P158" i="295"/>
  <c r="N165" i="295"/>
  <c r="N73" i="295"/>
  <c r="N211" i="295" s="1"/>
  <c r="N50" i="296" s="1"/>
  <c r="R154" i="295"/>
  <c r="R62" i="295"/>
  <c r="R200" i="295" s="1"/>
  <c r="R39" i="296" s="1"/>
  <c r="P69" i="295"/>
  <c r="P207" i="295" s="1"/>
  <c r="P46" i="296" s="1"/>
  <c r="P161" i="295"/>
  <c r="O73" i="295"/>
  <c r="U27" i="295"/>
  <c r="O165" i="295"/>
  <c r="V27" i="295"/>
  <c r="R87" i="305"/>
  <c r="R242" i="277"/>
  <c r="R28" i="296" s="1"/>
  <c r="P187" i="277"/>
  <c r="P37" i="305"/>
  <c r="P232" i="277"/>
  <c r="P18" i="296" s="1"/>
  <c r="Q121" i="305"/>
  <c r="Q243" i="305" s="1"/>
  <c r="N45" i="304" s="1"/>
  <c r="V104" i="293"/>
  <c r="N48" i="305"/>
  <c r="N268" i="305" s="1"/>
  <c r="K50" i="304" s="1"/>
  <c r="O155" i="293"/>
  <c r="V103" i="293"/>
  <c r="U103" i="293"/>
  <c r="U102" i="293"/>
  <c r="O154" i="293"/>
  <c r="V102" i="293"/>
  <c r="P170" i="309"/>
  <c r="P278" i="309" s="1"/>
  <c r="M131" i="304" s="1"/>
  <c r="S170" i="309"/>
  <c r="S278" i="309" s="1"/>
  <c r="P131" i="304" s="1"/>
  <c r="Q38" i="305"/>
  <c r="Q142" i="305" s="1"/>
  <c r="Q258" i="305" s="1"/>
  <c r="N48" i="304" s="1"/>
  <c r="N28" i="305"/>
  <c r="N248" i="305" s="1"/>
  <c r="K46" i="304" s="1"/>
  <c r="S160" i="277"/>
  <c r="S186" i="277"/>
  <c r="O13" i="309"/>
  <c r="Q148" i="305"/>
  <c r="P78" i="305"/>
  <c r="P298" i="305" s="1"/>
  <c r="M56" i="304" s="1"/>
  <c r="M68" i="305"/>
  <c r="M288" i="305" s="1"/>
  <c r="J54" i="304" s="1"/>
  <c r="S42" i="305"/>
  <c r="S233" i="277"/>
  <c r="S19" i="296" s="1"/>
  <c r="Q63" i="305"/>
  <c r="Q283" i="305" s="1"/>
  <c r="N53" i="304" s="1"/>
  <c r="S57" i="305"/>
  <c r="S236" i="277"/>
  <c r="S22" i="296" s="1"/>
  <c r="S68" i="296" s="1"/>
  <c r="V137" i="295"/>
  <c r="U137" i="295"/>
  <c r="Q32" i="305"/>
  <c r="Q231" i="277"/>
  <c r="Q17" i="296" s="1"/>
  <c r="M43" i="305"/>
  <c r="M263" i="305" s="1"/>
  <c r="J49" i="304" s="1"/>
  <c r="K4" i="309"/>
  <c r="K4" i="305"/>
  <c r="K4" i="295"/>
  <c r="K4" i="296"/>
  <c r="K4" i="278"/>
  <c r="K4" i="293"/>
  <c r="K4" i="277"/>
  <c r="N92" i="305"/>
  <c r="N243" i="277"/>
  <c r="N29" i="296" s="1"/>
  <c r="J135" i="304"/>
  <c r="P129" i="304"/>
  <c r="V128" i="295"/>
  <c r="Q47" i="305"/>
  <c r="Q234" i="277"/>
  <c r="Q20" i="296" s="1"/>
  <c r="Q66" i="296" s="1"/>
  <c r="S156" i="277"/>
  <c r="S182" i="277"/>
  <c r="R47" i="305"/>
  <c r="R234" i="277"/>
  <c r="R20" i="296" s="1"/>
  <c r="N47" i="305"/>
  <c r="N234" i="277"/>
  <c r="N20" i="296" s="1"/>
  <c r="R88" i="305"/>
  <c r="R212" i="305" s="1"/>
  <c r="R308" i="305" s="1"/>
  <c r="O58" i="304" s="1"/>
  <c r="L76" i="295"/>
  <c r="L197" i="295"/>
  <c r="V134" i="295"/>
  <c r="U134" i="295"/>
  <c r="U113" i="293"/>
  <c r="O165" i="293"/>
  <c r="V113" i="293"/>
  <c r="J137" i="304"/>
  <c r="V80" i="277"/>
  <c r="O197" i="305"/>
  <c r="Q73" i="305"/>
  <c r="Q293" i="305" s="1"/>
  <c r="N55" i="304" s="1"/>
  <c r="P92" i="305"/>
  <c r="P243" i="277"/>
  <c r="P29" i="296" s="1"/>
  <c r="P75" i="296" s="1"/>
  <c r="P42" i="305"/>
  <c r="P233" i="277"/>
  <c r="P19" i="296" s="1"/>
  <c r="J36" i="296"/>
  <c r="J214" i="295"/>
  <c r="J53" i="296" s="1"/>
  <c r="P32" i="305"/>
  <c r="P231" i="277"/>
  <c r="P17" i="296" s="1"/>
  <c r="V141" i="295"/>
  <c r="U141" i="295"/>
  <c r="S155" i="305"/>
  <c r="N27" i="305"/>
  <c r="N230" i="277"/>
  <c r="N16" i="296" s="1"/>
  <c r="S18" i="305"/>
  <c r="S114" i="305" s="1"/>
  <c r="S238" i="305" s="1"/>
  <c r="P44" i="304" s="1"/>
  <c r="O155" i="277"/>
  <c r="S93" i="305"/>
  <c r="S313" i="305" s="1"/>
  <c r="P59" i="304" s="1"/>
  <c r="P23" i="305"/>
  <c r="P121" i="305" s="1"/>
  <c r="P243" i="305" s="1"/>
  <c r="M45" i="304" s="1"/>
  <c r="O150" i="277"/>
  <c r="N114" i="277"/>
  <c r="N149" i="277"/>
  <c r="N227" i="277" s="1"/>
  <c r="R63" i="305"/>
  <c r="R283" i="305" s="1"/>
  <c r="O53" i="304" s="1"/>
  <c r="O161" i="277"/>
  <c r="V109" i="277"/>
  <c r="U109" i="277"/>
  <c r="P73" i="305"/>
  <c r="P293" i="305" s="1"/>
  <c r="M55" i="304" s="1"/>
  <c r="N63" i="305"/>
  <c r="N283" i="305" s="1"/>
  <c r="K53" i="304" s="1"/>
  <c r="J130" i="304"/>
  <c r="M137" i="304"/>
  <c r="M130" i="304"/>
  <c r="M132" i="304"/>
  <c r="J127" i="304"/>
  <c r="J134" i="304"/>
  <c r="N136" i="304"/>
  <c r="N129" i="304"/>
  <c r="J168" i="295"/>
  <c r="N152" i="295"/>
  <c r="N60" i="295"/>
  <c r="N198" i="295" s="1"/>
  <c r="N37" i="296" s="1"/>
  <c r="M158" i="295"/>
  <c r="M66" i="295"/>
  <c r="M204" i="295" s="1"/>
  <c r="M43" i="296" s="1"/>
  <c r="O158" i="295"/>
  <c r="V20" i="295"/>
  <c r="U20" i="295"/>
  <c r="O66" i="295"/>
  <c r="Q163" i="295"/>
  <c r="Q71" i="295"/>
  <c r="Q209" i="295" s="1"/>
  <c r="Q48" i="296" s="1"/>
  <c r="S61" i="295"/>
  <c r="S199" i="295" s="1"/>
  <c r="S38" i="296" s="1"/>
  <c r="S61" i="296" s="1"/>
  <c r="S153" i="295"/>
  <c r="N69" i="295"/>
  <c r="N207" i="295" s="1"/>
  <c r="N46" i="296" s="1"/>
  <c r="N161" i="295"/>
  <c r="M162" i="295"/>
  <c r="M70" i="295"/>
  <c r="M208" i="295" s="1"/>
  <c r="M47" i="296" s="1"/>
  <c r="N154" i="295"/>
  <c r="N62" i="295"/>
  <c r="N200" i="295" s="1"/>
  <c r="N39" i="296" s="1"/>
  <c r="R190" i="277"/>
  <c r="R17" i="305"/>
  <c r="R228" i="277"/>
  <c r="R14" i="296" s="1"/>
  <c r="R60" i="296" s="1"/>
  <c r="M42" i="305"/>
  <c r="M233" i="277"/>
  <c r="M19" i="296" s="1"/>
  <c r="O48" i="309"/>
  <c r="U156" i="293"/>
  <c r="V156" i="293"/>
  <c r="M27" i="305"/>
  <c r="M230" i="277"/>
  <c r="M16" i="296" s="1"/>
  <c r="N125" i="304"/>
  <c r="O159" i="293"/>
  <c r="V107" i="293"/>
  <c r="U107" i="293"/>
  <c r="R52" i="305"/>
  <c r="R235" i="277"/>
  <c r="R21" i="296" s="1"/>
  <c r="O169" i="305"/>
  <c r="O22" i="305"/>
  <c r="O229" i="277"/>
  <c r="V73" i="277"/>
  <c r="U73" i="277"/>
  <c r="O52" i="305"/>
  <c r="V79" i="277"/>
  <c r="U79" i="277"/>
  <c r="N17" i="305"/>
  <c r="N228" i="277"/>
  <c r="N14" i="296" s="1"/>
  <c r="N83" i="305"/>
  <c r="N303" i="305" s="1"/>
  <c r="K57" i="304" s="1"/>
  <c r="Q33" i="305"/>
  <c r="Q135" i="305" s="1"/>
  <c r="Q253" i="305" s="1"/>
  <c r="N47" i="304" s="1"/>
  <c r="S62" i="295"/>
  <c r="S200" i="295" s="1"/>
  <c r="S39" i="296" s="1"/>
  <c r="S154" i="295"/>
  <c r="R62" i="305"/>
  <c r="R237" i="277"/>
  <c r="R23" i="296" s="1"/>
  <c r="O67" i="305"/>
  <c r="U82" i="277"/>
  <c r="V82" i="277"/>
  <c r="Q179" i="277"/>
  <c r="U139" i="295"/>
  <c r="V139" i="295"/>
  <c r="J136" i="304"/>
  <c r="O134" i="304"/>
  <c r="M136" i="304"/>
  <c r="J125" i="304"/>
  <c r="K127" i="304"/>
  <c r="O130" i="304"/>
  <c r="N130" i="304"/>
  <c r="O141" i="305"/>
  <c r="R159" i="295"/>
  <c r="R67" i="295"/>
  <c r="R205" i="295" s="1"/>
  <c r="R44" i="296" s="1"/>
  <c r="Q72" i="305"/>
  <c r="Q239" i="277"/>
  <c r="Q25" i="296" s="1"/>
  <c r="U105" i="293"/>
  <c r="V105" i="293"/>
  <c r="O157" i="293"/>
  <c r="O137" i="304"/>
  <c r="Q149" i="293"/>
  <c r="Q114" i="293"/>
  <c r="U128" i="295"/>
  <c r="L168" i="295"/>
  <c r="S77" i="305"/>
  <c r="S240" i="277"/>
  <c r="S26" i="296" s="1"/>
  <c r="O114" i="293"/>
  <c r="O159" i="295"/>
  <c r="V21" i="295"/>
  <c r="U21" i="295"/>
  <c r="O67" i="295"/>
  <c r="P82" i="305"/>
  <c r="P241" i="277"/>
  <c r="P27" i="296" s="1"/>
  <c r="P191" i="277"/>
  <c r="P181" i="277"/>
  <c r="F22" i="273"/>
  <c r="K18" i="273"/>
  <c r="K19" i="273" s="1"/>
  <c r="J2" i="273"/>
  <c r="O82" i="305"/>
  <c r="V85" i="277"/>
  <c r="U85" i="277"/>
  <c r="M62" i="305"/>
  <c r="M237" i="277"/>
  <c r="M23" i="296" s="1"/>
  <c r="O164" i="277"/>
  <c r="O242" i="277" s="1"/>
  <c r="V112" i="277"/>
  <c r="U112" i="277"/>
  <c r="M22" i="305"/>
  <c r="M229" i="277"/>
  <c r="M15" i="296" s="1"/>
  <c r="N178" i="277"/>
  <c r="M78" i="305"/>
  <c r="M298" i="305" s="1"/>
  <c r="J56" i="304" s="1"/>
  <c r="M38" i="305"/>
  <c r="M258" i="305" s="1"/>
  <c r="J48" i="304" s="1"/>
  <c r="N38" i="305"/>
  <c r="N258" i="305" s="1"/>
  <c r="K48" i="304" s="1"/>
  <c r="M153" i="277"/>
  <c r="M179" i="277"/>
  <c r="P18" i="305"/>
  <c r="P114" i="305" s="1"/>
  <c r="P238" i="305" s="1"/>
  <c r="M44" i="304" s="1"/>
  <c r="N73" i="305"/>
  <c r="N293" i="305" s="1"/>
  <c r="K55" i="304" s="1"/>
  <c r="O165" i="277"/>
  <c r="V113" i="277"/>
  <c r="U113" i="277"/>
  <c r="R78" i="305"/>
  <c r="R298" i="305" s="1"/>
  <c r="O56" i="304" s="1"/>
  <c r="R73" i="305"/>
  <c r="R293" i="305" s="1"/>
  <c r="O55" i="304" s="1"/>
  <c r="S37" i="305"/>
  <c r="S232" i="277"/>
  <c r="S18" i="296" s="1"/>
  <c r="M126" i="304"/>
  <c r="K124" i="304"/>
  <c r="M129" i="304"/>
  <c r="K126" i="304"/>
  <c r="K135" i="304"/>
  <c r="P130" i="304"/>
  <c r="S62" i="305"/>
  <c r="R63" i="295"/>
  <c r="R201" i="295" s="1"/>
  <c r="R40" i="296" s="1"/>
  <c r="R155" i="295"/>
  <c r="S69" i="295"/>
  <c r="S207" i="295" s="1"/>
  <c r="S46" i="296" s="1"/>
  <c r="S161" i="295"/>
  <c r="R162" i="295"/>
  <c r="R70" i="295"/>
  <c r="R208" i="295" s="1"/>
  <c r="R47" i="296" s="1"/>
  <c r="P164" i="295"/>
  <c r="P72" i="295"/>
  <c r="P210" i="295" s="1"/>
  <c r="P49" i="296" s="1"/>
  <c r="P154" i="295"/>
  <c r="P62" i="295"/>
  <c r="P200" i="295" s="1"/>
  <c r="P39" i="296" s="1"/>
  <c r="R165" i="295"/>
  <c r="R73" i="295"/>
  <c r="R211" i="295" s="1"/>
  <c r="R50" i="296" s="1"/>
  <c r="S165" i="295"/>
  <c r="S73" i="295"/>
  <c r="S211" i="295" s="1"/>
  <c r="S50" i="296" s="1"/>
  <c r="S73" i="296" s="1"/>
  <c r="N158" i="295"/>
  <c r="N66" i="295"/>
  <c r="N204" i="295" s="1"/>
  <c r="N43" i="296" s="1"/>
  <c r="R92" i="305"/>
  <c r="R243" i="277"/>
  <c r="R29" i="296" s="1"/>
  <c r="R176" i="277"/>
  <c r="M181" i="277"/>
  <c r="M252" i="305"/>
  <c r="O87" i="305"/>
  <c r="U86" i="277"/>
  <c r="V86" i="277"/>
  <c r="M178" i="277"/>
  <c r="U106" i="293"/>
  <c r="O158" i="293"/>
  <c r="V106" i="293"/>
  <c r="S149" i="293"/>
  <c r="S114" i="293"/>
  <c r="U110" i="293"/>
  <c r="O162" i="293"/>
  <c r="V110" i="293"/>
  <c r="R149" i="293"/>
  <c r="R114" i="293"/>
  <c r="V101" i="293"/>
  <c r="R72" i="296" l="1"/>
  <c r="V107" i="277"/>
  <c r="S71" i="296"/>
  <c r="Q69" i="296"/>
  <c r="V71" i="277"/>
  <c r="U160" i="295"/>
  <c r="V160" i="295"/>
  <c r="V78" i="277"/>
  <c r="P230" i="277"/>
  <c r="P16" i="296" s="1"/>
  <c r="P62" i="296" s="1"/>
  <c r="U78" i="277"/>
  <c r="O234" i="277"/>
  <c r="P27" i="305"/>
  <c r="U103" i="277"/>
  <c r="V103" i="277"/>
  <c r="V74" i="277"/>
  <c r="V99" i="277"/>
  <c r="M66" i="296"/>
  <c r="V152" i="295"/>
  <c r="R73" i="296"/>
  <c r="O88" i="277"/>
  <c r="O97" i="305" s="1"/>
  <c r="U76" i="277"/>
  <c r="V191" i="277"/>
  <c r="U187" i="277"/>
  <c r="U71" i="277"/>
  <c r="R88" i="277"/>
  <c r="R97" i="305" s="1"/>
  <c r="R232" i="277"/>
  <c r="R18" i="296" s="1"/>
  <c r="R64" i="296" s="1"/>
  <c r="N88" i="277"/>
  <c r="N97" i="305" s="1"/>
  <c r="R37" i="305"/>
  <c r="V37" i="305" s="1"/>
  <c r="Q64" i="296"/>
  <c r="N229" i="277"/>
  <c r="N15" i="296" s="1"/>
  <c r="P88" i="277"/>
  <c r="P97" i="305" s="1"/>
  <c r="N22" i="305"/>
  <c r="N242" i="305" s="1"/>
  <c r="U81" i="277"/>
  <c r="O114" i="277"/>
  <c r="S75" i="296"/>
  <c r="V75" i="277"/>
  <c r="N236" i="277"/>
  <c r="N22" i="296" s="1"/>
  <c r="N68" i="296" s="1"/>
  <c r="P237" i="277"/>
  <c r="P23" i="296" s="1"/>
  <c r="P69" i="296" s="1"/>
  <c r="U108" i="277"/>
  <c r="S231" i="277"/>
  <c r="S17" i="296" s="1"/>
  <c r="S63" i="296" s="1"/>
  <c r="V36" i="277"/>
  <c r="P68" i="296"/>
  <c r="V164" i="295"/>
  <c r="U68" i="295"/>
  <c r="V106" i="277"/>
  <c r="Q181" i="277"/>
  <c r="V181" i="277" s="1"/>
  <c r="U36" i="277"/>
  <c r="V68" i="295"/>
  <c r="Q233" i="277"/>
  <c r="Q19" i="296" s="1"/>
  <c r="Q65" i="296" s="1"/>
  <c r="Q43" i="305"/>
  <c r="Q149" i="305" s="1"/>
  <c r="Q263" i="305" s="1"/>
  <c r="N49" i="304" s="1"/>
  <c r="P88" i="305"/>
  <c r="P212" i="305" s="1"/>
  <c r="P308" i="305" s="1"/>
  <c r="M58" i="304" s="1"/>
  <c r="U98" i="277"/>
  <c r="N63" i="296"/>
  <c r="U152" i="295"/>
  <c r="V189" i="277"/>
  <c r="R70" i="296"/>
  <c r="M168" i="295"/>
  <c r="U156" i="295"/>
  <c r="P66" i="296"/>
  <c r="M70" i="296"/>
  <c r="N69" i="296"/>
  <c r="P63" i="296"/>
  <c r="R67" i="296"/>
  <c r="Q162" i="277"/>
  <c r="U162" i="277" s="1"/>
  <c r="Q188" i="277"/>
  <c r="V188" i="277" s="1"/>
  <c r="V182" i="277"/>
  <c r="Q75" i="296"/>
  <c r="Q114" i="277"/>
  <c r="Q158" i="277"/>
  <c r="V158" i="277" s="1"/>
  <c r="Q184" i="277"/>
  <c r="V184" i="277" s="1"/>
  <c r="M164" i="277"/>
  <c r="M190" i="277"/>
  <c r="M192" i="277" s="1"/>
  <c r="S151" i="277"/>
  <c r="U151" i="277" s="1"/>
  <c r="S177" i="277"/>
  <c r="V177" i="277" s="1"/>
  <c r="N67" i="296"/>
  <c r="O186" i="277"/>
  <c r="V186" i="277" s="1"/>
  <c r="O160" i="277"/>
  <c r="V160" i="277" s="1"/>
  <c r="U155" i="295"/>
  <c r="N192" i="277"/>
  <c r="N73" i="296"/>
  <c r="N65" i="296"/>
  <c r="U175" i="277"/>
  <c r="U183" i="277"/>
  <c r="S114" i="277"/>
  <c r="Q150" i="277"/>
  <c r="V150" i="277" s="1"/>
  <c r="Q176" i="277"/>
  <c r="Q71" i="296"/>
  <c r="M114" i="277"/>
  <c r="P72" i="296"/>
  <c r="V77" i="305"/>
  <c r="V110" i="277"/>
  <c r="S159" i="277"/>
  <c r="V159" i="277" s="1"/>
  <c r="S185" i="277"/>
  <c r="V185" i="277" s="1"/>
  <c r="O166" i="293"/>
  <c r="O98" i="309" s="1"/>
  <c r="U63" i="295"/>
  <c r="V60" i="295"/>
  <c r="V145" i="295"/>
  <c r="V190" i="277"/>
  <c r="P168" i="295"/>
  <c r="R63" i="296"/>
  <c r="U191" i="277"/>
  <c r="R71" i="296"/>
  <c r="M73" i="296"/>
  <c r="V156" i="295"/>
  <c r="U114" i="293"/>
  <c r="S168" i="295"/>
  <c r="M62" i="296"/>
  <c r="U30" i="295"/>
  <c r="Q73" i="296"/>
  <c r="V57" i="305"/>
  <c r="U77" i="305"/>
  <c r="V183" i="277"/>
  <c r="U179" i="277"/>
  <c r="U72" i="295"/>
  <c r="S13" i="296"/>
  <c r="N13" i="296"/>
  <c r="O23" i="296"/>
  <c r="R13" i="296"/>
  <c r="M302" i="305"/>
  <c r="M84" i="305"/>
  <c r="R134" i="305"/>
  <c r="R34" i="305"/>
  <c r="Q189" i="293"/>
  <c r="Q85" i="293"/>
  <c r="O189" i="293"/>
  <c r="O85" i="293"/>
  <c r="V33" i="293"/>
  <c r="U33" i="293"/>
  <c r="R188" i="293"/>
  <c r="R84" i="293"/>
  <c r="Q177" i="293"/>
  <c r="Q73" i="293"/>
  <c r="S190" i="293"/>
  <c r="S86" i="293"/>
  <c r="N179" i="293"/>
  <c r="N75" i="293"/>
  <c r="R13" i="305"/>
  <c r="R107" i="305" s="1"/>
  <c r="R233" i="305" s="1"/>
  <c r="R166" i="277"/>
  <c r="R98" i="305" s="1"/>
  <c r="R99" i="305" s="1"/>
  <c r="O28" i="305"/>
  <c r="O29" i="305" s="1"/>
  <c r="V152" i="277"/>
  <c r="U152" i="277"/>
  <c r="U159" i="295"/>
  <c r="V159" i="295"/>
  <c r="Q13" i="309"/>
  <c r="Q107" i="309" s="1"/>
  <c r="Q233" i="309" s="1"/>
  <c r="Q166" i="293"/>
  <c r="Q98" i="309" s="1"/>
  <c r="O120" i="305"/>
  <c r="V22" i="305"/>
  <c r="U22" i="305"/>
  <c r="O18" i="305"/>
  <c r="O19" i="305" s="1"/>
  <c r="O43" i="305"/>
  <c r="O44" i="305" s="1"/>
  <c r="V155" i="277"/>
  <c r="U155" i="277"/>
  <c r="O38" i="309"/>
  <c r="V154" i="293"/>
  <c r="U154" i="293"/>
  <c r="R62" i="296"/>
  <c r="P65" i="296"/>
  <c r="S36" i="296"/>
  <c r="S214" i="295"/>
  <c r="S53" i="296" s="1"/>
  <c r="M67" i="296"/>
  <c r="U201" i="295"/>
  <c r="U40" i="296" s="1"/>
  <c r="V201" i="295"/>
  <c r="V40" i="296" s="1"/>
  <c r="O40" i="296"/>
  <c r="K36" i="296"/>
  <c r="K214" i="295"/>
  <c r="K53" i="296" s="1"/>
  <c r="M257" i="305"/>
  <c r="M39" i="305"/>
  <c r="P176" i="305"/>
  <c r="P64" i="305"/>
  <c r="O83" i="305"/>
  <c r="O84" i="305" s="1"/>
  <c r="V163" i="277"/>
  <c r="U163" i="277"/>
  <c r="O190" i="305"/>
  <c r="V72" i="305"/>
  <c r="U72" i="305"/>
  <c r="P211" i="305"/>
  <c r="U65" i="295"/>
  <c r="V65" i="295"/>
  <c r="O203" i="295"/>
  <c r="S162" i="305"/>
  <c r="S54" i="305"/>
  <c r="O28" i="309"/>
  <c r="U152" i="293"/>
  <c r="V152" i="293"/>
  <c r="S204" i="305"/>
  <c r="S84" i="305"/>
  <c r="U33" i="309"/>
  <c r="O135" i="309"/>
  <c r="V33" i="309"/>
  <c r="N302" i="305"/>
  <c r="N84" i="305"/>
  <c r="O199" i="295"/>
  <c r="V61" i="295"/>
  <c r="U61" i="295"/>
  <c r="U62" i="295"/>
  <c r="O200" i="295"/>
  <c r="V62" i="295"/>
  <c r="Q168" i="295"/>
  <c r="P67" i="296"/>
  <c r="O68" i="309"/>
  <c r="U160" i="293"/>
  <c r="V160" i="293"/>
  <c r="Q127" i="305"/>
  <c r="Q29" i="305"/>
  <c r="S218" i="305"/>
  <c r="S94" i="305"/>
  <c r="N297" i="305"/>
  <c r="N79" i="305"/>
  <c r="P185" i="293"/>
  <c r="P81" i="293"/>
  <c r="S189" i="293"/>
  <c r="S85" i="293"/>
  <c r="Q181" i="293"/>
  <c r="Q77" i="293"/>
  <c r="R191" i="293"/>
  <c r="R87" i="293"/>
  <c r="P176" i="293"/>
  <c r="P72" i="293"/>
  <c r="N177" i="293"/>
  <c r="N73" i="293"/>
  <c r="Q71" i="293"/>
  <c r="Q175" i="293"/>
  <c r="Q36" i="293"/>
  <c r="N176" i="293"/>
  <c r="N72" i="293"/>
  <c r="S181" i="293"/>
  <c r="S77" i="293"/>
  <c r="S182" i="293"/>
  <c r="S78" i="293"/>
  <c r="M179" i="293"/>
  <c r="M75" i="293"/>
  <c r="P177" i="293"/>
  <c r="P73" i="293"/>
  <c r="N182" i="293"/>
  <c r="N78" i="293"/>
  <c r="O186" i="293"/>
  <c r="U30" i="293"/>
  <c r="O82" i="293"/>
  <c r="V30" i="293"/>
  <c r="N183" i="293"/>
  <c r="N79" i="293"/>
  <c r="N197" i="295"/>
  <c r="N76" i="295"/>
  <c r="N71" i="296"/>
  <c r="Q141" i="305"/>
  <c r="Q39" i="305"/>
  <c r="O37" i="296"/>
  <c r="U198" i="295"/>
  <c r="U37" i="296" s="1"/>
  <c r="V198" i="295"/>
  <c r="V37" i="296" s="1"/>
  <c r="N70" i="296"/>
  <c r="S176" i="305"/>
  <c r="O15" i="296"/>
  <c r="R120" i="305"/>
  <c r="R24" i="305"/>
  <c r="R169" i="305"/>
  <c r="R59" i="305"/>
  <c r="R181" i="293"/>
  <c r="R77" i="293"/>
  <c r="N185" i="293"/>
  <c r="N81" i="293"/>
  <c r="O191" i="293"/>
  <c r="V35" i="293"/>
  <c r="U35" i="293"/>
  <c r="O87" i="293"/>
  <c r="U26" i="293"/>
  <c r="O182" i="293"/>
  <c r="O78" i="293"/>
  <c r="V26" i="293"/>
  <c r="N9" i="273"/>
  <c r="M12" i="273"/>
  <c r="M13" i="273" s="1"/>
  <c r="M4" i="273"/>
  <c r="S141" i="305"/>
  <c r="S39" i="305"/>
  <c r="O93" i="305"/>
  <c r="O94" i="305" s="1"/>
  <c r="U165" i="277"/>
  <c r="V165" i="277"/>
  <c r="Q190" i="305"/>
  <c r="Q74" i="305"/>
  <c r="O78" i="309"/>
  <c r="U162" i="293"/>
  <c r="V162" i="293"/>
  <c r="R176" i="305"/>
  <c r="R64" i="305"/>
  <c r="O162" i="305"/>
  <c r="V52" i="305"/>
  <c r="U52" i="305"/>
  <c r="N62" i="296"/>
  <c r="N60" i="296"/>
  <c r="P148" i="305"/>
  <c r="P44" i="305"/>
  <c r="O199" i="305"/>
  <c r="O297" i="305"/>
  <c r="R155" i="305"/>
  <c r="R49" i="305"/>
  <c r="N312" i="305"/>
  <c r="N94" i="305"/>
  <c r="S169" i="305"/>
  <c r="S59" i="305"/>
  <c r="U149" i="293"/>
  <c r="R211" i="305"/>
  <c r="R89" i="305"/>
  <c r="O212" i="295"/>
  <c r="V74" i="295"/>
  <c r="U74" i="295"/>
  <c r="V63" i="295"/>
  <c r="S88" i="305"/>
  <c r="S242" i="277"/>
  <c r="S28" i="296" s="1"/>
  <c r="S74" i="296" s="1"/>
  <c r="P69" i="305"/>
  <c r="P183" i="305"/>
  <c r="P64" i="296"/>
  <c r="V30" i="295"/>
  <c r="O13" i="305"/>
  <c r="O14" i="305" s="1"/>
  <c r="U149" i="277"/>
  <c r="V149" i="277"/>
  <c r="S60" i="296"/>
  <c r="S113" i="305"/>
  <c r="S19" i="305"/>
  <c r="V154" i="295"/>
  <c r="U154" i="295"/>
  <c r="O213" i="295"/>
  <c r="U75" i="295"/>
  <c r="V75" i="295"/>
  <c r="O58" i="305"/>
  <c r="O236" i="277"/>
  <c r="N39" i="305"/>
  <c r="N257" i="305"/>
  <c r="O185" i="293"/>
  <c r="O81" i="293"/>
  <c r="V29" i="293"/>
  <c r="U29" i="293"/>
  <c r="M188" i="293"/>
  <c r="M84" i="293"/>
  <c r="Q176" i="293"/>
  <c r="Q72" i="293"/>
  <c r="R36" i="293"/>
  <c r="R175" i="293"/>
  <c r="R71" i="293"/>
  <c r="Q182" i="293"/>
  <c r="Q78" i="293"/>
  <c r="P180" i="293"/>
  <c r="P76" i="293"/>
  <c r="O177" i="293"/>
  <c r="O73" i="293"/>
  <c r="V21" i="293"/>
  <c r="U21" i="293"/>
  <c r="S178" i="293"/>
  <c r="S74" i="293"/>
  <c r="O183" i="293"/>
  <c r="O79" i="293"/>
  <c r="V27" i="293"/>
  <c r="U27" i="293"/>
  <c r="M186" i="293"/>
  <c r="M82" i="293"/>
  <c r="Q180" i="293"/>
  <c r="Q76" i="293"/>
  <c r="R178" i="293"/>
  <c r="R74" i="293"/>
  <c r="P183" i="293"/>
  <c r="P79" i="293"/>
  <c r="U34" i="293"/>
  <c r="O190" i="293"/>
  <c r="V34" i="293"/>
  <c r="O86" i="293"/>
  <c r="N187" i="293"/>
  <c r="N83" i="293"/>
  <c r="N168" i="295"/>
  <c r="U181" i="277"/>
  <c r="S190" i="305"/>
  <c r="S74" i="305"/>
  <c r="O176" i="305"/>
  <c r="V62" i="305"/>
  <c r="U62" i="305"/>
  <c r="P162" i="305"/>
  <c r="P54" i="305"/>
  <c r="S13" i="305"/>
  <c r="S107" i="305" s="1"/>
  <c r="S233" i="305" s="1"/>
  <c r="N282" i="305"/>
  <c r="N64" i="305"/>
  <c r="O83" i="309"/>
  <c r="U163" i="293"/>
  <c r="V163" i="293"/>
  <c r="Q185" i="293"/>
  <c r="Q81" i="293"/>
  <c r="R187" i="293"/>
  <c r="R83" i="293"/>
  <c r="O188" i="293"/>
  <c r="O84" i="293"/>
  <c r="V32" i="293"/>
  <c r="U32" i="293"/>
  <c r="P179" i="293"/>
  <c r="P75" i="293"/>
  <c r="O27" i="296"/>
  <c r="V241" i="277"/>
  <c r="V27" i="296" s="1"/>
  <c r="U241" i="277"/>
  <c r="U27" i="296" s="1"/>
  <c r="O257" i="305"/>
  <c r="N237" i="305"/>
  <c r="N19" i="305"/>
  <c r="R54" i="305"/>
  <c r="R162" i="305"/>
  <c r="V155" i="295"/>
  <c r="O73" i="305"/>
  <c r="U161" i="277"/>
  <c r="V161" i="277"/>
  <c r="P134" i="305"/>
  <c r="P34" i="305"/>
  <c r="O107" i="309"/>
  <c r="M93" i="305"/>
  <c r="M243" i="277"/>
  <c r="M29" i="296" s="1"/>
  <c r="M75" i="296" s="1"/>
  <c r="S247" i="305"/>
  <c r="P113" i="305"/>
  <c r="P19" i="305"/>
  <c r="P192" i="277"/>
  <c r="O207" i="295"/>
  <c r="V69" i="295"/>
  <c r="U69" i="295"/>
  <c r="O33" i="305"/>
  <c r="O34" i="305" s="1"/>
  <c r="U153" i="277"/>
  <c r="V153" i="277"/>
  <c r="O243" i="277"/>
  <c r="S106" i="305"/>
  <c r="V175" i="277"/>
  <c r="U189" i="277"/>
  <c r="P244" i="277"/>
  <c r="P30" i="296" s="1"/>
  <c r="P13" i="296"/>
  <c r="R197" i="295"/>
  <c r="R76" i="295"/>
  <c r="U151" i="295"/>
  <c r="V151" i="295"/>
  <c r="O168" i="295"/>
  <c r="R204" i="305"/>
  <c r="R84" i="305"/>
  <c r="J17" i="304"/>
  <c r="N13" i="309"/>
  <c r="N233" i="309" s="1"/>
  <c r="N166" i="293"/>
  <c r="N98" i="309" s="1"/>
  <c r="P13" i="305"/>
  <c r="P107" i="305" s="1"/>
  <c r="P233" i="305" s="1"/>
  <c r="P166" i="277"/>
  <c r="P98" i="305" s="1"/>
  <c r="R106" i="305"/>
  <c r="Q63" i="296"/>
  <c r="O23" i="305"/>
  <c r="O24" i="305" s="1"/>
  <c r="Q218" i="305"/>
  <c r="Q94" i="305"/>
  <c r="V187" i="277"/>
  <c r="M122" i="304"/>
  <c r="V180" i="277"/>
  <c r="U180" i="277"/>
  <c r="N252" i="305"/>
  <c r="N34" i="305"/>
  <c r="R183" i="293"/>
  <c r="R79" i="293"/>
  <c r="R81" i="293"/>
  <c r="R185" i="293"/>
  <c r="O77" i="293"/>
  <c r="V25" i="293"/>
  <c r="O181" i="293"/>
  <c r="U25" i="293"/>
  <c r="Q183" i="293"/>
  <c r="Q79" i="293"/>
  <c r="O176" i="293"/>
  <c r="O72" i="293"/>
  <c r="V20" i="293"/>
  <c r="U20" i="293"/>
  <c r="M185" i="293"/>
  <c r="M81" i="293"/>
  <c r="R184" i="293"/>
  <c r="R80" i="293"/>
  <c r="R182" i="293"/>
  <c r="R78" i="293"/>
  <c r="M175" i="293"/>
  <c r="M71" i="293"/>
  <c r="M36" i="293"/>
  <c r="O187" i="293"/>
  <c r="O83" i="293"/>
  <c r="V31" i="293"/>
  <c r="U31" i="293"/>
  <c r="N184" i="293"/>
  <c r="N80" i="293"/>
  <c r="M183" i="293"/>
  <c r="M79" i="293"/>
  <c r="N186" i="293"/>
  <c r="N82" i="293"/>
  <c r="P178" i="293"/>
  <c r="P74" i="293"/>
  <c r="N191" i="293"/>
  <c r="N87" i="293"/>
  <c r="O134" i="305"/>
  <c r="V32" i="305"/>
  <c r="U32" i="305"/>
  <c r="M69" i="296"/>
  <c r="R69" i="296"/>
  <c r="U177" i="277"/>
  <c r="V71" i="295"/>
  <c r="O209" i="295"/>
  <c r="U71" i="295"/>
  <c r="M242" i="305"/>
  <c r="M24" i="305"/>
  <c r="M282" i="305"/>
  <c r="M64" i="305"/>
  <c r="S267" i="305"/>
  <c r="R74" i="296"/>
  <c r="Q76" i="295"/>
  <c r="Q197" i="295"/>
  <c r="M176" i="293"/>
  <c r="M72" i="293"/>
  <c r="O28" i="296"/>
  <c r="O204" i="305"/>
  <c r="V82" i="305"/>
  <c r="U82" i="305"/>
  <c r="U145" i="295"/>
  <c r="O53" i="309"/>
  <c r="U157" i="293"/>
  <c r="V157" i="293"/>
  <c r="O20" i="296"/>
  <c r="R141" i="305"/>
  <c r="R39" i="305"/>
  <c r="O204" i="295"/>
  <c r="V66" i="295"/>
  <c r="U66" i="295"/>
  <c r="L36" i="296"/>
  <c r="L214" i="295"/>
  <c r="L53" i="296" s="1"/>
  <c r="S48" i="305"/>
  <c r="S234" i="277"/>
  <c r="S20" i="296" s="1"/>
  <c r="S66" i="296" s="1"/>
  <c r="V165" i="295"/>
  <c r="U165" i="295"/>
  <c r="V161" i="295"/>
  <c r="U161" i="295"/>
  <c r="S65" i="296"/>
  <c r="U70" i="295"/>
  <c r="O208" i="295"/>
  <c r="V70" i="295"/>
  <c r="Q197" i="305"/>
  <c r="V210" i="295"/>
  <c r="V49" i="296" s="1"/>
  <c r="U210" i="295"/>
  <c r="U49" i="296" s="1"/>
  <c r="O49" i="296"/>
  <c r="O230" i="277"/>
  <c r="Q113" i="305"/>
  <c r="O106" i="305"/>
  <c r="V12" i="305"/>
  <c r="U12" i="305"/>
  <c r="R192" i="277"/>
  <c r="P73" i="296"/>
  <c r="R168" i="295"/>
  <c r="O45" i="296"/>
  <c r="U206" i="295"/>
  <c r="U45" i="296" s="1"/>
  <c r="V206" i="295"/>
  <c r="V45" i="296" s="1"/>
  <c r="O73" i="309"/>
  <c r="U161" i="293"/>
  <c r="V161" i="293"/>
  <c r="M13" i="309"/>
  <c r="M233" i="309" s="1"/>
  <c r="M166" i="293"/>
  <c r="M98" i="309" s="1"/>
  <c r="P76" i="295"/>
  <c r="S134" i="305"/>
  <c r="S34" i="305"/>
  <c r="O38" i="305"/>
  <c r="V154" i="277"/>
  <c r="U154" i="277"/>
  <c r="O232" i="277"/>
  <c r="S120" i="305"/>
  <c r="R177" i="293"/>
  <c r="R73" i="293"/>
  <c r="N77" i="293"/>
  <c r="N181" i="293"/>
  <c r="S183" i="293"/>
  <c r="S79" i="293"/>
  <c r="S187" i="293"/>
  <c r="S83" i="293"/>
  <c r="N189" i="293"/>
  <c r="N85" i="293"/>
  <c r="R179" i="293"/>
  <c r="R75" i="293"/>
  <c r="S176" i="293"/>
  <c r="S72" i="293"/>
  <c r="Q188" i="293"/>
  <c r="Q84" i="293"/>
  <c r="S177" i="293"/>
  <c r="S73" i="293"/>
  <c r="O175" i="293"/>
  <c r="O36" i="293"/>
  <c r="O71" i="293"/>
  <c r="V19" i="293"/>
  <c r="U19" i="293"/>
  <c r="R190" i="293"/>
  <c r="R86" i="293"/>
  <c r="Q184" i="293"/>
  <c r="Q80" i="293"/>
  <c r="P187" i="293"/>
  <c r="P83" i="293"/>
  <c r="P182" i="293"/>
  <c r="P78" i="293"/>
  <c r="N74" i="296"/>
  <c r="U64" i="295"/>
  <c r="O228" i="277"/>
  <c r="U182" i="277"/>
  <c r="R13" i="309"/>
  <c r="R107" i="309" s="1"/>
  <c r="R233" i="309" s="1"/>
  <c r="R166" i="293"/>
  <c r="R98" i="309" s="1"/>
  <c r="O63" i="309"/>
  <c r="V159" i="293"/>
  <c r="U159" i="293"/>
  <c r="V149" i="293"/>
  <c r="R197" i="305"/>
  <c r="R79" i="305"/>
  <c r="N307" i="305"/>
  <c r="N89" i="305"/>
  <c r="M297" i="305"/>
  <c r="M79" i="305"/>
  <c r="S13" i="309"/>
  <c r="S107" i="309" s="1"/>
  <c r="S233" i="309" s="1"/>
  <c r="S166" i="293"/>
  <c r="S98" i="309" s="1"/>
  <c r="V166" i="295"/>
  <c r="U166" i="295"/>
  <c r="V162" i="295"/>
  <c r="U162" i="295"/>
  <c r="Q13" i="296"/>
  <c r="Q204" i="305"/>
  <c r="Q84" i="305"/>
  <c r="M277" i="305"/>
  <c r="M59" i="305"/>
  <c r="Q211" i="305"/>
  <c r="Q89" i="305"/>
  <c r="S72" i="296"/>
  <c r="U167" i="295"/>
  <c r="V167" i="295"/>
  <c r="P36" i="296"/>
  <c r="P214" i="295"/>
  <c r="P53" i="296" s="1"/>
  <c r="Q24" i="305"/>
  <c r="Q120" i="305"/>
  <c r="O233" i="277"/>
  <c r="M181" i="293"/>
  <c r="M77" i="293"/>
  <c r="S184" i="293"/>
  <c r="S80" i="293"/>
  <c r="S76" i="293"/>
  <c r="S180" i="293"/>
  <c r="Q178" i="293"/>
  <c r="Q74" i="293"/>
  <c r="M177" i="293"/>
  <c r="M73" i="293"/>
  <c r="S185" i="293"/>
  <c r="S81" i="293"/>
  <c r="Q87" i="293"/>
  <c r="Q191" i="293"/>
  <c r="Q190" i="293"/>
  <c r="Q86" i="293"/>
  <c r="M191" i="293"/>
  <c r="M87" i="293"/>
  <c r="N180" i="293"/>
  <c r="N76" i="293"/>
  <c r="O180" i="293"/>
  <c r="O76" i="293"/>
  <c r="V24" i="293"/>
  <c r="U24" i="293"/>
  <c r="M178" i="293"/>
  <c r="M74" i="293"/>
  <c r="N188" i="293"/>
  <c r="N84" i="293"/>
  <c r="N190" i="293"/>
  <c r="N86" i="293"/>
  <c r="P186" i="293"/>
  <c r="P82" i="293"/>
  <c r="V64" i="295"/>
  <c r="N277" i="305"/>
  <c r="N59" i="305"/>
  <c r="U190" i="277"/>
  <c r="V179" i="277"/>
  <c r="N272" i="305"/>
  <c r="N54" i="305"/>
  <c r="O88" i="305"/>
  <c r="O89" i="305" s="1"/>
  <c r="V164" i="277"/>
  <c r="U164" i="277"/>
  <c r="O277" i="305"/>
  <c r="M247" i="305"/>
  <c r="M29" i="305"/>
  <c r="S68" i="305"/>
  <c r="S238" i="277"/>
  <c r="S24" i="296" s="1"/>
  <c r="S70" i="296" s="1"/>
  <c r="M13" i="305"/>
  <c r="M227" i="277"/>
  <c r="P169" i="305"/>
  <c r="P59" i="305"/>
  <c r="N292" i="305"/>
  <c r="N74" i="305"/>
  <c r="M237" i="305"/>
  <c r="M19" i="305"/>
  <c r="Q183" i="305"/>
  <c r="Q69" i="305"/>
  <c r="P106" i="305"/>
  <c r="O211" i="305"/>
  <c r="V87" i="305"/>
  <c r="U87" i="305"/>
  <c r="N66" i="296"/>
  <c r="N13" i="305"/>
  <c r="N233" i="305" s="1"/>
  <c r="N166" i="277"/>
  <c r="N98" i="305" s="1"/>
  <c r="N99" i="305" s="1"/>
  <c r="M76" i="295"/>
  <c r="Q155" i="305"/>
  <c r="Q49" i="305"/>
  <c r="Q134" i="305"/>
  <c r="Q34" i="305"/>
  <c r="P141" i="305"/>
  <c r="P39" i="305"/>
  <c r="U73" i="295"/>
  <c r="O211" i="295"/>
  <c r="V73" i="295"/>
  <c r="Q169" i="305"/>
  <c r="P197" i="305"/>
  <c r="P79" i="305"/>
  <c r="M65" i="296"/>
  <c r="U188" i="277"/>
  <c r="O63" i="305"/>
  <c r="V72" i="295"/>
  <c r="O127" i="305"/>
  <c r="V27" i="305"/>
  <c r="U27" i="305"/>
  <c r="O212" i="309"/>
  <c r="V88" i="309"/>
  <c r="U88" i="309"/>
  <c r="R66" i="296"/>
  <c r="M73" i="305"/>
  <c r="M239" i="277"/>
  <c r="M25" i="296" s="1"/>
  <c r="M71" i="296" s="1"/>
  <c r="S287" i="305"/>
  <c r="S185" i="305"/>
  <c r="U164" i="295"/>
  <c r="R148" i="305"/>
  <c r="R44" i="305"/>
  <c r="M307" i="305"/>
  <c r="R190" i="305"/>
  <c r="R74" i="305"/>
  <c r="R183" i="305"/>
  <c r="R69" i="305"/>
  <c r="M267" i="305"/>
  <c r="M49" i="305"/>
  <c r="P127" i="305"/>
  <c r="P29" i="305"/>
  <c r="O148" i="305"/>
  <c r="V42" i="305"/>
  <c r="U42" i="305"/>
  <c r="N287" i="305"/>
  <c r="N69" i="305"/>
  <c r="S188" i="293"/>
  <c r="S84" i="293"/>
  <c r="R180" i="293"/>
  <c r="R76" i="293"/>
  <c r="S75" i="293"/>
  <c r="S179" i="293"/>
  <c r="M184" i="293"/>
  <c r="M80" i="293"/>
  <c r="M180" i="293"/>
  <c r="M76" i="293"/>
  <c r="Q179" i="293"/>
  <c r="Q75" i="293"/>
  <c r="P188" i="293"/>
  <c r="P84" i="293"/>
  <c r="P189" i="293"/>
  <c r="P85" i="293"/>
  <c r="P181" i="293"/>
  <c r="P77" i="293"/>
  <c r="M182" i="293"/>
  <c r="M78" i="293"/>
  <c r="S186" i="293"/>
  <c r="S82" i="293"/>
  <c r="O179" i="293"/>
  <c r="U23" i="293"/>
  <c r="O75" i="293"/>
  <c r="V23" i="293"/>
  <c r="P175" i="293"/>
  <c r="P71" i="293"/>
  <c r="P36" i="293"/>
  <c r="P191" i="293"/>
  <c r="P87" i="293"/>
  <c r="P190" i="293"/>
  <c r="P86" i="293"/>
  <c r="Q162" i="305"/>
  <c r="Q54" i="305"/>
  <c r="N75" i="296"/>
  <c r="V114" i="293"/>
  <c r="V202" i="295"/>
  <c r="V41" i="296" s="1"/>
  <c r="U202" i="295"/>
  <c r="U41" i="296" s="1"/>
  <c r="O41" i="296"/>
  <c r="U17" i="305"/>
  <c r="O113" i="305"/>
  <c r="V17" i="305"/>
  <c r="P24" i="305"/>
  <c r="P120" i="305"/>
  <c r="L4" i="309"/>
  <c r="L4" i="305"/>
  <c r="L4" i="293"/>
  <c r="L4" i="296"/>
  <c r="L4" i="278"/>
  <c r="L4" i="295"/>
  <c r="L4" i="277"/>
  <c r="U163" i="295"/>
  <c r="V163" i="295"/>
  <c r="O156" i="309"/>
  <c r="V48" i="309"/>
  <c r="U48" i="309"/>
  <c r="R19" i="305"/>
  <c r="R113" i="305"/>
  <c r="S76" i="295"/>
  <c r="S64" i="296"/>
  <c r="R218" i="305"/>
  <c r="R94" i="305"/>
  <c r="P204" i="305"/>
  <c r="P84" i="305"/>
  <c r="M262" i="305"/>
  <c r="M44" i="305"/>
  <c r="N247" i="305"/>
  <c r="N29" i="305"/>
  <c r="P218" i="305"/>
  <c r="P94" i="305"/>
  <c r="Q262" i="305"/>
  <c r="O43" i="309"/>
  <c r="V155" i="293"/>
  <c r="U155" i="293"/>
  <c r="O23" i="309"/>
  <c r="V151" i="293"/>
  <c r="U151" i="293"/>
  <c r="N262" i="305"/>
  <c r="N44" i="305"/>
  <c r="P155" i="305"/>
  <c r="P49" i="305"/>
  <c r="J2" i="309"/>
  <c r="J2" i="305"/>
  <c r="J2" i="296"/>
  <c r="J2" i="293"/>
  <c r="J2" i="277"/>
  <c r="J2" i="278"/>
  <c r="J2" i="295"/>
  <c r="J26" i="273"/>
  <c r="O205" i="295"/>
  <c r="U67" i="295"/>
  <c r="V67" i="295"/>
  <c r="O21" i="296"/>
  <c r="V235" i="277"/>
  <c r="V21" i="296" s="1"/>
  <c r="U235" i="277"/>
  <c r="U21" i="296" s="1"/>
  <c r="U57" i="305"/>
  <c r="O58" i="309"/>
  <c r="V158" i="293"/>
  <c r="U158" i="293"/>
  <c r="J21" i="304"/>
  <c r="M33" i="305"/>
  <c r="M231" i="277"/>
  <c r="M17" i="296" s="1"/>
  <c r="M63" i="296" s="1"/>
  <c r="L18" i="273"/>
  <c r="L19" i="273" s="1"/>
  <c r="K2" i="273"/>
  <c r="S197" i="305"/>
  <c r="S79" i="305"/>
  <c r="O155" i="305"/>
  <c r="V47" i="305"/>
  <c r="U47" i="305"/>
  <c r="O183" i="305"/>
  <c r="V67" i="305"/>
  <c r="U67" i="305"/>
  <c r="V158" i="295"/>
  <c r="U158" i="295"/>
  <c r="O93" i="309"/>
  <c r="V165" i="293"/>
  <c r="U165" i="293"/>
  <c r="M36" i="296"/>
  <c r="M214" i="295"/>
  <c r="M53" i="296" s="1"/>
  <c r="N267" i="305"/>
  <c r="N49" i="305"/>
  <c r="S148" i="305"/>
  <c r="S44" i="305"/>
  <c r="R65" i="296"/>
  <c r="O48" i="305"/>
  <c r="O49" i="305" s="1"/>
  <c r="V156" i="277"/>
  <c r="U156" i="277"/>
  <c r="O53" i="305"/>
  <c r="O54" i="305" s="1"/>
  <c r="U157" i="277"/>
  <c r="V157" i="277"/>
  <c r="Q176" i="305"/>
  <c r="Q64" i="305"/>
  <c r="S28" i="305"/>
  <c r="S230" i="277"/>
  <c r="S16" i="296" s="1"/>
  <c r="S62" i="296" s="1"/>
  <c r="S307" i="305"/>
  <c r="V178" i="277"/>
  <c r="U178" i="277"/>
  <c r="P70" i="296"/>
  <c r="O18" i="309"/>
  <c r="V150" i="293"/>
  <c r="U150" i="293"/>
  <c r="P190" i="305"/>
  <c r="P74" i="305"/>
  <c r="O78" i="305"/>
  <c r="O240" i="277"/>
  <c r="Q106" i="305"/>
  <c r="O218" i="305"/>
  <c r="V92" i="305"/>
  <c r="U92" i="305"/>
  <c r="O239" i="277"/>
  <c r="O227" i="277"/>
  <c r="V157" i="295"/>
  <c r="U157" i="295"/>
  <c r="O197" i="295"/>
  <c r="O76" i="295"/>
  <c r="U59" i="295"/>
  <c r="V59" i="295"/>
  <c r="M272" i="305"/>
  <c r="M54" i="305"/>
  <c r="P74" i="296"/>
  <c r="R127" i="305"/>
  <c r="R29" i="305"/>
  <c r="V153" i="295"/>
  <c r="U153" i="295"/>
  <c r="M287" i="305"/>
  <c r="M69" i="305"/>
  <c r="S175" i="293"/>
  <c r="S71" i="293"/>
  <c r="S36" i="293"/>
  <c r="S191" i="293"/>
  <c r="S87" i="293"/>
  <c r="M189" i="293"/>
  <c r="M85" i="293"/>
  <c r="Q187" i="293"/>
  <c r="Q83" i="293"/>
  <c r="R176" i="293"/>
  <c r="R72" i="293"/>
  <c r="Q186" i="293"/>
  <c r="Q82" i="293"/>
  <c r="P184" i="293"/>
  <c r="P80" i="293"/>
  <c r="R189" i="293"/>
  <c r="R85" i="293"/>
  <c r="M187" i="293"/>
  <c r="M83" i="293"/>
  <c r="R186" i="293"/>
  <c r="R82" i="293"/>
  <c r="M86" i="293"/>
  <c r="M190" i="293"/>
  <c r="O184" i="293"/>
  <c r="O80" i="293"/>
  <c r="V28" i="293"/>
  <c r="U28" i="293"/>
  <c r="N178" i="293"/>
  <c r="N74" i="293"/>
  <c r="U22" i="293"/>
  <c r="O178" i="293"/>
  <c r="O74" i="293"/>
  <c r="V22" i="293"/>
  <c r="N175" i="293"/>
  <c r="N36" i="293"/>
  <c r="N71" i="293"/>
  <c r="O231" i="277"/>
  <c r="R75" i="296"/>
  <c r="Q13" i="305"/>
  <c r="Q107" i="305" s="1"/>
  <c r="Q233" i="305" s="1"/>
  <c r="U60" i="295"/>
  <c r="N232" i="305"/>
  <c r="V88" i="277" l="1"/>
  <c r="Y41" i="296"/>
  <c r="Y45" i="296"/>
  <c r="N24" i="305"/>
  <c r="Y37" i="296"/>
  <c r="X37" i="296"/>
  <c r="U37" i="305"/>
  <c r="U97" i="305"/>
  <c r="P99" i="305"/>
  <c r="U160" i="277"/>
  <c r="U88" i="277"/>
  <c r="V97" i="305"/>
  <c r="X41" i="296"/>
  <c r="Q150" i="305"/>
  <c r="V242" i="277"/>
  <c r="V28" i="296" s="1"/>
  <c r="Y28" i="296" s="1"/>
  <c r="Y27" i="296"/>
  <c r="X27" i="296"/>
  <c r="X21" i="296"/>
  <c r="Y21" i="296"/>
  <c r="U114" i="277"/>
  <c r="R244" i="277"/>
  <c r="R30" i="296" s="1"/>
  <c r="X49" i="296"/>
  <c r="Y49" i="296"/>
  <c r="Y40" i="296"/>
  <c r="X45" i="296"/>
  <c r="X40" i="296"/>
  <c r="N244" i="277"/>
  <c r="N30" i="296" s="1"/>
  <c r="P89" i="305"/>
  <c r="V114" i="277"/>
  <c r="P59" i="296"/>
  <c r="U242" i="277"/>
  <c r="U28" i="296" s="1"/>
  <c r="X28" i="296" s="1"/>
  <c r="Q44" i="305"/>
  <c r="O166" i="277"/>
  <c r="O98" i="305" s="1"/>
  <c r="O99" i="305" s="1"/>
  <c r="R14" i="305"/>
  <c r="U159" i="277"/>
  <c r="U185" i="277"/>
  <c r="U184" i="277"/>
  <c r="U150" i="277"/>
  <c r="Q192" i="277"/>
  <c r="N14" i="305"/>
  <c r="P14" i="305"/>
  <c r="U169" i="305"/>
  <c r="U141" i="305"/>
  <c r="S192" i="277"/>
  <c r="S166" i="277"/>
  <c r="S98" i="305" s="1"/>
  <c r="S99" i="305" s="1"/>
  <c r="V169" i="305"/>
  <c r="M88" i="305"/>
  <c r="M242" i="277"/>
  <c r="M28" i="296" s="1"/>
  <c r="M74" i="296" s="1"/>
  <c r="Q78" i="305"/>
  <c r="V78" i="305" s="1"/>
  <c r="V79" i="305" s="1"/>
  <c r="Q240" i="277"/>
  <c r="Q26" i="296" s="1"/>
  <c r="Q72" i="296" s="1"/>
  <c r="S59" i="296"/>
  <c r="Q18" i="305"/>
  <c r="Q228" i="277"/>
  <c r="V228" i="277" s="1"/>
  <c r="V14" i="296" s="1"/>
  <c r="S63" i="305"/>
  <c r="U63" i="305" s="1"/>
  <c r="U64" i="305" s="1"/>
  <c r="S237" i="277"/>
  <c r="Q58" i="305"/>
  <c r="V58" i="305" s="1"/>
  <c r="V59" i="305" s="1"/>
  <c r="Q236" i="277"/>
  <c r="Q22" i="296" s="1"/>
  <c r="Q68" i="296" s="1"/>
  <c r="V162" i="277"/>
  <c r="U176" i="277"/>
  <c r="Q166" i="277"/>
  <c r="Q98" i="305" s="1"/>
  <c r="Q99" i="305" s="1"/>
  <c r="U186" i="277"/>
  <c r="V176" i="277"/>
  <c r="O192" i="277"/>
  <c r="S23" i="305"/>
  <c r="V23" i="305" s="1"/>
  <c r="V24" i="305" s="1"/>
  <c r="S229" i="277"/>
  <c r="V141" i="305"/>
  <c r="M166" i="277"/>
  <c r="M98" i="305" s="1"/>
  <c r="M99" i="305" s="1"/>
  <c r="P76" i="296"/>
  <c r="V151" i="277"/>
  <c r="U158" i="277"/>
  <c r="O238" i="277"/>
  <c r="O24" i="296" s="1"/>
  <c r="O68" i="305"/>
  <c r="U68" i="305" s="1"/>
  <c r="U69" i="305" s="1"/>
  <c r="M317" i="305"/>
  <c r="V98" i="309"/>
  <c r="S14" i="305"/>
  <c r="U234" i="277"/>
  <c r="U20" i="296" s="1"/>
  <c r="X20" i="296" s="1"/>
  <c r="V197" i="305"/>
  <c r="V199" i="305" s="1"/>
  <c r="P42" i="309"/>
  <c r="P233" i="293"/>
  <c r="Q77" i="309"/>
  <c r="Q240" i="293"/>
  <c r="S242" i="305"/>
  <c r="N57" i="309"/>
  <c r="N236" i="293"/>
  <c r="S87" i="309"/>
  <c r="S242" i="293"/>
  <c r="S199" i="305"/>
  <c r="S297" i="305"/>
  <c r="O268" i="309"/>
  <c r="V156" i="309"/>
  <c r="U156" i="309"/>
  <c r="P87" i="309"/>
  <c r="P242" i="293"/>
  <c r="O32" i="309"/>
  <c r="O231" i="293"/>
  <c r="V75" i="293"/>
  <c r="U75" i="293"/>
  <c r="P129" i="305"/>
  <c r="P247" i="305"/>
  <c r="J32" i="304"/>
  <c r="M293" i="305"/>
  <c r="M74" i="305"/>
  <c r="O307" i="305"/>
  <c r="V211" i="305"/>
  <c r="U211" i="305"/>
  <c r="N294" i="305"/>
  <c r="K29" i="304"/>
  <c r="N77" i="309"/>
  <c r="N240" i="293"/>
  <c r="N37" i="309"/>
  <c r="N232" i="293"/>
  <c r="S62" i="309"/>
  <c r="S237" i="293"/>
  <c r="S57" i="309"/>
  <c r="S236" i="293"/>
  <c r="M279" i="305"/>
  <c r="J26" i="304"/>
  <c r="M299" i="305"/>
  <c r="J30" i="304"/>
  <c r="O283" i="309"/>
  <c r="V63" i="309"/>
  <c r="U63" i="309"/>
  <c r="P47" i="309"/>
  <c r="P234" i="293"/>
  <c r="U36" i="293"/>
  <c r="O232" i="305"/>
  <c r="V106" i="305"/>
  <c r="U106" i="305"/>
  <c r="Q297" i="305"/>
  <c r="Q199" i="305"/>
  <c r="M17" i="309"/>
  <c r="M228" i="293"/>
  <c r="P24" i="304"/>
  <c r="R47" i="309"/>
  <c r="R234" i="293"/>
  <c r="O17" i="309"/>
  <c r="O228" i="293"/>
  <c r="V72" i="293"/>
  <c r="U72" i="293"/>
  <c r="O121" i="305"/>
  <c r="O122" i="305" s="1"/>
  <c r="N318" i="309"/>
  <c r="K122" i="304"/>
  <c r="U168" i="295"/>
  <c r="S232" i="305"/>
  <c r="S108" i="305"/>
  <c r="O46" i="296"/>
  <c r="O69" i="296" s="1"/>
  <c r="V207" i="295"/>
  <c r="V46" i="296" s="1"/>
  <c r="U207" i="295"/>
  <c r="U46" i="296" s="1"/>
  <c r="O293" i="305"/>
  <c r="V73" i="305"/>
  <c r="V74" i="305" s="1"/>
  <c r="U73" i="305"/>
  <c r="U74" i="305" s="1"/>
  <c r="O87" i="309"/>
  <c r="O242" i="293"/>
  <c r="U86" i="293"/>
  <c r="V86" i="293"/>
  <c r="Q37" i="309"/>
  <c r="Q232" i="293"/>
  <c r="S27" i="309"/>
  <c r="S230" i="293"/>
  <c r="Q47" i="309"/>
  <c r="Q234" i="293"/>
  <c r="U166" i="293"/>
  <c r="U197" i="305"/>
  <c r="U199" i="305" s="1"/>
  <c r="O92" i="309"/>
  <c r="O243" i="293"/>
  <c r="V87" i="293"/>
  <c r="U87" i="293"/>
  <c r="Q257" i="305"/>
  <c r="Q143" i="305"/>
  <c r="S47" i="309"/>
  <c r="S234" i="293"/>
  <c r="Q12" i="309"/>
  <c r="Q227" i="293"/>
  <c r="Q88" i="293"/>
  <c r="Q97" i="309" s="1"/>
  <c r="Q99" i="309" s="1"/>
  <c r="S312" i="305"/>
  <c r="S220" i="305"/>
  <c r="M259" i="305"/>
  <c r="J22" i="304"/>
  <c r="U189" i="293"/>
  <c r="V189" i="293"/>
  <c r="N269" i="305"/>
  <c r="K24" i="304"/>
  <c r="J55" i="296"/>
  <c r="J9" i="296"/>
  <c r="J32" i="296"/>
  <c r="Q164" i="305"/>
  <c r="Q272" i="305"/>
  <c r="Q92" i="309"/>
  <c r="Q243" i="293"/>
  <c r="V53" i="309"/>
  <c r="U53" i="309"/>
  <c r="O163" i="309"/>
  <c r="M313" i="305"/>
  <c r="M94" i="305"/>
  <c r="O22" i="296"/>
  <c r="S143" i="305"/>
  <c r="S257" i="305"/>
  <c r="O38" i="296"/>
  <c r="O61" i="296" s="1"/>
  <c r="V199" i="295"/>
  <c r="V38" i="296" s="1"/>
  <c r="U199" i="295"/>
  <c r="U38" i="296" s="1"/>
  <c r="M87" i="309"/>
  <c r="M242" i="293"/>
  <c r="V76" i="295"/>
  <c r="S128" i="305"/>
  <c r="S29" i="305"/>
  <c r="O17" i="296"/>
  <c r="V231" i="277"/>
  <c r="V17" i="296" s="1"/>
  <c r="U231" i="277"/>
  <c r="U17" i="296" s="1"/>
  <c r="N27" i="309"/>
  <c r="N230" i="293"/>
  <c r="Q67" i="309"/>
  <c r="Q238" i="293"/>
  <c r="S92" i="309"/>
  <c r="S243" i="293"/>
  <c r="U76" i="295"/>
  <c r="K2" i="309"/>
  <c r="K2" i="305"/>
  <c r="K2" i="295"/>
  <c r="K2" i="296"/>
  <c r="K2" i="293"/>
  <c r="K2" i="278"/>
  <c r="K8" i="278" s="1"/>
  <c r="K26" i="273"/>
  <c r="K2" i="277"/>
  <c r="V205" i="295"/>
  <c r="V44" i="296" s="1"/>
  <c r="U205" i="295"/>
  <c r="U44" i="296" s="1"/>
  <c r="O44" i="296"/>
  <c r="O67" i="296" s="1"/>
  <c r="O121" i="309"/>
  <c r="V23" i="309"/>
  <c r="U23" i="309"/>
  <c r="R312" i="305"/>
  <c r="R220" i="305"/>
  <c r="P82" i="309"/>
  <c r="P241" i="293"/>
  <c r="M57" i="309"/>
  <c r="M236" i="293"/>
  <c r="O247" i="305"/>
  <c r="U127" i="305"/>
  <c r="V127" i="305"/>
  <c r="S288" i="305"/>
  <c r="P54" i="304" s="1"/>
  <c r="S69" i="305"/>
  <c r="V36" i="293"/>
  <c r="S17" i="309"/>
  <c r="S228" i="293"/>
  <c r="S52" i="309"/>
  <c r="S235" i="293"/>
  <c r="V232" i="277"/>
  <c r="V18" i="296" s="1"/>
  <c r="U232" i="277"/>
  <c r="U18" i="296" s="1"/>
  <c r="O18" i="296"/>
  <c r="P27" i="309"/>
  <c r="P230" i="293"/>
  <c r="V176" i="293"/>
  <c r="U176" i="293"/>
  <c r="R62" i="309"/>
  <c r="R237" i="293"/>
  <c r="O29" i="296"/>
  <c r="U243" i="277"/>
  <c r="U29" i="296" s="1"/>
  <c r="V243" i="277"/>
  <c r="V29" i="296" s="1"/>
  <c r="V13" i="309"/>
  <c r="L22" i="304"/>
  <c r="O282" i="305"/>
  <c r="U176" i="305"/>
  <c r="U178" i="305" s="1"/>
  <c r="O178" i="305"/>
  <c r="V176" i="305"/>
  <c r="V178" i="305" s="1"/>
  <c r="V162" i="305"/>
  <c r="U162" i="305"/>
  <c r="O272" i="305"/>
  <c r="Q292" i="305"/>
  <c r="Q192" i="305"/>
  <c r="J4" i="304"/>
  <c r="M4" i="309"/>
  <c r="M4" i="305"/>
  <c r="M4" i="278"/>
  <c r="M4" i="295"/>
  <c r="M4" i="293"/>
  <c r="M4" i="296"/>
  <c r="M4" i="277"/>
  <c r="N244" i="305"/>
  <c r="K19" i="304"/>
  <c r="V186" i="293"/>
  <c r="U186" i="293"/>
  <c r="N22" i="309"/>
  <c r="N229" i="293"/>
  <c r="S82" i="309"/>
  <c r="S241" i="293"/>
  <c r="O149" i="305"/>
  <c r="O150" i="305" s="1"/>
  <c r="V43" i="305"/>
  <c r="V44" i="305" s="1"/>
  <c r="U43" i="305"/>
  <c r="V120" i="305"/>
  <c r="O242" i="305"/>
  <c r="U120" i="305"/>
  <c r="O128" i="305"/>
  <c r="O129" i="305" s="1"/>
  <c r="U28" i="305"/>
  <c r="U29" i="305" s="1"/>
  <c r="V28" i="305"/>
  <c r="V29" i="305" s="1"/>
  <c r="Q22" i="309"/>
  <c r="Q229" i="293"/>
  <c r="Q82" i="309"/>
  <c r="Q241" i="293"/>
  <c r="O50" i="296"/>
  <c r="O73" i="296" s="1"/>
  <c r="V211" i="295"/>
  <c r="V50" i="296" s="1"/>
  <c r="U211" i="295"/>
  <c r="U50" i="296" s="1"/>
  <c r="M192" i="293"/>
  <c r="O67" i="309"/>
  <c r="O238" i="293"/>
  <c r="U82" i="293"/>
  <c r="V82" i="293"/>
  <c r="Q192" i="293"/>
  <c r="S302" i="305"/>
  <c r="S206" i="305"/>
  <c r="P312" i="305"/>
  <c r="P220" i="305"/>
  <c r="R67" i="309"/>
  <c r="R238" i="293"/>
  <c r="N12" i="309"/>
  <c r="N227" i="293"/>
  <c r="N88" i="293"/>
  <c r="N97" i="309" s="1"/>
  <c r="N99" i="309" s="1"/>
  <c r="O298" i="305"/>
  <c r="O299" i="305" s="1"/>
  <c r="O79" i="305"/>
  <c r="Q282" i="305"/>
  <c r="Q178" i="305"/>
  <c r="U48" i="305"/>
  <c r="U49" i="305" s="1"/>
  <c r="O156" i="305"/>
  <c r="O157" i="305" s="1"/>
  <c r="V48" i="305"/>
  <c r="V49" i="305" s="1"/>
  <c r="O287" i="305"/>
  <c r="O185" i="305"/>
  <c r="V183" i="305"/>
  <c r="V185" i="305" s="1"/>
  <c r="U183" i="305"/>
  <c r="U185" i="305" s="1"/>
  <c r="L2" i="273"/>
  <c r="M18" i="273"/>
  <c r="M19" i="273" s="1"/>
  <c r="V58" i="309"/>
  <c r="U58" i="309"/>
  <c r="O170" i="309"/>
  <c r="J30" i="273"/>
  <c r="J3" i="273"/>
  <c r="J29" i="273"/>
  <c r="J31" i="273"/>
  <c r="N249" i="305"/>
  <c r="K20" i="304"/>
  <c r="P92" i="309"/>
  <c r="P243" i="293"/>
  <c r="V179" i="293"/>
  <c r="U179" i="293"/>
  <c r="N289" i="305"/>
  <c r="K28" i="304"/>
  <c r="M269" i="305"/>
  <c r="J24" i="304"/>
  <c r="R262" i="305"/>
  <c r="R150" i="305"/>
  <c r="P257" i="305"/>
  <c r="P143" i="305"/>
  <c r="P232" i="305"/>
  <c r="P108" i="305"/>
  <c r="P277" i="305"/>
  <c r="P171" i="305"/>
  <c r="N279" i="305"/>
  <c r="K26" i="304"/>
  <c r="M27" i="309"/>
  <c r="M230" i="293"/>
  <c r="M92" i="309"/>
  <c r="M243" i="293"/>
  <c r="M22" i="309"/>
  <c r="M229" i="293"/>
  <c r="M42" i="309"/>
  <c r="M233" i="293"/>
  <c r="Q302" i="305"/>
  <c r="Q206" i="305"/>
  <c r="N309" i="305"/>
  <c r="K32" i="304"/>
  <c r="O122" i="304"/>
  <c r="P72" i="309"/>
  <c r="P239" i="293"/>
  <c r="O12" i="309"/>
  <c r="O227" i="293"/>
  <c r="V71" i="293"/>
  <c r="U71" i="293"/>
  <c r="O88" i="293"/>
  <c r="O97" i="309" s="1"/>
  <c r="M318" i="309"/>
  <c r="J122" i="304"/>
  <c r="Q237" i="305"/>
  <c r="V208" i="295"/>
  <c r="V47" i="296" s="1"/>
  <c r="U208" i="295"/>
  <c r="U47" i="296" s="1"/>
  <c r="O47" i="296"/>
  <c r="Q36" i="296"/>
  <c r="Q59" i="296" s="1"/>
  <c r="Q214" i="295"/>
  <c r="Q53" i="296" s="1"/>
  <c r="M284" i="305"/>
  <c r="J27" i="304"/>
  <c r="R57" i="309"/>
  <c r="R236" i="293"/>
  <c r="Q52" i="309"/>
  <c r="Q235" i="293"/>
  <c r="R52" i="309"/>
  <c r="R235" i="293"/>
  <c r="R232" i="305"/>
  <c r="R108" i="305"/>
  <c r="R36" i="296"/>
  <c r="R59" i="296" s="1"/>
  <c r="R214" i="295"/>
  <c r="R53" i="296" s="1"/>
  <c r="U13" i="309"/>
  <c r="O77" i="309"/>
  <c r="O240" i="293"/>
  <c r="V84" i="293"/>
  <c r="U84" i="293"/>
  <c r="O303" i="309"/>
  <c r="V83" i="309"/>
  <c r="U83" i="309"/>
  <c r="P43" i="304"/>
  <c r="V190" i="293"/>
  <c r="U190" i="293"/>
  <c r="M67" i="309"/>
  <c r="M238" i="293"/>
  <c r="R12" i="309"/>
  <c r="R227" i="293"/>
  <c r="R88" i="293"/>
  <c r="R97" i="309" s="1"/>
  <c r="R99" i="309" s="1"/>
  <c r="S115" i="305"/>
  <c r="S237" i="305"/>
  <c r="S171" i="305"/>
  <c r="S277" i="305"/>
  <c r="M17" i="273"/>
  <c r="S282" i="305"/>
  <c r="S178" i="305"/>
  <c r="N47" i="309"/>
  <c r="N234" i="293"/>
  <c r="S42" i="309"/>
  <c r="S233" i="293"/>
  <c r="Q129" i="305"/>
  <c r="Q247" i="305"/>
  <c r="N304" i="305"/>
  <c r="K31" i="304"/>
  <c r="O128" i="309"/>
  <c r="V28" i="309"/>
  <c r="U28" i="309"/>
  <c r="P307" i="305"/>
  <c r="P213" i="305"/>
  <c r="N43" i="304"/>
  <c r="P57" i="309"/>
  <c r="P236" i="293"/>
  <c r="M274" i="305"/>
  <c r="J25" i="304"/>
  <c r="O237" i="305"/>
  <c r="V113" i="305"/>
  <c r="U113" i="305"/>
  <c r="O292" i="305"/>
  <c r="O192" i="305"/>
  <c r="V190" i="305"/>
  <c r="V192" i="305" s="1"/>
  <c r="U190" i="305"/>
  <c r="U192" i="305" s="1"/>
  <c r="O114" i="309"/>
  <c r="U18" i="309"/>
  <c r="V18" i="309"/>
  <c r="R17" i="309"/>
  <c r="R228" i="293"/>
  <c r="U218" i="305"/>
  <c r="U220" i="305" s="1"/>
  <c r="O312" i="305"/>
  <c r="O220" i="305"/>
  <c r="V218" i="305"/>
  <c r="V220" i="305" s="1"/>
  <c r="P122" i="305"/>
  <c r="P242" i="305"/>
  <c r="S67" i="309"/>
  <c r="S238" i="293"/>
  <c r="P77" i="309"/>
  <c r="P240" i="293"/>
  <c r="P297" i="305"/>
  <c r="P199" i="305"/>
  <c r="N318" i="305"/>
  <c r="K43" i="304"/>
  <c r="M13" i="296"/>
  <c r="M59" i="296" s="1"/>
  <c r="O212" i="305"/>
  <c r="O213" i="305" s="1"/>
  <c r="U88" i="305"/>
  <c r="U89" i="305" s="1"/>
  <c r="V88" i="305"/>
  <c r="V89" i="305" s="1"/>
  <c r="R32" i="309"/>
  <c r="R231" i="293"/>
  <c r="V230" i="277"/>
  <c r="V16" i="296" s="1"/>
  <c r="U230" i="277"/>
  <c r="U16" i="296" s="1"/>
  <c r="O16" i="296"/>
  <c r="V204" i="295"/>
  <c r="V43" i="296" s="1"/>
  <c r="U204" i="295"/>
  <c r="U43" i="296" s="1"/>
  <c r="O43" i="296"/>
  <c r="O66" i="296" s="1"/>
  <c r="N67" i="309"/>
  <c r="N238" i="293"/>
  <c r="O72" i="309"/>
  <c r="V83" i="293"/>
  <c r="U83" i="293"/>
  <c r="O239" i="293"/>
  <c r="P237" i="305"/>
  <c r="P115" i="305"/>
  <c r="V107" i="309"/>
  <c r="U107" i="309"/>
  <c r="O233" i="309"/>
  <c r="R164" i="305"/>
  <c r="R272" i="305"/>
  <c r="V188" i="293"/>
  <c r="U188" i="293"/>
  <c r="S192" i="305"/>
  <c r="S292" i="305"/>
  <c r="R192" i="293"/>
  <c r="O62" i="309"/>
  <c r="O237" i="293"/>
  <c r="U81" i="293"/>
  <c r="V81" i="293"/>
  <c r="O170" i="305"/>
  <c r="O59" i="305"/>
  <c r="O9" i="273"/>
  <c r="N12" i="273"/>
  <c r="N13" i="273" s="1"/>
  <c r="N17" i="273" s="1"/>
  <c r="N4" i="273"/>
  <c r="V191" i="293"/>
  <c r="U191" i="293"/>
  <c r="R171" i="305"/>
  <c r="R277" i="305"/>
  <c r="N36" i="296"/>
  <c r="N59" i="296" s="1"/>
  <c r="N214" i="295"/>
  <c r="N53" i="296" s="1"/>
  <c r="P17" i="309"/>
  <c r="P228" i="293"/>
  <c r="P62" i="309"/>
  <c r="P237" i="293"/>
  <c r="U200" i="295"/>
  <c r="U39" i="296" s="1"/>
  <c r="O39" i="296"/>
  <c r="V200" i="295"/>
  <c r="V39" i="296" s="1"/>
  <c r="O303" i="305"/>
  <c r="V83" i="305"/>
  <c r="V84" i="305" s="1"/>
  <c r="U83" i="305"/>
  <c r="U84" i="305" s="1"/>
  <c r="N122" i="304"/>
  <c r="R77" i="309"/>
  <c r="R240" i="293"/>
  <c r="S77" i="309"/>
  <c r="S240" i="293"/>
  <c r="V180" i="293"/>
  <c r="U180" i="293"/>
  <c r="S37" i="309"/>
  <c r="S232" i="293"/>
  <c r="S72" i="309"/>
  <c r="S239" i="293"/>
  <c r="O42" i="309"/>
  <c r="O233" i="293"/>
  <c r="U77" i="293"/>
  <c r="V77" i="293"/>
  <c r="N284" i="305"/>
  <c r="K27" i="304"/>
  <c r="O107" i="305"/>
  <c r="O108" i="305" s="1"/>
  <c r="V13" i="305"/>
  <c r="V14" i="305" s="1"/>
  <c r="U13" i="305"/>
  <c r="U14" i="305" s="1"/>
  <c r="Q42" i="309"/>
  <c r="Q233" i="293"/>
  <c r="O82" i="309"/>
  <c r="O241" i="293"/>
  <c r="U85" i="293"/>
  <c r="V85" i="293"/>
  <c r="V93" i="309"/>
  <c r="U93" i="309"/>
  <c r="J8" i="278"/>
  <c r="P157" i="305"/>
  <c r="P267" i="305"/>
  <c r="O149" i="309"/>
  <c r="V43" i="309"/>
  <c r="U43" i="309"/>
  <c r="M264" i="305"/>
  <c r="J23" i="304"/>
  <c r="R237" i="305"/>
  <c r="R115" i="305"/>
  <c r="S32" i="309"/>
  <c r="S231" i="293"/>
  <c r="U44" i="305"/>
  <c r="R287" i="305"/>
  <c r="R185" i="305"/>
  <c r="O308" i="309"/>
  <c r="V212" i="309"/>
  <c r="U212" i="309"/>
  <c r="Q136" i="305"/>
  <c r="Q252" i="305"/>
  <c r="Q185" i="305"/>
  <c r="Q287" i="305"/>
  <c r="M249" i="305"/>
  <c r="J20" i="304"/>
  <c r="P67" i="309"/>
  <c r="P238" i="293"/>
  <c r="Q87" i="309"/>
  <c r="Q242" i="293"/>
  <c r="Q27" i="309"/>
  <c r="Q230" i="293"/>
  <c r="O19" i="296"/>
  <c r="U233" i="277"/>
  <c r="U19" i="296" s="1"/>
  <c r="V233" i="277"/>
  <c r="V19" i="296" s="1"/>
  <c r="R297" i="305"/>
  <c r="R199" i="305"/>
  <c r="Q57" i="309"/>
  <c r="Q236" i="293"/>
  <c r="V175" i="293"/>
  <c r="U175" i="293"/>
  <c r="O192" i="293"/>
  <c r="N42" i="309"/>
  <c r="N233" i="293"/>
  <c r="V234" i="277"/>
  <c r="V20" i="296" s="1"/>
  <c r="Y20" i="296" s="1"/>
  <c r="O302" i="305"/>
  <c r="U204" i="305"/>
  <c r="U206" i="305" s="1"/>
  <c r="O206" i="305"/>
  <c r="V204" i="305"/>
  <c r="V206" i="305" s="1"/>
  <c r="M244" i="305"/>
  <c r="J19" i="304"/>
  <c r="V187" i="293"/>
  <c r="U187" i="293"/>
  <c r="M62" i="309"/>
  <c r="M237" i="293"/>
  <c r="Q312" i="305"/>
  <c r="Q220" i="305"/>
  <c r="P20" i="304"/>
  <c r="R72" i="309"/>
  <c r="R239" i="293"/>
  <c r="P52" i="309"/>
  <c r="P235" i="293"/>
  <c r="O22" i="309"/>
  <c r="O229" i="293"/>
  <c r="U73" i="293"/>
  <c r="V73" i="293"/>
  <c r="U185" i="293"/>
  <c r="V185" i="293"/>
  <c r="P287" i="305"/>
  <c r="P185" i="305"/>
  <c r="V212" i="295"/>
  <c r="V51" i="296" s="1"/>
  <c r="U212" i="295"/>
  <c r="U51" i="296" s="1"/>
  <c r="O51" i="296"/>
  <c r="O74" i="296" s="1"/>
  <c r="N314" i="305"/>
  <c r="K33" i="304"/>
  <c r="P150" i="305"/>
  <c r="P262" i="305"/>
  <c r="R282" i="305"/>
  <c r="R178" i="305"/>
  <c r="O313" i="305"/>
  <c r="V93" i="305"/>
  <c r="V94" i="305" s="1"/>
  <c r="U93" i="305"/>
  <c r="U94" i="305" s="1"/>
  <c r="N62" i="309"/>
  <c r="N237" i="293"/>
  <c r="N52" i="309"/>
  <c r="N235" i="293"/>
  <c r="P22" i="309"/>
  <c r="P229" i="293"/>
  <c r="N17" i="309"/>
  <c r="N228" i="293"/>
  <c r="O253" i="309"/>
  <c r="U135" i="309"/>
  <c r="V135" i="309"/>
  <c r="S272" i="305"/>
  <c r="S164" i="305"/>
  <c r="O114" i="305"/>
  <c r="O115" i="305" s="1"/>
  <c r="V18" i="305"/>
  <c r="V19" i="305" s="1"/>
  <c r="U18" i="305"/>
  <c r="U19" i="305" s="1"/>
  <c r="R318" i="305"/>
  <c r="O43" i="304"/>
  <c r="R136" i="305"/>
  <c r="R252" i="305"/>
  <c r="V178" i="293"/>
  <c r="U178" i="293"/>
  <c r="M82" i="309"/>
  <c r="M241" i="293"/>
  <c r="O25" i="296"/>
  <c r="V239" i="277"/>
  <c r="V25" i="296" s="1"/>
  <c r="U239" i="277"/>
  <c r="U25" i="296" s="1"/>
  <c r="P302" i="305"/>
  <c r="P206" i="305"/>
  <c r="M37" i="309"/>
  <c r="M232" i="293"/>
  <c r="O298" i="309"/>
  <c r="V78" i="309"/>
  <c r="U78" i="309"/>
  <c r="M289" i="305"/>
  <c r="J28" i="304"/>
  <c r="N317" i="305"/>
  <c r="N234" i="305"/>
  <c r="K17" i="304"/>
  <c r="M72" i="309"/>
  <c r="M239" i="293"/>
  <c r="V197" i="295"/>
  <c r="U197" i="295"/>
  <c r="O214" i="295"/>
  <c r="O53" i="296" s="1"/>
  <c r="O36" i="296"/>
  <c r="N192" i="293"/>
  <c r="R82" i="309"/>
  <c r="R241" i="293"/>
  <c r="S192" i="293"/>
  <c r="Q108" i="305"/>
  <c r="Q232" i="305"/>
  <c r="S150" i="305"/>
  <c r="S262" i="305"/>
  <c r="M253" i="305"/>
  <c r="M34" i="305"/>
  <c r="J220" i="277"/>
  <c r="J194" i="277"/>
  <c r="J168" i="277"/>
  <c r="J90" i="277"/>
  <c r="J142" i="277"/>
  <c r="J12" i="277"/>
  <c r="J116" i="277"/>
  <c r="J64" i="277"/>
  <c r="J38" i="277"/>
  <c r="P12" i="309"/>
  <c r="P227" i="293"/>
  <c r="P88" i="293"/>
  <c r="P97" i="309" s="1"/>
  <c r="P99" i="309" s="1"/>
  <c r="M47" i="309"/>
  <c r="M234" i="293"/>
  <c r="Q32" i="309"/>
  <c r="Q231" i="293"/>
  <c r="R37" i="309"/>
  <c r="R232" i="293"/>
  <c r="P28" i="304"/>
  <c r="Q277" i="305"/>
  <c r="L26" i="304"/>
  <c r="Q242" i="305"/>
  <c r="Q122" i="305"/>
  <c r="V166" i="293"/>
  <c r="O14" i="296"/>
  <c r="S22" i="309"/>
  <c r="S229" i="293"/>
  <c r="N82" i="309"/>
  <c r="N241" i="293"/>
  <c r="R22" i="309"/>
  <c r="R229" i="293"/>
  <c r="O142" i="305"/>
  <c r="V38" i="305"/>
  <c r="V39" i="305" s="1"/>
  <c r="U38" i="305"/>
  <c r="O39" i="305"/>
  <c r="V73" i="309"/>
  <c r="U73" i="309"/>
  <c r="O293" i="309"/>
  <c r="R143" i="305"/>
  <c r="R257" i="305"/>
  <c r="M52" i="309"/>
  <c r="M235" i="293"/>
  <c r="U181" i="293"/>
  <c r="V181" i="293"/>
  <c r="N254" i="305"/>
  <c r="K21" i="304"/>
  <c r="R302" i="305"/>
  <c r="R206" i="305"/>
  <c r="O135" i="305"/>
  <c r="O136" i="305" s="1"/>
  <c r="U33" i="305"/>
  <c r="U34" i="305" s="1"/>
  <c r="V33" i="305"/>
  <c r="V34" i="305" s="1"/>
  <c r="P252" i="305"/>
  <c r="P136" i="305"/>
  <c r="P164" i="305"/>
  <c r="P272" i="305"/>
  <c r="U177" i="293"/>
  <c r="V177" i="293"/>
  <c r="Q17" i="309"/>
  <c r="Q228" i="293"/>
  <c r="N259" i="305"/>
  <c r="K22" i="304"/>
  <c r="O47" i="309"/>
  <c r="O234" i="293"/>
  <c r="V78" i="293"/>
  <c r="U78" i="293"/>
  <c r="R122" i="305"/>
  <c r="R242" i="305"/>
  <c r="R92" i="309"/>
  <c r="R243" i="293"/>
  <c r="O288" i="309"/>
  <c r="V68" i="309"/>
  <c r="U68" i="309"/>
  <c r="O142" i="309"/>
  <c r="U38" i="309"/>
  <c r="V38" i="309"/>
  <c r="N32" i="309"/>
  <c r="N231" i="293"/>
  <c r="U98" i="309"/>
  <c r="S252" i="305"/>
  <c r="S136" i="305"/>
  <c r="N92" i="309"/>
  <c r="N243" i="293"/>
  <c r="V168" i="295"/>
  <c r="V183" i="293"/>
  <c r="U183" i="293"/>
  <c r="M77" i="309"/>
  <c r="M240" i="293"/>
  <c r="S212" i="305"/>
  <c r="S89" i="305"/>
  <c r="L30" i="304"/>
  <c r="J124" i="295"/>
  <c r="J55" i="295"/>
  <c r="J101" i="295"/>
  <c r="J32" i="295"/>
  <c r="J193" i="295"/>
  <c r="J147" i="295"/>
  <c r="J170" i="295"/>
  <c r="J78" i="295"/>
  <c r="J9" i="295"/>
  <c r="S12" i="309"/>
  <c r="S227" i="293"/>
  <c r="S88" i="293"/>
  <c r="S97" i="309" s="1"/>
  <c r="S99" i="309" s="1"/>
  <c r="R247" i="305"/>
  <c r="R129" i="305"/>
  <c r="Q14" i="305"/>
  <c r="P292" i="305"/>
  <c r="P192" i="305"/>
  <c r="O57" i="309"/>
  <c r="O236" i="293"/>
  <c r="V80" i="293"/>
  <c r="U80" i="293"/>
  <c r="Q72" i="309"/>
  <c r="Q239" i="293"/>
  <c r="P32" i="304"/>
  <c r="O27" i="309"/>
  <c r="O230" i="293"/>
  <c r="V74" i="293"/>
  <c r="U74" i="293"/>
  <c r="U184" i="293"/>
  <c r="V184" i="293"/>
  <c r="O13" i="296"/>
  <c r="V227" i="277"/>
  <c r="U227" i="277"/>
  <c r="V240" i="277"/>
  <c r="V26" i="296" s="1"/>
  <c r="O26" i="296"/>
  <c r="U240" i="277"/>
  <c r="U26" i="296" s="1"/>
  <c r="V53" i="305"/>
  <c r="V54" i="305" s="1"/>
  <c r="U53" i="305"/>
  <c r="U54" i="305" s="1"/>
  <c r="O163" i="305"/>
  <c r="U155" i="305"/>
  <c r="O267" i="305"/>
  <c r="V155" i="305"/>
  <c r="J220" i="293"/>
  <c r="J194" i="293"/>
  <c r="J90" i="293"/>
  <c r="J142" i="293"/>
  <c r="J12" i="293"/>
  <c r="J168" i="293"/>
  <c r="J116" i="293"/>
  <c r="J38" i="293"/>
  <c r="J64" i="293"/>
  <c r="N264" i="305"/>
  <c r="K23" i="304"/>
  <c r="Q264" i="305"/>
  <c r="N23" i="304"/>
  <c r="P192" i="293"/>
  <c r="O262" i="305"/>
  <c r="V148" i="305"/>
  <c r="U148" i="305"/>
  <c r="R192" i="305"/>
  <c r="R292" i="305"/>
  <c r="O283" i="305"/>
  <c r="V63" i="305"/>
  <c r="V64" i="305" s="1"/>
  <c r="Q157" i="305"/>
  <c r="Q267" i="305"/>
  <c r="M239" i="305"/>
  <c r="J18" i="304"/>
  <c r="M233" i="305"/>
  <c r="M14" i="305"/>
  <c r="N274" i="305"/>
  <c r="K25" i="304"/>
  <c r="N87" i="309"/>
  <c r="N242" i="293"/>
  <c r="O37" i="309"/>
  <c r="O232" i="293"/>
  <c r="V76" i="293"/>
  <c r="U76" i="293"/>
  <c r="Q307" i="305"/>
  <c r="Q213" i="305"/>
  <c r="P122" i="304"/>
  <c r="R87" i="309"/>
  <c r="R242" i="293"/>
  <c r="S156" i="305"/>
  <c r="S49" i="305"/>
  <c r="U209" i="295"/>
  <c r="U48" i="296" s="1"/>
  <c r="O48" i="296"/>
  <c r="O71" i="296" s="1"/>
  <c r="V209" i="295"/>
  <c r="V48" i="296" s="1"/>
  <c r="Y48" i="296" s="1"/>
  <c r="O252" i="305"/>
  <c r="V134" i="305"/>
  <c r="U134" i="305"/>
  <c r="M12" i="309"/>
  <c r="M227" i="293"/>
  <c r="M88" i="293"/>
  <c r="M97" i="309" s="1"/>
  <c r="M99" i="309" s="1"/>
  <c r="P318" i="305"/>
  <c r="M43" i="304"/>
  <c r="V192" i="277"/>
  <c r="N239" i="305"/>
  <c r="K18" i="304"/>
  <c r="P32" i="309"/>
  <c r="P231" i="293"/>
  <c r="Q62" i="309"/>
  <c r="Q237" i="293"/>
  <c r="O64" i="305"/>
  <c r="N72" i="309"/>
  <c r="N239" i="293"/>
  <c r="R27" i="309"/>
  <c r="R230" i="293"/>
  <c r="O52" i="309"/>
  <c r="V79" i="293"/>
  <c r="U79" i="293"/>
  <c r="O235" i="293"/>
  <c r="P37" i="309"/>
  <c r="P232" i="293"/>
  <c r="V213" i="295"/>
  <c r="V52" i="296" s="1"/>
  <c r="U213" i="295"/>
  <c r="U52" i="296" s="1"/>
  <c r="O52" i="296"/>
  <c r="O75" i="296" s="1"/>
  <c r="U166" i="277"/>
  <c r="R307" i="305"/>
  <c r="R213" i="305"/>
  <c r="R267" i="305"/>
  <c r="R157" i="305"/>
  <c r="V182" i="293"/>
  <c r="U182" i="293"/>
  <c r="R42" i="309"/>
  <c r="R233" i="293"/>
  <c r="M32" i="309"/>
  <c r="M231" i="293"/>
  <c r="N299" i="305"/>
  <c r="K30" i="304"/>
  <c r="O42" i="296"/>
  <c r="V203" i="295"/>
  <c r="V42" i="296" s="1"/>
  <c r="U203" i="295"/>
  <c r="U42" i="296" s="1"/>
  <c r="O74" i="305"/>
  <c r="P178" i="305"/>
  <c r="P282" i="305"/>
  <c r="M304" i="305"/>
  <c r="J31" i="304"/>
  <c r="X50" i="296" l="1"/>
  <c r="Y50" i="296"/>
  <c r="O244" i="277"/>
  <c r="O30" i="296" s="1"/>
  <c r="U39" i="305"/>
  <c r="U238" i="277"/>
  <c r="U24" i="296" s="1"/>
  <c r="X24" i="296" s="1"/>
  <c r="S244" i="277"/>
  <c r="S30" i="296" s="1"/>
  <c r="S76" i="296" s="1"/>
  <c r="N76" i="296"/>
  <c r="X48" i="296"/>
  <c r="X43" i="296"/>
  <c r="U236" i="277"/>
  <c r="U22" i="296" s="1"/>
  <c r="X22" i="296" s="1"/>
  <c r="Y46" i="296"/>
  <c r="Y43" i="296"/>
  <c r="X42" i="296"/>
  <c r="Y42" i="296"/>
  <c r="X19" i="296"/>
  <c r="Y19" i="296"/>
  <c r="X16" i="296"/>
  <c r="Y16" i="296"/>
  <c r="X29" i="296"/>
  <c r="Y29" i="296"/>
  <c r="O64" i="296"/>
  <c r="Y18" i="296"/>
  <c r="X18" i="296"/>
  <c r="O72" i="296"/>
  <c r="V72" i="296" s="1"/>
  <c r="Y26" i="296"/>
  <c r="X26" i="296"/>
  <c r="O63" i="296"/>
  <c r="U63" i="296" s="1"/>
  <c r="Y17" i="296"/>
  <c r="X17" i="296"/>
  <c r="O60" i="296"/>
  <c r="R76" i="296"/>
  <c r="Y25" i="296"/>
  <c r="X25" i="296"/>
  <c r="O68" i="296"/>
  <c r="V68" i="296" s="1"/>
  <c r="X52" i="296"/>
  <c r="X51" i="296"/>
  <c r="Y44" i="296"/>
  <c r="X38" i="296"/>
  <c r="X44" i="296"/>
  <c r="Y52" i="296"/>
  <c r="Y51" i="296"/>
  <c r="Y38" i="296"/>
  <c r="X47" i="296"/>
  <c r="Y47" i="296"/>
  <c r="X39" i="296"/>
  <c r="Y39" i="296"/>
  <c r="X46" i="296"/>
  <c r="V68" i="305"/>
  <c r="V69" i="305" s="1"/>
  <c r="U58" i="305"/>
  <c r="U59" i="305" s="1"/>
  <c r="V166" i="277"/>
  <c r="V238" i="277"/>
  <c r="V24" i="296" s="1"/>
  <c r="Y24" i="296" s="1"/>
  <c r="O70" i="296"/>
  <c r="U70" i="296" s="1"/>
  <c r="U78" i="305"/>
  <c r="U79" i="305" s="1"/>
  <c r="V98" i="305"/>
  <c r="V99" i="305" s="1"/>
  <c r="U192" i="277"/>
  <c r="S289" i="305"/>
  <c r="U98" i="305"/>
  <c r="U99" i="305" s="1"/>
  <c r="N319" i="305"/>
  <c r="O65" i="296"/>
  <c r="V65" i="296" s="1"/>
  <c r="M244" i="277"/>
  <c r="M30" i="296" s="1"/>
  <c r="M76" i="296" s="1"/>
  <c r="U228" i="277"/>
  <c r="U14" i="296" s="1"/>
  <c r="U23" i="305"/>
  <c r="U24" i="305" s="1"/>
  <c r="M308" i="305"/>
  <c r="M318" i="305" s="1"/>
  <c r="M319" i="305" s="1"/>
  <c r="M89" i="305"/>
  <c r="O62" i="296"/>
  <c r="V62" i="296" s="1"/>
  <c r="Q114" i="305"/>
  <c r="V114" i="305" s="1"/>
  <c r="V115" i="305" s="1"/>
  <c r="Q19" i="305"/>
  <c r="V236" i="277"/>
  <c r="V22" i="296" s="1"/>
  <c r="Y22" i="296" s="1"/>
  <c r="S23" i="296"/>
  <c r="V237" i="277"/>
  <c r="V23" i="296" s="1"/>
  <c r="U237" i="277"/>
  <c r="U23" i="296" s="1"/>
  <c r="Q298" i="305"/>
  <c r="N56" i="304" s="1"/>
  <c r="Q79" i="305"/>
  <c r="S15" i="296"/>
  <c r="V229" i="277"/>
  <c r="V15" i="296" s="1"/>
  <c r="U229" i="277"/>
  <c r="U15" i="296" s="1"/>
  <c r="V257" i="305"/>
  <c r="V297" i="305"/>
  <c r="O69" i="305"/>
  <c r="O288" i="305"/>
  <c r="O289" i="305" s="1"/>
  <c r="S121" i="305"/>
  <c r="V121" i="305" s="1"/>
  <c r="V122" i="305" s="1"/>
  <c r="S24" i="305"/>
  <c r="S283" i="305"/>
  <c r="P53" i="304" s="1"/>
  <c r="S64" i="305"/>
  <c r="Q170" i="305"/>
  <c r="Q59" i="305"/>
  <c r="Q14" i="296"/>
  <c r="Q60" i="296" s="1"/>
  <c r="Q244" i="277"/>
  <c r="Q30" i="296" s="1"/>
  <c r="Q76" i="296" s="1"/>
  <c r="U277" i="305"/>
  <c r="O76" i="296"/>
  <c r="U297" i="305"/>
  <c r="J34" i="304"/>
  <c r="P294" i="305"/>
  <c r="M29" i="304"/>
  <c r="P274" i="305"/>
  <c r="M25" i="304"/>
  <c r="N237" i="309"/>
  <c r="N19" i="309"/>
  <c r="U192" i="293"/>
  <c r="U308" i="309"/>
  <c r="V308" i="309"/>
  <c r="L137" i="304"/>
  <c r="P309" i="305"/>
  <c r="M32" i="304"/>
  <c r="U88" i="293"/>
  <c r="U67" i="296"/>
  <c r="V67" i="296"/>
  <c r="K101" i="295"/>
  <c r="K78" i="295"/>
  <c r="K170" i="295"/>
  <c r="K9" i="295"/>
  <c r="K32" i="295"/>
  <c r="K124" i="295"/>
  <c r="K55" i="295"/>
  <c r="K193" i="295"/>
  <c r="K147" i="295"/>
  <c r="Q183" i="309"/>
  <c r="Q69" i="309"/>
  <c r="S248" i="305"/>
  <c r="S129" i="305"/>
  <c r="S259" i="305"/>
  <c r="P22" i="304"/>
  <c r="S29" i="309"/>
  <c r="S127" i="309"/>
  <c r="O211" i="309"/>
  <c r="O89" i="309"/>
  <c r="V87" i="309"/>
  <c r="V89" i="309" s="1"/>
  <c r="U87" i="309"/>
  <c r="U89" i="309" s="1"/>
  <c r="S64" i="309"/>
  <c r="S176" i="309"/>
  <c r="K81" i="304"/>
  <c r="J55" i="304"/>
  <c r="M294" i="305"/>
  <c r="V231" i="293"/>
  <c r="U231" i="293"/>
  <c r="V268" i="309"/>
  <c r="U268" i="309"/>
  <c r="L129" i="304"/>
  <c r="P39" i="309"/>
  <c r="P141" i="309"/>
  <c r="R127" i="309"/>
  <c r="R29" i="309"/>
  <c r="R211" i="309"/>
  <c r="R89" i="309"/>
  <c r="V232" i="293"/>
  <c r="U232" i="293"/>
  <c r="J43" i="304"/>
  <c r="M234" i="305"/>
  <c r="L53" i="304"/>
  <c r="N75" i="304"/>
  <c r="U267" i="305"/>
  <c r="V267" i="305"/>
  <c r="L24" i="304"/>
  <c r="Q190" i="309"/>
  <c r="Q74" i="309"/>
  <c r="N252" i="309"/>
  <c r="N34" i="309"/>
  <c r="K74" i="304"/>
  <c r="R304" i="305"/>
  <c r="O31" i="304"/>
  <c r="R259" i="305"/>
  <c r="O22" i="304"/>
  <c r="Q244" i="305"/>
  <c r="N19" i="304"/>
  <c r="R39" i="309"/>
  <c r="R141" i="309"/>
  <c r="R204" i="309"/>
  <c r="R84" i="309"/>
  <c r="R254" i="305"/>
  <c r="O21" i="304"/>
  <c r="N282" i="309"/>
  <c r="N64" i="309"/>
  <c r="K85" i="304"/>
  <c r="V192" i="293"/>
  <c r="J75" i="304"/>
  <c r="U241" i="293"/>
  <c r="V241" i="293"/>
  <c r="K79" i="304"/>
  <c r="R279" i="305"/>
  <c r="O26" i="304"/>
  <c r="U233" i="309"/>
  <c r="V233" i="309"/>
  <c r="L122" i="304"/>
  <c r="P299" i="305"/>
  <c r="M30" i="304"/>
  <c r="V240" i="293"/>
  <c r="U240" i="293"/>
  <c r="J79" i="304"/>
  <c r="V88" i="293"/>
  <c r="K84" i="304"/>
  <c r="M247" i="309"/>
  <c r="M29" i="309"/>
  <c r="P259" i="305"/>
  <c r="M22" i="304"/>
  <c r="J3" i="309"/>
  <c r="J3" i="305"/>
  <c r="J3" i="293"/>
  <c r="J3" i="296"/>
  <c r="J3" i="277"/>
  <c r="J3" i="295"/>
  <c r="J3" i="278"/>
  <c r="Q204" i="309"/>
  <c r="Q84" i="309"/>
  <c r="V242" i="305"/>
  <c r="U242" i="305"/>
  <c r="L19" i="304"/>
  <c r="S162" i="309"/>
  <c r="S54" i="309"/>
  <c r="P204" i="309"/>
  <c r="P84" i="309"/>
  <c r="Q244" i="293"/>
  <c r="S317" i="305"/>
  <c r="S234" i="305"/>
  <c r="P17" i="304"/>
  <c r="R49" i="309"/>
  <c r="R155" i="309"/>
  <c r="J78" i="304"/>
  <c r="O134" i="309"/>
  <c r="V32" i="309"/>
  <c r="V34" i="309" s="1"/>
  <c r="U32" i="309"/>
  <c r="U34" i="309" s="1"/>
  <c r="O34" i="309"/>
  <c r="S299" i="305"/>
  <c r="P30" i="304"/>
  <c r="Q197" i="309"/>
  <c r="Q79" i="309"/>
  <c r="R239" i="305"/>
  <c r="O18" i="304"/>
  <c r="P169" i="309"/>
  <c r="P59" i="309"/>
  <c r="M262" i="309"/>
  <c r="M44" i="309"/>
  <c r="O183" i="309"/>
  <c r="O69" i="309"/>
  <c r="V67" i="309"/>
  <c r="V69" i="309" s="1"/>
  <c r="U67" i="309"/>
  <c r="U69" i="309" s="1"/>
  <c r="K71" i="304"/>
  <c r="P162" i="309"/>
  <c r="P54" i="309"/>
  <c r="J71" i="304"/>
  <c r="Q211" i="309"/>
  <c r="Q89" i="309"/>
  <c r="Q289" i="305"/>
  <c r="N28" i="304"/>
  <c r="R289" i="305"/>
  <c r="O28" i="304"/>
  <c r="V82" i="309"/>
  <c r="V84" i="309" s="1"/>
  <c r="U82" i="309"/>
  <c r="U84" i="309" s="1"/>
  <c r="O204" i="309"/>
  <c r="O84" i="309"/>
  <c r="S190" i="309"/>
  <c r="S74" i="309"/>
  <c r="S294" i="305"/>
  <c r="P29" i="304"/>
  <c r="O190" i="309"/>
  <c r="O74" i="309"/>
  <c r="V72" i="309"/>
  <c r="V74" i="309" s="1"/>
  <c r="U72" i="309"/>
  <c r="U74" i="309" s="1"/>
  <c r="S148" i="309"/>
  <c r="S44" i="309"/>
  <c r="S279" i="305"/>
  <c r="P26" i="304"/>
  <c r="R244" i="293"/>
  <c r="O79" i="309"/>
  <c r="V77" i="309"/>
  <c r="V79" i="309" s="1"/>
  <c r="U77" i="309"/>
  <c r="U79" i="309" s="1"/>
  <c r="O197" i="309"/>
  <c r="R54" i="309"/>
  <c r="R162" i="309"/>
  <c r="V227" i="293"/>
  <c r="U227" i="293"/>
  <c r="O244" i="293"/>
  <c r="K78" i="304"/>
  <c r="S304" i="305"/>
  <c r="P31" i="304"/>
  <c r="S204" i="309"/>
  <c r="S84" i="309"/>
  <c r="P127" i="309"/>
  <c r="P29" i="309"/>
  <c r="V64" i="296"/>
  <c r="U64" i="296"/>
  <c r="K76" i="304"/>
  <c r="Q106" i="309"/>
  <c r="Q14" i="309"/>
  <c r="Q299" i="305"/>
  <c r="N30" i="304"/>
  <c r="U252" i="305"/>
  <c r="V252" i="305"/>
  <c r="L21" i="304"/>
  <c r="N302" i="309"/>
  <c r="N84" i="309"/>
  <c r="S264" i="305"/>
  <c r="P23" i="304"/>
  <c r="V66" i="296"/>
  <c r="U66" i="296"/>
  <c r="R19" i="309"/>
  <c r="R113" i="309"/>
  <c r="R169" i="309"/>
  <c r="R59" i="309"/>
  <c r="Q284" i="305"/>
  <c r="N27" i="304"/>
  <c r="U71" i="296"/>
  <c r="V71" i="296"/>
  <c r="O39" i="309"/>
  <c r="O141" i="309"/>
  <c r="V37" i="309"/>
  <c r="V39" i="309" s="1"/>
  <c r="U37" i="309"/>
  <c r="U39" i="309" s="1"/>
  <c r="R294" i="305"/>
  <c r="O29" i="304"/>
  <c r="V288" i="309"/>
  <c r="U288" i="309"/>
  <c r="L133" i="304"/>
  <c r="K73" i="304"/>
  <c r="V142" i="305"/>
  <c r="V143" i="305" s="1"/>
  <c r="O258" i="305"/>
  <c r="U142" i="305"/>
  <c r="U143" i="305" s="1"/>
  <c r="O143" i="305"/>
  <c r="P244" i="293"/>
  <c r="M292" i="309"/>
  <c r="M74" i="309"/>
  <c r="S274" i="305"/>
  <c r="P25" i="304"/>
  <c r="J83" i="304"/>
  <c r="V235" i="293"/>
  <c r="U235" i="293"/>
  <c r="P34" i="309"/>
  <c r="P134" i="309"/>
  <c r="M244" i="293"/>
  <c r="K75" i="304"/>
  <c r="V13" i="296"/>
  <c r="Y13" i="296" s="1"/>
  <c r="V230" i="293"/>
  <c r="U230" i="293"/>
  <c r="R249" i="305"/>
  <c r="O20" i="304"/>
  <c r="M297" i="309"/>
  <c r="M79" i="309"/>
  <c r="V234" i="293"/>
  <c r="U234" i="293"/>
  <c r="S120" i="309"/>
  <c r="S24" i="309"/>
  <c r="P14" i="309"/>
  <c r="P106" i="309"/>
  <c r="K69" i="304"/>
  <c r="K34" i="304"/>
  <c r="U298" i="309"/>
  <c r="V298" i="309"/>
  <c r="L135" i="304"/>
  <c r="O60" i="304"/>
  <c r="P120" i="309"/>
  <c r="P24" i="309"/>
  <c r="V74" i="296"/>
  <c r="U74" i="296"/>
  <c r="Q314" i="305"/>
  <c r="N33" i="304"/>
  <c r="P176" i="309"/>
  <c r="P64" i="309"/>
  <c r="O278" i="305"/>
  <c r="V170" i="305"/>
  <c r="V171" i="305" s="1"/>
  <c r="U170" i="305"/>
  <c r="U171" i="305" s="1"/>
  <c r="O171" i="305"/>
  <c r="O308" i="305"/>
  <c r="O309" i="305" s="1"/>
  <c r="V212" i="305"/>
  <c r="V213" i="305" s="1"/>
  <c r="U212" i="305"/>
  <c r="U213" i="305" s="1"/>
  <c r="O238" i="309"/>
  <c r="V114" i="309"/>
  <c r="U114" i="309"/>
  <c r="V237" i="305"/>
  <c r="U237" i="305"/>
  <c r="L18" i="304"/>
  <c r="O248" i="309"/>
  <c r="V128" i="309"/>
  <c r="U128" i="309"/>
  <c r="R106" i="309"/>
  <c r="R14" i="309"/>
  <c r="N18" i="304"/>
  <c r="O106" i="309"/>
  <c r="V12" i="309"/>
  <c r="V14" i="309" s="1"/>
  <c r="U12" i="309"/>
  <c r="U14" i="309" s="1"/>
  <c r="O14" i="309"/>
  <c r="M242" i="309"/>
  <c r="M24" i="309"/>
  <c r="R264" i="305"/>
  <c r="O23" i="304"/>
  <c r="O278" i="309"/>
  <c r="V170" i="309"/>
  <c r="U170" i="309"/>
  <c r="V287" i="305"/>
  <c r="U287" i="305"/>
  <c r="L28" i="304"/>
  <c r="R183" i="309"/>
  <c r="R69" i="309"/>
  <c r="V247" i="305"/>
  <c r="U247" i="305"/>
  <c r="L20" i="304"/>
  <c r="K220" i="277"/>
  <c r="K194" i="277"/>
  <c r="K168" i="277"/>
  <c r="K90" i="277"/>
  <c r="K142" i="277"/>
  <c r="K12" i="277"/>
  <c r="K116" i="277"/>
  <c r="K64" i="277"/>
  <c r="K38" i="277"/>
  <c r="N29" i="309"/>
  <c r="N247" i="309"/>
  <c r="J74" i="304"/>
  <c r="V243" i="293"/>
  <c r="U243" i="293"/>
  <c r="Q141" i="309"/>
  <c r="Q39" i="309"/>
  <c r="K139" i="304"/>
  <c r="P155" i="309"/>
  <c r="P49" i="309"/>
  <c r="N257" i="309"/>
  <c r="N39" i="309"/>
  <c r="P249" i="305"/>
  <c r="M20" i="304"/>
  <c r="M252" i="309"/>
  <c r="M34" i="309"/>
  <c r="P304" i="305"/>
  <c r="M31" i="304"/>
  <c r="J72" i="304"/>
  <c r="R309" i="305"/>
  <c r="O32" i="304"/>
  <c r="J70" i="304"/>
  <c r="U13" i="296"/>
  <c r="X13" i="296" s="1"/>
  <c r="N312" i="309"/>
  <c r="N94" i="309"/>
  <c r="K82" i="304"/>
  <c r="R44" i="309"/>
  <c r="R148" i="309"/>
  <c r="U75" i="296"/>
  <c r="V75" i="296"/>
  <c r="N292" i="309"/>
  <c r="N74" i="309"/>
  <c r="K70" i="304"/>
  <c r="M232" i="309"/>
  <c r="M14" i="309"/>
  <c r="O273" i="305"/>
  <c r="O274" i="305" s="1"/>
  <c r="V163" i="305"/>
  <c r="V164" i="305" s="1"/>
  <c r="U163" i="305"/>
  <c r="U164" i="305" s="1"/>
  <c r="O127" i="309"/>
  <c r="U27" i="309"/>
  <c r="U29" i="309" s="1"/>
  <c r="O29" i="309"/>
  <c r="V27" i="309"/>
  <c r="V29" i="309" s="1"/>
  <c r="O155" i="309"/>
  <c r="O49" i="309"/>
  <c r="U47" i="309"/>
  <c r="U49" i="309" s="1"/>
  <c r="V47" i="309"/>
  <c r="V49" i="309" s="1"/>
  <c r="P254" i="305"/>
  <c r="M21" i="304"/>
  <c r="V293" i="309"/>
  <c r="U293" i="309"/>
  <c r="L134" i="304"/>
  <c r="P80" i="304"/>
  <c r="Q134" i="309"/>
  <c r="Q34" i="309"/>
  <c r="Q317" i="305"/>
  <c r="Q234" i="305"/>
  <c r="N17" i="304"/>
  <c r="O59" i="296"/>
  <c r="V313" i="305"/>
  <c r="U313" i="305"/>
  <c r="L59" i="304"/>
  <c r="Q169" i="309"/>
  <c r="Q59" i="309"/>
  <c r="Q254" i="305"/>
  <c r="N21" i="304"/>
  <c r="S79" i="309"/>
  <c r="S197" i="309"/>
  <c r="P197" i="309"/>
  <c r="P79" i="309"/>
  <c r="U312" i="305"/>
  <c r="O314" i="305"/>
  <c r="V312" i="305"/>
  <c r="L33" i="304"/>
  <c r="J77" i="304"/>
  <c r="K83" i="304"/>
  <c r="S239" i="305"/>
  <c r="P18" i="304"/>
  <c r="J139" i="304"/>
  <c r="J76" i="304"/>
  <c r="P312" i="309"/>
  <c r="P218" i="309"/>
  <c r="P94" i="309"/>
  <c r="V298" i="305"/>
  <c r="U298" i="305"/>
  <c r="L56" i="304"/>
  <c r="Q120" i="309"/>
  <c r="Q24" i="309"/>
  <c r="Q294" i="305"/>
  <c r="N29" i="304"/>
  <c r="O284" i="305"/>
  <c r="V282" i="305"/>
  <c r="U282" i="305"/>
  <c r="L27" i="304"/>
  <c r="S113" i="309"/>
  <c r="S19" i="309"/>
  <c r="R314" i="305"/>
  <c r="O33" i="304"/>
  <c r="K30" i="273"/>
  <c r="K3" i="273"/>
  <c r="K29" i="273"/>
  <c r="K31" i="273"/>
  <c r="M307" i="309"/>
  <c r="M89" i="309"/>
  <c r="Q94" i="309"/>
  <c r="Q312" i="309"/>
  <c r="Q218" i="309"/>
  <c r="O218" i="309"/>
  <c r="O312" i="309"/>
  <c r="O94" i="309"/>
  <c r="V92" i="309"/>
  <c r="V94" i="309" s="1"/>
  <c r="U92" i="309"/>
  <c r="U94" i="309" s="1"/>
  <c r="V293" i="305"/>
  <c r="U293" i="305"/>
  <c r="L55" i="304"/>
  <c r="P211" i="309"/>
  <c r="P89" i="309"/>
  <c r="N59" i="309"/>
  <c r="N277" i="309"/>
  <c r="P44" i="309"/>
  <c r="P148" i="309"/>
  <c r="Q176" i="309"/>
  <c r="Q64" i="309"/>
  <c r="N26" i="304"/>
  <c r="O233" i="305"/>
  <c r="O234" i="305" s="1"/>
  <c r="V107" i="305"/>
  <c r="V108" i="305" s="1"/>
  <c r="U107" i="305"/>
  <c r="U108" i="305" s="1"/>
  <c r="S268" i="305"/>
  <c r="S157" i="305"/>
  <c r="Q309" i="305"/>
  <c r="N32" i="304"/>
  <c r="Q269" i="305"/>
  <c r="N24" i="304"/>
  <c r="V236" i="293"/>
  <c r="U236" i="293"/>
  <c r="S254" i="305"/>
  <c r="P21" i="304"/>
  <c r="R312" i="309"/>
  <c r="R218" i="309"/>
  <c r="R94" i="309"/>
  <c r="Q113" i="309"/>
  <c r="Q19" i="309"/>
  <c r="R24" i="309"/>
  <c r="R120" i="309"/>
  <c r="V277" i="305"/>
  <c r="V253" i="309"/>
  <c r="U253" i="309"/>
  <c r="L126" i="304"/>
  <c r="R190" i="309"/>
  <c r="R74" i="309"/>
  <c r="P183" i="309"/>
  <c r="P69" i="309"/>
  <c r="V149" i="309"/>
  <c r="O263" i="309"/>
  <c r="U149" i="309"/>
  <c r="Q44" i="309"/>
  <c r="Q148" i="309"/>
  <c r="S141" i="309"/>
  <c r="S39" i="309"/>
  <c r="V303" i="305"/>
  <c r="U303" i="305"/>
  <c r="L57" i="304"/>
  <c r="K4" i="304"/>
  <c r="N4" i="309"/>
  <c r="N4" i="305"/>
  <c r="N4" i="293"/>
  <c r="N4" i="295"/>
  <c r="N4" i="296"/>
  <c r="N4" i="277"/>
  <c r="N4" i="278"/>
  <c r="P239" i="305"/>
  <c r="M18" i="304"/>
  <c r="N287" i="309"/>
  <c r="N69" i="309"/>
  <c r="N267" i="309"/>
  <c r="N49" i="309"/>
  <c r="V303" i="309"/>
  <c r="U303" i="309"/>
  <c r="L136" i="304"/>
  <c r="Q162" i="309"/>
  <c r="Q54" i="309"/>
  <c r="Q304" i="305"/>
  <c r="N31" i="304"/>
  <c r="P279" i="305"/>
  <c r="M26" i="304"/>
  <c r="K72" i="304"/>
  <c r="O268" i="305"/>
  <c r="V156" i="305"/>
  <c r="V157" i="305" s="1"/>
  <c r="U156" i="305"/>
  <c r="U157" i="305" s="1"/>
  <c r="P314" i="305"/>
  <c r="M33" i="304"/>
  <c r="N242" i="309"/>
  <c r="N24" i="309"/>
  <c r="O164" i="305"/>
  <c r="R64" i="309"/>
  <c r="R176" i="309"/>
  <c r="S312" i="309"/>
  <c r="S218" i="309"/>
  <c r="S94" i="309"/>
  <c r="Q274" i="305"/>
  <c r="N25" i="304"/>
  <c r="S49" i="309"/>
  <c r="S155" i="309"/>
  <c r="Q49" i="309"/>
  <c r="Q155" i="309"/>
  <c r="V228" i="293"/>
  <c r="U228" i="293"/>
  <c r="S59" i="309"/>
  <c r="S169" i="309"/>
  <c r="V307" i="305"/>
  <c r="U307" i="305"/>
  <c r="L32" i="304"/>
  <c r="P19" i="304"/>
  <c r="R269" i="305"/>
  <c r="O24" i="304"/>
  <c r="S308" i="305"/>
  <c r="S213" i="305"/>
  <c r="M272" i="309"/>
  <c r="M54" i="309"/>
  <c r="O176" i="309"/>
  <c r="V62" i="309"/>
  <c r="V64" i="309" s="1"/>
  <c r="U62" i="309"/>
  <c r="U64" i="309" s="1"/>
  <c r="O64" i="309"/>
  <c r="R134" i="309"/>
  <c r="R34" i="309"/>
  <c r="P244" i="305"/>
  <c r="M19" i="304"/>
  <c r="N232" i="309"/>
  <c r="N14" i="309"/>
  <c r="N307" i="309"/>
  <c r="N89" i="309"/>
  <c r="P284" i="305"/>
  <c r="M27" i="304"/>
  <c r="O162" i="309"/>
  <c r="O54" i="309"/>
  <c r="V52" i="309"/>
  <c r="V54" i="309" s="1"/>
  <c r="U52" i="309"/>
  <c r="U54" i="309" s="1"/>
  <c r="K77" i="304"/>
  <c r="V262" i="305"/>
  <c r="U262" i="305"/>
  <c r="L23" i="304"/>
  <c r="O169" i="309"/>
  <c r="O59" i="309"/>
  <c r="V57" i="309"/>
  <c r="V59" i="309" s="1"/>
  <c r="U57" i="309"/>
  <c r="U59" i="309" s="1"/>
  <c r="S244" i="293"/>
  <c r="O258" i="309"/>
  <c r="V142" i="309"/>
  <c r="U142" i="309"/>
  <c r="R244" i="305"/>
  <c r="O19" i="304"/>
  <c r="U214" i="295"/>
  <c r="U53" i="296" s="1"/>
  <c r="U36" i="296"/>
  <c r="X36" i="296" s="1"/>
  <c r="M257" i="309"/>
  <c r="M39" i="309"/>
  <c r="M302" i="309"/>
  <c r="M84" i="309"/>
  <c r="N272" i="309"/>
  <c r="N54" i="309"/>
  <c r="R284" i="305"/>
  <c r="O27" i="304"/>
  <c r="U229" i="293"/>
  <c r="V229" i="293"/>
  <c r="M282" i="309"/>
  <c r="M64" i="309"/>
  <c r="N262" i="309"/>
  <c r="N44" i="309"/>
  <c r="R299" i="305"/>
  <c r="O30" i="304"/>
  <c r="S134" i="309"/>
  <c r="S34" i="309"/>
  <c r="P269" i="305"/>
  <c r="M24" i="304"/>
  <c r="U233" i="293"/>
  <c r="V233" i="293"/>
  <c r="P113" i="309"/>
  <c r="P19" i="309"/>
  <c r="K60" i="304"/>
  <c r="Q249" i="305"/>
  <c r="N20" i="304"/>
  <c r="M287" i="309"/>
  <c r="M69" i="309"/>
  <c r="P190" i="309"/>
  <c r="P74" i="309"/>
  <c r="M312" i="309"/>
  <c r="M94" i="309"/>
  <c r="K80" i="304"/>
  <c r="N18" i="273"/>
  <c r="N19" i="273" s="1"/>
  <c r="M2" i="273"/>
  <c r="V73" i="296"/>
  <c r="U73" i="296"/>
  <c r="U149" i="305"/>
  <c r="U150" i="305" s="1"/>
  <c r="O263" i="305"/>
  <c r="O264" i="305" s="1"/>
  <c r="V149" i="305"/>
  <c r="V150" i="305" s="1"/>
  <c r="U272" i="305"/>
  <c r="V272" i="305"/>
  <c r="L25" i="304"/>
  <c r="M277" i="309"/>
  <c r="M59" i="309"/>
  <c r="K220" i="293"/>
  <c r="K194" i="293"/>
  <c r="K168" i="293"/>
  <c r="K38" i="293"/>
  <c r="K90" i="293"/>
  <c r="K142" i="293"/>
  <c r="K12" i="293"/>
  <c r="K116" i="293"/>
  <c r="K64" i="293"/>
  <c r="J59" i="304"/>
  <c r="M314" i="305"/>
  <c r="S314" i="305"/>
  <c r="P33" i="304"/>
  <c r="O113" i="309"/>
  <c r="O19" i="309"/>
  <c r="V17" i="309"/>
  <c r="V19" i="309" s="1"/>
  <c r="U17" i="309"/>
  <c r="U19" i="309" s="1"/>
  <c r="M237" i="309"/>
  <c r="M19" i="309"/>
  <c r="O317" i="305"/>
  <c r="U232" i="305"/>
  <c r="V232" i="305"/>
  <c r="L17" i="304"/>
  <c r="U283" i="309"/>
  <c r="V283" i="309"/>
  <c r="L132" i="304"/>
  <c r="N297" i="309"/>
  <c r="N79" i="309"/>
  <c r="M60" i="304"/>
  <c r="S106" i="309"/>
  <c r="S14" i="309"/>
  <c r="O253" i="305"/>
  <c r="O254" i="305" s="1"/>
  <c r="V135" i="305"/>
  <c r="V136" i="305" s="1"/>
  <c r="U135" i="305"/>
  <c r="U136" i="305" s="1"/>
  <c r="M267" i="309"/>
  <c r="M49" i="309"/>
  <c r="J47" i="304"/>
  <c r="M254" i="305"/>
  <c r="V36" i="296"/>
  <c r="Y36" i="296" s="1"/>
  <c r="V214" i="295"/>
  <c r="V53" i="296" s="1"/>
  <c r="J80" i="304"/>
  <c r="O238" i="305"/>
  <c r="O239" i="305" s="1"/>
  <c r="P264" i="305"/>
  <c r="M23" i="304"/>
  <c r="P289" i="305"/>
  <c r="M28" i="304"/>
  <c r="U22" i="309"/>
  <c r="U24" i="309" s="1"/>
  <c r="O120" i="309"/>
  <c r="O24" i="309"/>
  <c r="V22" i="309"/>
  <c r="V24" i="309" s="1"/>
  <c r="O304" i="305"/>
  <c r="V302" i="305"/>
  <c r="U302" i="305"/>
  <c r="L31" i="304"/>
  <c r="Q127" i="309"/>
  <c r="Q29" i="309"/>
  <c r="U42" i="309"/>
  <c r="U44" i="309" s="1"/>
  <c r="O44" i="309"/>
  <c r="V42" i="309"/>
  <c r="V44" i="309" s="1"/>
  <c r="O148" i="309"/>
  <c r="R79" i="309"/>
  <c r="R197" i="309"/>
  <c r="P9" i="273"/>
  <c r="O12" i="273"/>
  <c r="O13" i="273" s="1"/>
  <c r="O4" i="273"/>
  <c r="U237" i="293"/>
  <c r="V237" i="293"/>
  <c r="R274" i="305"/>
  <c r="O25" i="304"/>
  <c r="V239" i="293"/>
  <c r="U239" i="293"/>
  <c r="S183" i="309"/>
  <c r="S69" i="309"/>
  <c r="O294" i="305"/>
  <c r="V292" i="305"/>
  <c r="U292" i="305"/>
  <c r="L29" i="304"/>
  <c r="P27" i="304"/>
  <c r="R317" i="305"/>
  <c r="R319" i="305" s="1"/>
  <c r="R234" i="305"/>
  <c r="O17" i="304"/>
  <c r="V70" i="296"/>
  <c r="O99" i="309"/>
  <c r="V97" i="309"/>
  <c r="V99" i="309" s="1"/>
  <c r="U97" i="309"/>
  <c r="U99" i="309" s="1"/>
  <c r="P317" i="305"/>
  <c r="P319" i="305" s="1"/>
  <c r="P234" i="305"/>
  <c r="M17" i="304"/>
  <c r="L2" i="309"/>
  <c r="L2" i="305"/>
  <c r="L2" i="293"/>
  <c r="L2" i="296"/>
  <c r="L2" i="295"/>
  <c r="L26" i="273"/>
  <c r="L2" i="277"/>
  <c r="L2" i="278"/>
  <c r="N244" i="293"/>
  <c r="V238" i="293"/>
  <c r="U238" i="293"/>
  <c r="O248" i="305"/>
  <c r="O249" i="305" s="1"/>
  <c r="V128" i="305"/>
  <c r="V129" i="305" s="1"/>
  <c r="U128" i="305"/>
  <c r="U129" i="305" s="1"/>
  <c r="U257" i="305"/>
  <c r="O243" i="309"/>
  <c r="V121" i="309"/>
  <c r="U121" i="309"/>
  <c r="K9" i="296"/>
  <c r="K32" i="296"/>
  <c r="K55" i="296"/>
  <c r="V61" i="296"/>
  <c r="U61" i="296"/>
  <c r="O273" i="309"/>
  <c r="U163" i="309"/>
  <c r="V163" i="309"/>
  <c r="Q259" i="305"/>
  <c r="N22" i="304"/>
  <c r="U242" i="293"/>
  <c r="V242" i="293"/>
  <c r="U121" i="305"/>
  <c r="U122" i="305" s="1"/>
  <c r="O243" i="305"/>
  <c r="O244" i="305" s="1"/>
  <c r="J82" i="304"/>
  <c r="S89" i="309"/>
  <c r="S211" i="309"/>
  <c r="V63" i="296" l="1"/>
  <c r="U68" i="296"/>
  <c r="U60" i="296"/>
  <c r="U72" i="296"/>
  <c r="S69" i="296"/>
  <c r="Y23" i="296"/>
  <c r="X23" i="296"/>
  <c r="Y15" i="296"/>
  <c r="X15" i="296"/>
  <c r="X14" i="296"/>
  <c r="V314" i="305"/>
  <c r="Y14" i="296"/>
  <c r="U62" i="296"/>
  <c r="V60" i="296"/>
  <c r="U114" i="305"/>
  <c r="U115" i="305" s="1"/>
  <c r="S284" i="305"/>
  <c r="V304" i="305"/>
  <c r="U65" i="296"/>
  <c r="U244" i="277"/>
  <c r="U30" i="296" s="1"/>
  <c r="U76" i="296" s="1"/>
  <c r="U294" i="305"/>
  <c r="V299" i="305"/>
  <c r="V244" i="277"/>
  <c r="V30" i="296" s="1"/>
  <c r="S30" i="304"/>
  <c r="U299" i="305"/>
  <c r="V283" i="305"/>
  <c r="V284" i="305" s="1"/>
  <c r="U283" i="305"/>
  <c r="U284" i="305" s="1"/>
  <c r="S243" i="305"/>
  <c r="S318" i="305" s="1"/>
  <c r="S319" i="305" s="1"/>
  <c r="S122" i="305"/>
  <c r="L54" i="304"/>
  <c r="L80" i="304" s="1"/>
  <c r="U288" i="305"/>
  <c r="U289" i="305" s="1"/>
  <c r="V288" i="305"/>
  <c r="V289" i="305" s="1"/>
  <c r="Q238" i="305"/>
  <c r="U238" i="305" s="1"/>
  <c r="U239" i="305" s="1"/>
  <c r="Q115" i="305"/>
  <c r="Q278" i="305"/>
  <c r="V278" i="305" s="1"/>
  <c r="V279" i="305" s="1"/>
  <c r="Q171" i="305"/>
  <c r="J58" i="304"/>
  <c r="J60" i="304" s="1"/>
  <c r="M309" i="305"/>
  <c r="S26" i="304"/>
  <c r="K3" i="309"/>
  <c r="K3" i="305"/>
  <c r="K3" i="293"/>
  <c r="K3" i="295"/>
  <c r="K3" i="296"/>
  <c r="K3" i="277"/>
  <c r="K3" i="278"/>
  <c r="Q252" i="309"/>
  <c r="Q136" i="309"/>
  <c r="M317" i="309"/>
  <c r="M319" i="309" s="1"/>
  <c r="M234" i="309"/>
  <c r="J96" i="304"/>
  <c r="N314" i="309"/>
  <c r="K112" i="304"/>
  <c r="S292" i="309"/>
  <c r="S192" i="309"/>
  <c r="S247" i="309"/>
  <c r="S129" i="309"/>
  <c r="L9" i="296"/>
  <c r="L32" i="296"/>
  <c r="L55" i="296"/>
  <c r="M80" i="304"/>
  <c r="O272" i="309"/>
  <c r="O164" i="309"/>
  <c r="V162" i="309"/>
  <c r="V164" i="309" s="1"/>
  <c r="U162" i="309"/>
  <c r="U164" i="309" s="1"/>
  <c r="S277" i="309"/>
  <c r="S171" i="309"/>
  <c r="N289" i="309"/>
  <c r="K107" i="304"/>
  <c r="S257" i="309"/>
  <c r="S143" i="309"/>
  <c r="Q313" i="309"/>
  <c r="Q314" i="309" s="1"/>
  <c r="Q220" i="309"/>
  <c r="S56" i="304"/>
  <c r="R56" i="304"/>
  <c r="S33" i="304"/>
  <c r="L85" i="304"/>
  <c r="R33" i="304"/>
  <c r="M244" i="309"/>
  <c r="J98" i="304"/>
  <c r="R232" i="309"/>
  <c r="R108" i="309"/>
  <c r="P232" i="309"/>
  <c r="P108" i="309"/>
  <c r="R30" i="304"/>
  <c r="R277" i="309"/>
  <c r="R171" i="309"/>
  <c r="N304" i="309"/>
  <c r="K110" i="304"/>
  <c r="P247" i="309"/>
  <c r="P129" i="309"/>
  <c r="U244" i="293"/>
  <c r="M249" i="309"/>
  <c r="J99" i="304"/>
  <c r="O73" i="304"/>
  <c r="O74" i="304"/>
  <c r="S53" i="304"/>
  <c r="R53" i="304"/>
  <c r="S129" i="304"/>
  <c r="R129" i="304"/>
  <c r="P46" i="304"/>
  <c r="S249" i="305"/>
  <c r="M84" i="304"/>
  <c r="M34" i="304"/>
  <c r="M69" i="304"/>
  <c r="V317" i="305"/>
  <c r="U317" i="305"/>
  <c r="M71" i="304"/>
  <c r="S59" i="304"/>
  <c r="R59" i="304"/>
  <c r="Q143" i="309"/>
  <c r="Q257" i="309"/>
  <c r="N85" i="304"/>
  <c r="S19" i="304"/>
  <c r="R19" i="304"/>
  <c r="R31" i="304"/>
  <c r="L83" i="304"/>
  <c r="S31" i="304"/>
  <c r="N264" i="309"/>
  <c r="K102" i="304"/>
  <c r="S287" i="309"/>
  <c r="S185" i="309"/>
  <c r="O17" i="273"/>
  <c r="U304" i="305"/>
  <c r="U253" i="305"/>
  <c r="U254" i="305" s="1"/>
  <c r="V253" i="305"/>
  <c r="V254" i="305" s="1"/>
  <c r="L47" i="304"/>
  <c r="L73" i="304" s="1"/>
  <c r="M239" i="309"/>
  <c r="J97" i="304"/>
  <c r="J85" i="304"/>
  <c r="R25" i="304"/>
  <c r="S25" i="304"/>
  <c r="P192" i="309"/>
  <c r="P292" i="309"/>
  <c r="M76" i="304"/>
  <c r="O71" i="304"/>
  <c r="M79" i="304"/>
  <c r="N77" i="304"/>
  <c r="V268" i="305"/>
  <c r="V269" i="305" s="1"/>
  <c r="U268" i="305"/>
  <c r="U269" i="305" s="1"/>
  <c r="L50" i="304"/>
  <c r="L76" i="304" s="1"/>
  <c r="Q272" i="309"/>
  <c r="Q164" i="309"/>
  <c r="M70" i="304"/>
  <c r="Q150" i="309"/>
  <c r="Q262" i="309"/>
  <c r="R292" i="309"/>
  <c r="R192" i="309"/>
  <c r="Q237" i="309"/>
  <c r="Q115" i="309"/>
  <c r="N112" i="304"/>
  <c r="O85" i="304"/>
  <c r="N81" i="304"/>
  <c r="S297" i="309"/>
  <c r="S199" i="309"/>
  <c r="O247" i="309"/>
  <c r="O129" i="309"/>
  <c r="V127" i="309"/>
  <c r="V129" i="309" s="1"/>
  <c r="U127" i="309"/>
  <c r="U129" i="309" s="1"/>
  <c r="M83" i="304"/>
  <c r="N259" i="309"/>
  <c r="K101" i="304"/>
  <c r="L52" i="304"/>
  <c r="O279" i="305"/>
  <c r="M294" i="309"/>
  <c r="J108" i="304"/>
  <c r="R133" i="304"/>
  <c r="S133" i="304"/>
  <c r="R115" i="309"/>
  <c r="R237" i="309"/>
  <c r="N82" i="304"/>
  <c r="Q232" i="309"/>
  <c r="Q108" i="309"/>
  <c r="V244" i="293"/>
  <c r="P78" i="304"/>
  <c r="O292" i="309"/>
  <c r="O192" i="309"/>
  <c r="V190" i="309"/>
  <c r="V192" i="309" s="1"/>
  <c r="U190" i="309"/>
  <c r="U192" i="309" s="1"/>
  <c r="U204" i="309"/>
  <c r="U206" i="309" s="1"/>
  <c r="O302" i="309"/>
  <c r="O206" i="309"/>
  <c r="V204" i="309"/>
  <c r="V206" i="309" s="1"/>
  <c r="Q307" i="309"/>
  <c r="Q213" i="309"/>
  <c r="R267" i="309"/>
  <c r="R157" i="309"/>
  <c r="Q292" i="309"/>
  <c r="Q192" i="309"/>
  <c r="R307" i="309"/>
  <c r="R213" i="309"/>
  <c r="S282" i="309"/>
  <c r="S178" i="309"/>
  <c r="N239" i="309"/>
  <c r="K97" i="304"/>
  <c r="M314" i="309"/>
  <c r="J112" i="304"/>
  <c r="S267" i="309"/>
  <c r="S157" i="309"/>
  <c r="N84" i="304"/>
  <c r="N279" i="309"/>
  <c r="K105" i="304"/>
  <c r="O313" i="309"/>
  <c r="O314" i="309" s="1"/>
  <c r="O220" i="309"/>
  <c r="V218" i="309"/>
  <c r="V220" i="309" s="1"/>
  <c r="U218" i="309"/>
  <c r="U220" i="309" s="1"/>
  <c r="P242" i="309"/>
  <c r="P122" i="309"/>
  <c r="K86" i="304"/>
  <c r="O81" i="304"/>
  <c r="P82" i="304"/>
  <c r="R122" i="304"/>
  <c r="S122" i="304"/>
  <c r="N284" i="309"/>
  <c r="K106" i="304"/>
  <c r="N254" i="309"/>
  <c r="K100" i="304"/>
  <c r="S307" i="309"/>
  <c r="S213" i="309"/>
  <c r="L220" i="293"/>
  <c r="L194" i="293"/>
  <c r="L168" i="293"/>
  <c r="L142" i="293"/>
  <c r="L12" i="293"/>
  <c r="L116" i="293"/>
  <c r="L64" i="293"/>
  <c r="L38" i="293"/>
  <c r="L90" i="293"/>
  <c r="M274" i="309"/>
  <c r="J104" i="304"/>
  <c r="N244" i="309"/>
  <c r="K98" i="304"/>
  <c r="R136" i="304"/>
  <c r="S136" i="304"/>
  <c r="R126" i="304"/>
  <c r="S126" i="304"/>
  <c r="P50" i="304"/>
  <c r="S269" i="305"/>
  <c r="P307" i="309"/>
  <c r="P213" i="309"/>
  <c r="P70" i="304"/>
  <c r="U59" i="296"/>
  <c r="V59" i="296"/>
  <c r="S134" i="304"/>
  <c r="R134" i="304"/>
  <c r="O267" i="309"/>
  <c r="O157" i="309"/>
  <c r="V155" i="309"/>
  <c r="V157" i="309" s="1"/>
  <c r="U155" i="309"/>
  <c r="U157" i="309" s="1"/>
  <c r="R26" i="304"/>
  <c r="V238" i="309"/>
  <c r="U238" i="309"/>
  <c r="L123" i="304"/>
  <c r="S135" i="304"/>
  <c r="R135" i="304"/>
  <c r="L82" i="304"/>
  <c r="S302" i="309"/>
  <c r="S206" i="309"/>
  <c r="R272" i="309"/>
  <c r="R164" i="309"/>
  <c r="P81" i="304"/>
  <c r="P277" i="309"/>
  <c r="P171" i="309"/>
  <c r="O83" i="304"/>
  <c r="S24" i="304"/>
  <c r="R24" i="304"/>
  <c r="Q287" i="309"/>
  <c r="Q185" i="309"/>
  <c r="M77" i="304"/>
  <c r="N74" i="304"/>
  <c r="O69" i="304"/>
  <c r="O34" i="304"/>
  <c r="N299" i="309"/>
  <c r="K109" i="304"/>
  <c r="S22" i="304"/>
  <c r="P185" i="309"/>
  <c r="P287" i="309"/>
  <c r="S20" i="304"/>
  <c r="R20" i="304"/>
  <c r="M299" i="309"/>
  <c r="J109" i="304"/>
  <c r="V248" i="305"/>
  <c r="V249" i="305" s="1"/>
  <c r="U248" i="305"/>
  <c r="U249" i="305" s="1"/>
  <c r="L46" i="304"/>
  <c r="L72" i="304" s="1"/>
  <c r="L4" i="304"/>
  <c r="O4" i="309"/>
  <c r="O4" i="305"/>
  <c r="O4" i="293"/>
  <c r="O4" i="296"/>
  <c r="O4" i="295"/>
  <c r="O4" i="277"/>
  <c r="O4" i="278"/>
  <c r="R132" i="304"/>
  <c r="S132" i="304"/>
  <c r="P79" i="304"/>
  <c r="P12" i="273"/>
  <c r="P13" i="273" s="1"/>
  <c r="P17" i="273" s="1"/>
  <c r="P4" i="273"/>
  <c r="Q9" i="273"/>
  <c r="M75" i="304"/>
  <c r="J2" i="304"/>
  <c r="M2" i="309"/>
  <c r="M2" i="305"/>
  <c r="M2" i="293"/>
  <c r="M2" i="295"/>
  <c r="M2" i="277"/>
  <c r="M2" i="278"/>
  <c r="M8" i="278" s="1"/>
  <c r="M2" i="296"/>
  <c r="M26" i="273"/>
  <c r="M289" i="309"/>
  <c r="J107" i="304"/>
  <c r="M284" i="309"/>
  <c r="J106" i="304"/>
  <c r="N274" i="309"/>
  <c r="K104" i="304"/>
  <c r="O277" i="309"/>
  <c r="O171" i="309"/>
  <c r="V169" i="309"/>
  <c r="V171" i="309" s="1"/>
  <c r="U169" i="309"/>
  <c r="U171" i="309" s="1"/>
  <c r="R252" i="309"/>
  <c r="R136" i="309"/>
  <c r="V273" i="309"/>
  <c r="U273" i="309"/>
  <c r="L130" i="304"/>
  <c r="V243" i="309"/>
  <c r="U243" i="309"/>
  <c r="L124" i="304"/>
  <c r="S232" i="309"/>
  <c r="S108" i="309"/>
  <c r="S17" i="304"/>
  <c r="L34" i="304"/>
  <c r="R17" i="304"/>
  <c r="O18" i="273"/>
  <c r="O19" i="273" s="1"/>
  <c r="N2" i="273"/>
  <c r="N72" i="304"/>
  <c r="P237" i="309"/>
  <c r="P115" i="309"/>
  <c r="R23" i="304"/>
  <c r="S23" i="304"/>
  <c r="M85" i="304"/>
  <c r="R313" i="309"/>
  <c r="R314" i="309" s="1"/>
  <c r="R220" i="309"/>
  <c r="U314" i="305"/>
  <c r="N73" i="304"/>
  <c r="N69" i="304"/>
  <c r="N34" i="304"/>
  <c r="N294" i="309"/>
  <c r="K108" i="304"/>
  <c r="P267" i="309"/>
  <c r="P157" i="309"/>
  <c r="V248" i="309"/>
  <c r="U248" i="309"/>
  <c r="L125" i="304"/>
  <c r="P282" i="309"/>
  <c r="P178" i="309"/>
  <c r="S122" i="309"/>
  <c r="S242" i="309"/>
  <c r="O257" i="309"/>
  <c r="U141" i="309"/>
  <c r="U143" i="309" s="1"/>
  <c r="V141" i="309"/>
  <c r="V143" i="309" s="1"/>
  <c r="O143" i="309"/>
  <c r="P83" i="304"/>
  <c r="O70" i="304"/>
  <c r="P34" i="304"/>
  <c r="P69" i="304"/>
  <c r="O78" i="304"/>
  <c r="R302" i="309"/>
  <c r="R206" i="309"/>
  <c r="L142" i="277"/>
  <c r="L12" i="277"/>
  <c r="L116" i="277"/>
  <c r="L64" i="277"/>
  <c r="L38" i="277"/>
  <c r="L194" i="277"/>
  <c r="L168" i="277"/>
  <c r="L220" i="277"/>
  <c r="L90" i="277"/>
  <c r="R199" i="309"/>
  <c r="R297" i="309"/>
  <c r="L193" i="295"/>
  <c r="L147" i="295"/>
  <c r="L32" i="295"/>
  <c r="L101" i="295"/>
  <c r="L170" i="295"/>
  <c r="L124" i="295"/>
  <c r="L55" i="295"/>
  <c r="L78" i="295"/>
  <c r="L9" i="295"/>
  <c r="O262" i="309"/>
  <c r="V148" i="309"/>
  <c r="V150" i="309" s="1"/>
  <c r="U148" i="309"/>
  <c r="U150" i="309" s="1"/>
  <c r="O150" i="309"/>
  <c r="O79" i="304"/>
  <c r="L8" i="278"/>
  <c r="O11" i="278"/>
  <c r="N11" i="278"/>
  <c r="N13" i="278" s="1"/>
  <c r="M11" i="278"/>
  <c r="M13" i="278" s="1"/>
  <c r="L11" i="278"/>
  <c r="L13" i="278" s="1"/>
  <c r="J11" i="278"/>
  <c r="J13" i="278" s="1"/>
  <c r="S11" i="278"/>
  <c r="Q11" i="278"/>
  <c r="K11" i="278"/>
  <c r="K13" i="278" s="1"/>
  <c r="P11" i="278"/>
  <c r="R11" i="278"/>
  <c r="L81" i="304"/>
  <c r="S29" i="304"/>
  <c r="R29" i="304"/>
  <c r="O77" i="304"/>
  <c r="Q247" i="309"/>
  <c r="Q129" i="309"/>
  <c r="J73" i="304"/>
  <c r="M279" i="309"/>
  <c r="J105" i="304"/>
  <c r="S252" i="309"/>
  <c r="S136" i="309"/>
  <c r="M304" i="309"/>
  <c r="J110" i="304"/>
  <c r="N309" i="309"/>
  <c r="K111" i="304"/>
  <c r="P58" i="304"/>
  <c r="S309" i="305"/>
  <c r="S32" i="304"/>
  <c r="R32" i="304"/>
  <c r="S313" i="309"/>
  <c r="S314" i="309" s="1"/>
  <c r="S220" i="309"/>
  <c r="M78" i="304"/>
  <c r="S57" i="304"/>
  <c r="R57" i="304"/>
  <c r="U263" i="309"/>
  <c r="V263" i="309"/>
  <c r="L128" i="304"/>
  <c r="O112" i="304"/>
  <c r="Q282" i="309"/>
  <c r="Q178" i="309"/>
  <c r="M309" i="309"/>
  <c r="J111" i="304"/>
  <c r="S115" i="309"/>
  <c r="S237" i="309"/>
  <c r="Q242" i="309"/>
  <c r="Q122" i="309"/>
  <c r="P313" i="309"/>
  <c r="P220" i="309"/>
  <c r="U273" i="305"/>
  <c r="U274" i="305" s="1"/>
  <c r="V273" i="305"/>
  <c r="V274" i="305" s="1"/>
  <c r="L51" i="304"/>
  <c r="L77" i="304" s="1"/>
  <c r="O84" i="304"/>
  <c r="M254" i="309"/>
  <c r="J100" i="304"/>
  <c r="N249" i="309"/>
  <c r="K99" i="304"/>
  <c r="V278" i="309"/>
  <c r="U278" i="309"/>
  <c r="L131" i="304"/>
  <c r="O232" i="309"/>
  <c r="V106" i="309"/>
  <c r="V108" i="309" s="1"/>
  <c r="U106" i="309"/>
  <c r="U108" i="309" s="1"/>
  <c r="O108" i="309"/>
  <c r="R18" i="304"/>
  <c r="S18" i="304"/>
  <c r="O72" i="304"/>
  <c r="R21" i="304"/>
  <c r="S21" i="304"/>
  <c r="O297" i="309"/>
  <c r="O199" i="309"/>
  <c r="V197" i="309"/>
  <c r="V199" i="309" s="1"/>
  <c r="U197" i="309"/>
  <c r="U199" i="309" s="1"/>
  <c r="S262" i="309"/>
  <c r="S150" i="309"/>
  <c r="O80" i="304"/>
  <c r="O287" i="309"/>
  <c r="O185" i="309"/>
  <c r="V183" i="309"/>
  <c r="V185" i="309" s="1"/>
  <c r="U183" i="309"/>
  <c r="U185" i="309" s="1"/>
  <c r="O252" i="309"/>
  <c r="O136" i="309"/>
  <c r="V134" i="309"/>
  <c r="V136" i="309" s="1"/>
  <c r="U134" i="309"/>
  <c r="U136" i="309" s="1"/>
  <c r="P302" i="309"/>
  <c r="P206" i="309"/>
  <c r="Q302" i="309"/>
  <c r="Q206" i="309"/>
  <c r="R257" i="309"/>
  <c r="R143" i="309"/>
  <c r="J69" i="304"/>
  <c r="S137" i="304"/>
  <c r="R137" i="304"/>
  <c r="M81" i="304"/>
  <c r="O237" i="309"/>
  <c r="V113" i="309"/>
  <c r="V115" i="309" s="1"/>
  <c r="U113" i="309"/>
  <c r="U115" i="309" s="1"/>
  <c r="O115" i="309"/>
  <c r="V258" i="309"/>
  <c r="U258" i="309"/>
  <c r="L127" i="304"/>
  <c r="P262" i="309"/>
  <c r="P150" i="309"/>
  <c r="R55" i="304"/>
  <c r="S55" i="304"/>
  <c r="S27" i="304"/>
  <c r="L79" i="304"/>
  <c r="R27" i="304"/>
  <c r="M112" i="304"/>
  <c r="P297" i="309"/>
  <c r="P199" i="309"/>
  <c r="M73" i="304"/>
  <c r="M72" i="304"/>
  <c r="R185" i="309"/>
  <c r="R287" i="309"/>
  <c r="O75" i="304"/>
  <c r="V308" i="305"/>
  <c r="V309" i="305" s="1"/>
  <c r="U308" i="305"/>
  <c r="U309" i="305" s="1"/>
  <c r="L58" i="304"/>
  <c r="V258" i="305"/>
  <c r="V259" i="305" s="1"/>
  <c r="U258" i="305"/>
  <c r="U259" i="305" s="1"/>
  <c r="L48" i="304"/>
  <c r="O259" i="305"/>
  <c r="N79" i="304"/>
  <c r="P75" i="304"/>
  <c r="P164" i="309"/>
  <c r="P272" i="309"/>
  <c r="M74" i="304"/>
  <c r="M82" i="304"/>
  <c r="O269" i="305"/>
  <c r="R247" i="309"/>
  <c r="R129" i="309"/>
  <c r="P74" i="304"/>
  <c r="R22" i="304"/>
  <c r="O82" i="304"/>
  <c r="O76" i="304"/>
  <c r="Q267" i="309"/>
  <c r="Q157" i="309"/>
  <c r="P112" i="304"/>
  <c r="P73" i="304"/>
  <c r="N76" i="304"/>
  <c r="O318" i="305"/>
  <c r="O319" i="305" s="1"/>
  <c r="U233" i="305"/>
  <c r="U234" i="305" s="1"/>
  <c r="V233" i="305"/>
  <c r="V234" i="305" s="1"/>
  <c r="L43" i="304"/>
  <c r="L69" i="304" s="1"/>
  <c r="L45" i="304"/>
  <c r="L71" i="304" s="1"/>
  <c r="L30" i="273"/>
  <c r="L3" i="273"/>
  <c r="L29" i="273"/>
  <c r="L31" i="273"/>
  <c r="V294" i="305"/>
  <c r="O242" i="309"/>
  <c r="V120" i="309"/>
  <c r="V122" i="309" s="1"/>
  <c r="U120" i="309"/>
  <c r="U122" i="309" s="1"/>
  <c r="O122" i="309"/>
  <c r="L44" i="304"/>
  <c r="L70" i="304" s="1"/>
  <c r="M269" i="309"/>
  <c r="J103" i="304"/>
  <c r="P85" i="304"/>
  <c r="V263" i="305"/>
  <c r="V264" i="305" s="1"/>
  <c r="U263" i="305"/>
  <c r="U264" i="305" s="1"/>
  <c r="L49" i="304"/>
  <c r="M259" i="309"/>
  <c r="J101" i="304"/>
  <c r="N317" i="309"/>
  <c r="N319" i="309" s="1"/>
  <c r="N234" i="309"/>
  <c r="K96" i="304"/>
  <c r="O282" i="309"/>
  <c r="U176" i="309"/>
  <c r="U178" i="309" s="1"/>
  <c r="O178" i="309"/>
  <c r="V176" i="309"/>
  <c r="V178" i="309" s="1"/>
  <c r="R178" i="309"/>
  <c r="R282" i="309"/>
  <c r="N83" i="304"/>
  <c r="N269" i="309"/>
  <c r="K103" i="304"/>
  <c r="R242" i="309"/>
  <c r="R122" i="309"/>
  <c r="U312" i="309"/>
  <c r="V312" i="309"/>
  <c r="L112" i="304"/>
  <c r="Q277" i="309"/>
  <c r="Q171" i="309"/>
  <c r="R150" i="309"/>
  <c r="R262" i="309"/>
  <c r="S28" i="304"/>
  <c r="R28" i="304"/>
  <c r="P252" i="309"/>
  <c r="P136" i="309"/>
  <c r="P77" i="304"/>
  <c r="N80" i="304"/>
  <c r="M264" i="309"/>
  <c r="J102" i="304"/>
  <c r="Q297" i="309"/>
  <c r="Q199" i="309"/>
  <c r="S272" i="309"/>
  <c r="S164" i="309"/>
  <c r="N71" i="304"/>
  <c r="P143" i="309"/>
  <c r="P257" i="309"/>
  <c r="J81" i="304"/>
  <c r="O213" i="309"/>
  <c r="V211" i="309"/>
  <c r="V213" i="309" s="1"/>
  <c r="U211" i="309"/>
  <c r="U213" i="309" s="1"/>
  <c r="O307" i="309"/>
  <c r="V238" i="305" l="1"/>
  <c r="V239" i="305" s="1"/>
  <c r="V69" i="296"/>
  <c r="V76" i="296" s="1"/>
  <c r="U69" i="296"/>
  <c r="U243" i="305"/>
  <c r="U244" i="305" s="1"/>
  <c r="V243" i="305"/>
  <c r="V244" i="305" s="1"/>
  <c r="U278" i="305"/>
  <c r="U279" i="305" s="1"/>
  <c r="J84" i="304"/>
  <c r="N52" i="304"/>
  <c r="R52" i="304" s="1"/>
  <c r="Q279" i="305"/>
  <c r="R54" i="304"/>
  <c r="S54" i="304"/>
  <c r="N44" i="304"/>
  <c r="S44" i="304" s="1"/>
  <c r="Q318" i="305"/>
  <c r="Q319" i="305" s="1"/>
  <c r="Q239" i="305"/>
  <c r="P45" i="304"/>
  <c r="P60" i="304" s="1"/>
  <c r="S244" i="305"/>
  <c r="R69" i="304"/>
  <c r="S69" i="304"/>
  <c r="K155" i="304"/>
  <c r="J152" i="304"/>
  <c r="O86" i="304"/>
  <c r="P279" i="309"/>
  <c r="M105" i="304"/>
  <c r="K150" i="304"/>
  <c r="S309" i="309"/>
  <c r="P111" i="304"/>
  <c r="P244" i="309"/>
  <c r="M98" i="304"/>
  <c r="S284" i="309"/>
  <c r="P106" i="304"/>
  <c r="R294" i="309"/>
  <c r="O108" i="304"/>
  <c r="S77" i="304"/>
  <c r="R77" i="304"/>
  <c r="R83" i="304"/>
  <c r="S83" i="304"/>
  <c r="Q299" i="309"/>
  <c r="N109" i="304"/>
  <c r="S80" i="304"/>
  <c r="R80" i="304"/>
  <c r="S49" i="304"/>
  <c r="R49" i="304"/>
  <c r="R249" i="309"/>
  <c r="O99" i="304"/>
  <c r="P299" i="309"/>
  <c r="M109" i="304"/>
  <c r="K10" i="293"/>
  <c r="K10" i="277"/>
  <c r="S244" i="309"/>
  <c r="P98" i="304"/>
  <c r="P239" i="309"/>
  <c r="M97" i="304"/>
  <c r="S34" i="304"/>
  <c r="R130" i="304"/>
  <c r="S130" i="304"/>
  <c r="V277" i="309"/>
  <c r="V279" i="309" s="1"/>
  <c r="O279" i="309"/>
  <c r="U277" i="309"/>
  <c r="U279" i="309" s="1"/>
  <c r="L105" i="304"/>
  <c r="M55" i="296"/>
  <c r="M32" i="296"/>
  <c r="M9" i="296"/>
  <c r="J141" i="304"/>
  <c r="J89" i="304"/>
  <c r="J36" i="304"/>
  <c r="J10" i="304"/>
  <c r="J115" i="304"/>
  <c r="J62" i="304"/>
  <c r="P289" i="309"/>
  <c r="M107" i="304"/>
  <c r="P76" i="304"/>
  <c r="K152" i="304"/>
  <c r="Q309" i="309"/>
  <c r="N111" i="304"/>
  <c r="O294" i="309"/>
  <c r="U292" i="309"/>
  <c r="U294" i="309" s="1"/>
  <c r="V292" i="309"/>
  <c r="V294" i="309" s="1"/>
  <c r="L108" i="304"/>
  <c r="R239" i="309"/>
  <c r="O97" i="304"/>
  <c r="L78" i="304"/>
  <c r="Q264" i="309"/>
  <c r="N102" i="304"/>
  <c r="K154" i="304"/>
  <c r="Q259" i="309"/>
  <c r="N101" i="304"/>
  <c r="P249" i="309"/>
  <c r="M99" i="304"/>
  <c r="K159" i="304"/>
  <c r="S294" i="309"/>
  <c r="P108" i="304"/>
  <c r="P317" i="309"/>
  <c r="P234" i="309"/>
  <c r="M96" i="304"/>
  <c r="S259" i="309"/>
  <c r="P101" i="304"/>
  <c r="U272" i="309"/>
  <c r="U274" i="309" s="1"/>
  <c r="O274" i="309"/>
  <c r="V272" i="309"/>
  <c r="V274" i="309" s="1"/>
  <c r="L104" i="304"/>
  <c r="Q254" i="309"/>
  <c r="N100" i="304"/>
  <c r="P259" i="309"/>
  <c r="M101" i="304"/>
  <c r="J154" i="304"/>
  <c r="U282" i="309"/>
  <c r="U284" i="309" s="1"/>
  <c r="O284" i="309"/>
  <c r="V282" i="309"/>
  <c r="V284" i="309" s="1"/>
  <c r="L106" i="304"/>
  <c r="R289" i="309"/>
  <c r="O107" i="304"/>
  <c r="Q304" i="309"/>
  <c r="N110" i="304"/>
  <c r="O234" i="309"/>
  <c r="V232" i="309"/>
  <c r="V234" i="309" s="1"/>
  <c r="U232" i="309"/>
  <c r="U234" i="309" s="1"/>
  <c r="O317" i="309"/>
  <c r="L96" i="304"/>
  <c r="Q244" i="309"/>
  <c r="N98" i="304"/>
  <c r="P84" i="304"/>
  <c r="J157" i="304"/>
  <c r="R299" i="309"/>
  <c r="O109" i="304"/>
  <c r="K156" i="304"/>
  <c r="J161" i="304"/>
  <c r="V267" i="309"/>
  <c r="V269" i="309" s="1"/>
  <c r="U267" i="309"/>
  <c r="U269" i="309" s="1"/>
  <c r="O269" i="309"/>
  <c r="L103" i="304"/>
  <c r="J156" i="304"/>
  <c r="S269" i="309"/>
  <c r="P103" i="304"/>
  <c r="R309" i="309"/>
  <c r="O111" i="304"/>
  <c r="P72" i="304"/>
  <c r="K162" i="304"/>
  <c r="R317" i="309"/>
  <c r="R234" i="309"/>
  <c r="O96" i="304"/>
  <c r="K164" i="304"/>
  <c r="R48" i="304"/>
  <c r="S48" i="304"/>
  <c r="L74" i="304"/>
  <c r="R259" i="309"/>
  <c r="O101" i="304"/>
  <c r="S128" i="304"/>
  <c r="R128" i="304"/>
  <c r="K163" i="304"/>
  <c r="P269" i="309"/>
  <c r="M103" i="304"/>
  <c r="M142" i="277"/>
  <c r="M12" i="277"/>
  <c r="M116" i="277"/>
  <c r="M64" i="277"/>
  <c r="M38" i="277"/>
  <c r="M220" i="277"/>
  <c r="M194" i="277"/>
  <c r="M168" i="277"/>
  <c r="M90" i="277"/>
  <c r="S123" i="304"/>
  <c r="R123" i="304"/>
  <c r="K158" i="304"/>
  <c r="J164" i="304"/>
  <c r="M86" i="304"/>
  <c r="J150" i="304"/>
  <c r="P274" i="309"/>
  <c r="M104" i="304"/>
  <c r="M138" i="304"/>
  <c r="M164" i="304" s="1"/>
  <c r="P318" i="309"/>
  <c r="S254" i="309"/>
  <c r="P100" i="304"/>
  <c r="Q249" i="309"/>
  <c r="N99" i="304"/>
  <c r="Q269" i="309"/>
  <c r="N103" i="304"/>
  <c r="P304" i="309"/>
  <c r="M110" i="304"/>
  <c r="R51" i="304"/>
  <c r="S51" i="304"/>
  <c r="P138" i="304"/>
  <c r="S318" i="309"/>
  <c r="J10" i="293"/>
  <c r="J10" i="277"/>
  <c r="K160" i="304"/>
  <c r="J158" i="304"/>
  <c r="M32" i="295"/>
  <c r="M193" i="295"/>
  <c r="M147" i="295"/>
  <c r="M170" i="295"/>
  <c r="M9" i="295"/>
  <c r="M124" i="295"/>
  <c r="M55" i="295"/>
  <c r="M101" i="295"/>
  <c r="M78" i="295"/>
  <c r="Q4" i="273"/>
  <c r="R9" i="273"/>
  <c r="Q12" i="273"/>
  <c r="Q13" i="273" s="1"/>
  <c r="Q17" i="273" s="1"/>
  <c r="R274" i="309"/>
  <c r="O104" i="304"/>
  <c r="V313" i="309"/>
  <c r="V314" i="309" s="1"/>
  <c r="U313" i="309"/>
  <c r="U314" i="309" s="1"/>
  <c r="L138" i="304"/>
  <c r="L139" i="304" s="1"/>
  <c r="Q294" i="309"/>
  <c r="N108" i="304"/>
  <c r="V302" i="309"/>
  <c r="V304" i="309" s="1"/>
  <c r="O304" i="309"/>
  <c r="U302" i="309"/>
  <c r="U304" i="309" s="1"/>
  <c r="L110" i="304"/>
  <c r="O249" i="309"/>
  <c r="V247" i="309"/>
  <c r="V249" i="309" s="1"/>
  <c r="U247" i="309"/>
  <c r="U249" i="309" s="1"/>
  <c r="L99" i="304"/>
  <c r="P294" i="309"/>
  <c r="M108" i="304"/>
  <c r="J149" i="304"/>
  <c r="S279" i="309"/>
  <c r="P105" i="304"/>
  <c r="J113" i="304"/>
  <c r="J148" i="304"/>
  <c r="R112" i="304"/>
  <c r="S112" i="304"/>
  <c r="L3" i="309"/>
  <c r="L3" i="305"/>
  <c r="L3" i="293"/>
  <c r="L3" i="296"/>
  <c r="L3" i="277"/>
  <c r="L3" i="278"/>
  <c r="L3" i="295"/>
  <c r="R58" i="304"/>
  <c r="S58" i="304"/>
  <c r="O239" i="309"/>
  <c r="V237" i="309"/>
  <c r="V239" i="309" s="1"/>
  <c r="U237" i="309"/>
  <c r="U239" i="309" s="1"/>
  <c r="L97" i="304"/>
  <c r="S239" i="309"/>
  <c r="P97" i="304"/>
  <c r="O289" i="309"/>
  <c r="V287" i="309"/>
  <c r="V289" i="309" s="1"/>
  <c r="U287" i="309"/>
  <c r="U289" i="309" s="1"/>
  <c r="L107" i="304"/>
  <c r="J163" i="304"/>
  <c r="J162" i="304"/>
  <c r="S81" i="304"/>
  <c r="R81" i="304"/>
  <c r="L10" i="293"/>
  <c r="L10" i="277"/>
  <c r="O138" i="304"/>
  <c r="R318" i="309"/>
  <c r="L75" i="304"/>
  <c r="K2" i="304"/>
  <c r="N2" i="309"/>
  <c r="N2" i="305"/>
  <c r="N2" i="293"/>
  <c r="N2" i="295"/>
  <c r="N2" i="277"/>
  <c r="N2" i="278"/>
  <c r="N8" i="278" s="1"/>
  <c r="N2" i="296"/>
  <c r="N26" i="273"/>
  <c r="S234" i="309"/>
  <c r="S317" i="309"/>
  <c r="P96" i="304"/>
  <c r="R254" i="309"/>
  <c r="O100" i="304"/>
  <c r="M194" i="293"/>
  <c r="M90" i="293"/>
  <c r="M142" i="293"/>
  <c r="M220" i="293"/>
  <c r="M116" i="293"/>
  <c r="M64" i="293"/>
  <c r="M168" i="293"/>
  <c r="M38" i="293"/>
  <c r="M12" i="293"/>
  <c r="M4" i="304"/>
  <c r="P4" i="309"/>
  <c r="P4" i="305"/>
  <c r="P4" i="293"/>
  <c r="P4" i="295"/>
  <c r="P4" i="277"/>
  <c r="P4" i="296"/>
  <c r="P4" i="278"/>
  <c r="R46" i="304"/>
  <c r="S46" i="304"/>
  <c r="K161" i="304"/>
  <c r="P309" i="309"/>
  <c r="M111" i="304"/>
  <c r="K157" i="304"/>
  <c r="K149" i="304"/>
  <c r="K153" i="304"/>
  <c r="S289" i="309"/>
  <c r="P107" i="304"/>
  <c r="J151" i="304"/>
  <c r="R279" i="309"/>
  <c r="O105" i="304"/>
  <c r="L60" i="304"/>
  <c r="S43" i="304"/>
  <c r="R43" i="304"/>
  <c r="S264" i="309"/>
  <c r="P102" i="304"/>
  <c r="O264" i="309"/>
  <c r="U262" i="309"/>
  <c r="U264" i="309" s="1"/>
  <c r="V262" i="309"/>
  <c r="V264" i="309" s="1"/>
  <c r="L102" i="304"/>
  <c r="M31" i="273"/>
  <c r="M30" i="273"/>
  <c r="M3" i="273"/>
  <c r="M29" i="273"/>
  <c r="S131" i="304"/>
  <c r="R131" i="304"/>
  <c r="O299" i="309"/>
  <c r="V297" i="309"/>
  <c r="V299" i="309" s="1"/>
  <c r="U297" i="309"/>
  <c r="U299" i="309" s="1"/>
  <c r="L109" i="304"/>
  <c r="R45" i="304"/>
  <c r="R79" i="304"/>
  <c r="S79" i="304"/>
  <c r="S127" i="304"/>
  <c r="R127" i="304"/>
  <c r="P284" i="309"/>
  <c r="M106" i="304"/>
  <c r="P18" i="273"/>
  <c r="P19" i="273" s="1"/>
  <c r="O2" i="273"/>
  <c r="S124" i="304"/>
  <c r="R124" i="304"/>
  <c r="J159" i="304"/>
  <c r="S304" i="309"/>
  <c r="P110" i="304"/>
  <c r="Q317" i="309"/>
  <c r="Q234" i="309"/>
  <c r="N96" i="304"/>
  <c r="J160" i="304"/>
  <c r="S299" i="309"/>
  <c r="P109" i="304"/>
  <c r="Q239" i="309"/>
  <c r="N97" i="304"/>
  <c r="Q274" i="309"/>
  <c r="N104" i="304"/>
  <c r="R47" i="304"/>
  <c r="S47" i="304"/>
  <c r="N138" i="304"/>
  <c r="N164" i="304" s="1"/>
  <c r="Q318" i="309"/>
  <c r="V252" i="309"/>
  <c r="V254" i="309" s="1"/>
  <c r="U252" i="309"/>
  <c r="U254" i="309" s="1"/>
  <c r="O254" i="309"/>
  <c r="L100" i="304"/>
  <c r="Q284" i="309"/>
  <c r="N106" i="304"/>
  <c r="O259" i="309"/>
  <c r="U257" i="309"/>
  <c r="U259" i="309" s="1"/>
  <c r="V257" i="309"/>
  <c r="V259" i="309" s="1"/>
  <c r="L101" i="304"/>
  <c r="K148" i="304"/>
  <c r="K113" i="304"/>
  <c r="P314" i="309"/>
  <c r="O309" i="309"/>
  <c r="V307" i="309"/>
  <c r="V309" i="309" s="1"/>
  <c r="U307" i="309"/>
  <c r="U309" i="309" s="1"/>
  <c r="L111" i="304"/>
  <c r="P254" i="309"/>
  <c r="M100" i="304"/>
  <c r="R264" i="309"/>
  <c r="O102" i="304"/>
  <c r="R284" i="309"/>
  <c r="O106" i="304"/>
  <c r="P264" i="309"/>
  <c r="M102" i="304"/>
  <c r="K151" i="304"/>
  <c r="M10" i="293"/>
  <c r="M10" i="277"/>
  <c r="S274" i="309"/>
  <c r="P104" i="304"/>
  <c r="Q279" i="309"/>
  <c r="N105" i="304"/>
  <c r="R244" i="309"/>
  <c r="O98" i="304"/>
  <c r="J153" i="304"/>
  <c r="J155" i="304"/>
  <c r="O244" i="309"/>
  <c r="V242" i="309"/>
  <c r="V244" i="309" s="1"/>
  <c r="U242" i="309"/>
  <c r="U244" i="309" s="1"/>
  <c r="L98" i="304"/>
  <c r="R73" i="304"/>
  <c r="S73" i="304"/>
  <c r="L84" i="304"/>
  <c r="N10" i="293"/>
  <c r="N10" i="277"/>
  <c r="R304" i="309"/>
  <c r="O110" i="304"/>
  <c r="R125" i="304"/>
  <c r="S125" i="304"/>
  <c r="R34" i="304"/>
  <c r="Q289" i="309"/>
  <c r="N107" i="304"/>
  <c r="S82" i="304"/>
  <c r="R82" i="304"/>
  <c r="R269" i="309"/>
  <c r="O103" i="304"/>
  <c r="S50" i="304"/>
  <c r="R50" i="304"/>
  <c r="S85" i="304"/>
  <c r="R85" i="304"/>
  <c r="S249" i="309"/>
  <c r="P99" i="304"/>
  <c r="O318" i="309"/>
  <c r="S72" i="304" l="1"/>
  <c r="U318" i="305"/>
  <c r="U319" i="305" s="1"/>
  <c r="V318" i="305"/>
  <c r="V319" i="305" s="1"/>
  <c r="J86" i="304"/>
  <c r="R44" i="304"/>
  <c r="R60" i="304" s="1"/>
  <c r="S76" i="304"/>
  <c r="L164" i="304"/>
  <c r="Q319" i="309"/>
  <c r="R76" i="304"/>
  <c r="N60" i="304"/>
  <c r="N70" i="304"/>
  <c r="S45" i="304"/>
  <c r="S52" i="304"/>
  <c r="P71" i="304"/>
  <c r="P86" i="304" s="1"/>
  <c r="N78" i="304"/>
  <c r="L86" i="304"/>
  <c r="S319" i="309"/>
  <c r="O162" i="304"/>
  <c r="O155" i="304"/>
  <c r="Q18" i="273"/>
  <c r="Q19" i="273" s="1"/>
  <c r="P2" i="273"/>
  <c r="J165" i="304"/>
  <c r="J110" i="277"/>
  <c r="J162" i="277" s="1"/>
  <c r="J106" i="277"/>
  <c r="J158" i="277" s="1"/>
  <c r="J102" i="277"/>
  <c r="J154" i="277" s="1"/>
  <c r="J98" i="277"/>
  <c r="J150" i="277" s="1"/>
  <c r="J19" i="277"/>
  <c r="J99" i="277"/>
  <c r="J151" i="277" s="1"/>
  <c r="J35" i="277"/>
  <c r="J112" i="277"/>
  <c r="J164" i="277" s="1"/>
  <c r="J34" i="277"/>
  <c r="J29" i="277"/>
  <c r="J103" i="277"/>
  <c r="J155" i="277" s="1"/>
  <c r="J30" i="277"/>
  <c r="J105" i="277"/>
  <c r="J157" i="277" s="1"/>
  <c r="J111" i="277"/>
  <c r="J163" i="277" s="1"/>
  <c r="J97" i="277"/>
  <c r="J21" i="277"/>
  <c r="J107" i="277"/>
  <c r="J159" i="277" s="1"/>
  <c r="J23" i="277"/>
  <c r="J109" i="277"/>
  <c r="J161" i="277" s="1"/>
  <c r="J22" i="277"/>
  <c r="J33" i="277"/>
  <c r="J25" i="277"/>
  <c r="J20" i="277"/>
  <c r="J27" i="277"/>
  <c r="J108" i="277"/>
  <c r="J160" i="277" s="1"/>
  <c r="J104" i="277"/>
  <c r="J156" i="277" s="1"/>
  <c r="J24" i="277"/>
  <c r="J113" i="277"/>
  <c r="J165" i="277" s="1"/>
  <c r="J28" i="277"/>
  <c r="J31" i="277"/>
  <c r="J100" i="277"/>
  <c r="J152" i="277" s="1"/>
  <c r="J32" i="277"/>
  <c r="J26" i="277"/>
  <c r="J101" i="277"/>
  <c r="J153" i="277" s="1"/>
  <c r="P153" i="304"/>
  <c r="M161" i="304"/>
  <c r="M158" i="304"/>
  <c r="N32" i="296"/>
  <c r="N55" i="296"/>
  <c r="N9" i="296"/>
  <c r="K62" i="304"/>
  <c r="K115" i="304"/>
  <c r="K141" i="304"/>
  <c r="K10" i="304"/>
  <c r="K36" i="304"/>
  <c r="K89" i="304"/>
  <c r="S99" i="304"/>
  <c r="R99" i="304"/>
  <c r="L151" i="304"/>
  <c r="N160" i="304"/>
  <c r="R4" i="273"/>
  <c r="S9" i="273"/>
  <c r="R12" i="273"/>
  <c r="R13" i="273" s="1"/>
  <c r="R17" i="273" s="1"/>
  <c r="J113" i="293"/>
  <c r="J165" i="293" s="1"/>
  <c r="J93" i="309" s="1"/>
  <c r="J313" i="309" s="1"/>
  <c r="J109" i="293"/>
  <c r="J161" i="293" s="1"/>
  <c r="J73" i="309" s="1"/>
  <c r="J293" i="309" s="1"/>
  <c r="J105" i="293"/>
  <c r="J157" i="293" s="1"/>
  <c r="J53" i="309" s="1"/>
  <c r="J273" i="309" s="1"/>
  <c r="J101" i="293"/>
  <c r="J153" i="293" s="1"/>
  <c r="J33" i="309" s="1"/>
  <c r="J253" i="309" s="1"/>
  <c r="J97" i="293"/>
  <c r="J26" i="293"/>
  <c r="J22" i="293"/>
  <c r="J34" i="293"/>
  <c r="J30" i="293"/>
  <c r="J108" i="293"/>
  <c r="J160" i="293" s="1"/>
  <c r="J68" i="309" s="1"/>
  <c r="J288" i="309" s="1"/>
  <c r="J20" i="293"/>
  <c r="J112" i="293"/>
  <c r="J164" i="293" s="1"/>
  <c r="J88" i="309" s="1"/>
  <c r="J308" i="309" s="1"/>
  <c r="J25" i="293"/>
  <c r="J33" i="293"/>
  <c r="J100" i="293"/>
  <c r="J152" i="293" s="1"/>
  <c r="J28" i="309" s="1"/>
  <c r="J248" i="309" s="1"/>
  <c r="J28" i="293"/>
  <c r="J107" i="293"/>
  <c r="J159" i="293" s="1"/>
  <c r="J63" i="309" s="1"/>
  <c r="J283" i="309" s="1"/>
  <c r="J19" i="293"/>
  <c r="J35" i="293"/>
  <c r="J106" i="293"/>
  <c r="J158" i="293" s="1"/>
  <c r="J58" i="309" s="1"/>
  <c r="J278" i="309" s="1"/>
  <c r="J23" i="293"/>
  <c r="J110" i="293"/>
  <c r="J162" i="293" s="1"/>
  <c r="J78" i="309" s="1"/>
  <c r="J298" i="309" s="1"/>
  <c r="J32" i="293"/>
  <c r="J99" i="293"/>
  <c r="J151" i="293" s="1"/>
  <c r="J23" i="309" s="1"/>
  <c r="J243" i="309" s="1"/>
  <c r="J104" i="293"/>
  <c r="J156" i="293" s="1"/>
  <c r="J48" i="309" s="1"/>
  <c r="J268" i="309" s="1"/>
  <c r="J111" i="293"/>
  <c r="J163" i="293" s="1"/>
  <c r="J83" i="309" s="1"/>
  <c r="J303" i="309" s="1"/>
  <c r="J27" i="293"/>
  <c r="J98" i="293"/>
  <c r="J150" i="293" s="1"/>
  <c r="J18" i="309" s="1"/>
  <c r="J238" i="309" s="1"/>
  <c r="J29" i="293"/>
  <c r="J103" i="293"/>
  <c r="J155" i="293" s="1"/>
  <c r="J43" i="309" s="1"/>
  <c r="J263" i="309" s="1"/>
  <c r="J24" i="293"/>
  <c r="J21" i="293"/>
  <c r="J31" i="293"/>
  <c r="J102" i="293"/>
  <c r="J154" i="293" s="1"/>
  <c r="J38" i="309" s="1"/>
  <c r="J258" i="309" s="1"/>
  <c r="L155" i="304"/>
  <c r="S103" i="304"/>
  <c r="R103" i="304"/>
  <c r="L158" i="304"/>
  <c r="S106" i="304"/>
  <c r="R106" i="304"/>
  <c r="N154" i="304"/>
  <c r="R108" i="304"/>
  <c r="L160" i="304"/>
  <c r="S108" i="304"/>
  <c r="P150" i="304"/>
  <c r="P158" i="304"/>
  <c r="M157" i="304"/>
  <c r="L152" i="304"/>
  <c r="S100" i="304"/>
  <c r="R100" i="304"/>
  <c r="O154" i="304"/>
  <c r="N29" i="273"/>
  <c r="N31" i="273"/>
  <c r="N30" i="273"/>
  <c r="N3" i="273"/>
  <c r="M162" i="304"/>
  <c r="M153" i="304"/>
  <c r="N157" i="304"/>
  <c r="L163" i="304"/>
  <c r="R111" i="304"/>
  <c r="S111" i="304"/>
  <c r="N139" i="304"/>
  <c r="P161" i="304"/>
  <c r="P162" i="304"/>
  <c r="R102" i="304"/>
  <c r="L154" i="304"/>
  <c r="S102" i="304"/>
  <c r="M163" i="304"/>
  <c r="S75" i="304"/>
  <c r="R75" i="304"/>
  <c r="N4" i="304"/>
  <c r="Q4" i="309"/>
  <c r="Q4" i="305"/>
  <c r="Q4" i="293"/>
  <c r="Q4" i="296"/>
  <c r="Q4" i="295"/>
  <c r="Q4" i="277"/>
  <c r="Q4" i="278"/>
  <c r="N155" i="304"/>
  <c r="M139" i="304"/>
  <c r="O153" i="304"/>
  <c r="O113" i="304"/>
  <c r="O148" i="304"/>
  <c r="N152" i="304"/>
  <c r="M148" i="304"/>
  <c r="M113" i="304"/>
  <c r="M151" i="304"/>
  <c r="O151" i="304"/>
  <c r="N156" i="304"/>
  <c r="P151" i="304"/>
  <c r="M152" i="304"/>
  <c r="P156" i="304"/>
  <c r="N158" i="304"/>
  <c r="O152" i="304"/>
  <c r="N116" i="277"/>
  <c r="N64" i="277"/>
  <c r="N38" i="277"/>
  <c r="N220" i="277"/>
  <c r="N194" i="277"/>
  <c r="N168" i="277"/>
  <c r="N90" i="277"/>
  <c r="N142" i="277"/>
  <c r="N12" i="277"/>
  <c r="P149" i="304"/>
  <c r="P157" i="304"/>
  <c r="S138" i="304"/>
  <c r="R138" i="304"/>
  <c r="R139" i="304" s="1"/>
  <c r="M156" i="304"/>
  <c r="M155" i="304"/>
  <c r="O163" i="304"/>
  <c r="N162" i="304"/>
  <c r="M159" i="304"/>
  <c r="K105" i="277"/>
  <c r="K157" i="277" s="1"/>
  <c r="K34" i="277"/>
  <c r="K109" i="277"/>
  <c r="K161" i="277" s="1"/>
  <c r="K22" i="277"/>
  <c r="K113" i="277"/>
  <c r="K165" i="277" s="1"/>
  <c r="K97" i="277"/>
  <c r="K26" i="277"/>
  <c r="K101" i="277"/>
  <c r="K153" i="277" s="1"/>
  <c r="K30" i="277"/>
  <c r="K21" i="277"/>
  <c r="K35" i="277"/>
  <c r="K106" i="277"/>
  <c r="K158" i="277" s="1"/>
  <c r="K33" i="277"/>
  <c r="K25" i="277"/>
  <c r="K112" i="277"/>
  <c r="K164" i="277" s="1"/>
  <c r="K20" i="277"/>
  <c r="K103" i="277"/>
  <c r="K155" i="277" s="1"/>
  <c r="K98" i="277"/>
  <c r="K150" i="277" s="1"/>
  <c r="K32" i="277"/>
  <c r="K102" i="277"/>
  <c r="K154" i="277" s="1"/>
  <c r="K23" i="277"/>
  <c r="K108" i="277"/>
  <c r="K160" i="277" s="1"/>
  <c r="K104" i="277"/>
  <c r="K156" i="277" s="1"/>
  <c r="K24" i="277"/>
  <c r="K107" i="277"/>
  <c r="K159" i="277" s="1"/>
  <c r="K19" i="277"/>
  <c r="K110" i="277"/>
  <c r="K162" i="277" s="1"/>
  <c r="K100" i="277"/>
  <c r="K152" i="277" s="1"/>
  <c r="K99" i="277"/>
  <c r="K151" i="277" s="1"/>
  <c r="K27" i="277"/>
  <c r="K29" i="277"/>
  <c r="K28" i="277"/>
  <c r="K111" i="277"/>
  <c r="K163" i="277" s="1"/>
  <c r="K31" i="277"/>
  <c r="M150" i="304"/>
  <c r="N149" i="304"/>
  <c r="P159" i="304"/>
  <c r="M154" i="304"/>
  <c r="S84" i="304"/>
  <c r="R84" i="304"/>
  <c r="O158" i="304"/>
  <c r="K165" i="304"/>
  <c r="R72" i="304"/>
  <c r="O157" i="304"/>
  <c r="N78" i="295"/>
  <c r="N193" i="295"/>
  <c r="N147" i="295"/>
  <c r="N170" i="295"/>
  <c r="N101" i="295"/>
  <c r="N124" i="295"/>
  <c r="N55" i="295"/>
  <c r="N9" i="295"/>
  <c r="N32" i="295"/>
  <c r="O139" i="304"/>
  <c r="P139" i="304"/>
  <c r="S74" i="304"/>
  <c r="R74" i="304"/>
  <c r="R319" i="309"/>
  <c r="N150" i="304"/>
  <c r="L156" i="304"/>
  <c r="S104" i="304"/>
  <c r="R104" i="304"/>
  <c r="P319" i="309"/>
  <c r="K112" i="293"/>
  <c r="K164" i="293" s="1"/>
  <c r="K88" i="309" s="1"/>
  <c r="K308" i="309" s="1"/>
  <c r="K104" i="293"/>
  <c r="K156" i="293" s="1"/>
  <c r="K48" i="309" s="1"/>
  <c r="K268" i="309" s="1"/>
  <c r="K26" i="293"/>
  <c r="K21" i="293"/>
  <c r="K22" i="293"/>
  <c r="K113" i="293"/>
  <c r="K165" i="293" s="1"/>
  <c r="K93" i="309" s="1"/>
  <c r="K313" i="309" s="1"/>
  <c r="K105" i="293"/>
  <c r="K157" i="293" s="1"/>
  <c r="K53" i="309" s="1"/>
  <c r="K273" i="309" s="1"/>
  <c r="K97" i="293"/>
  <c r="K109" i="293"/>
  <c r="K161" i="293" s="1"/>
  <c r="K73" i="309" s="1"/>
  <c r="K293" i="309" s="1"/>
  <c r="K30" i="293"/>
  <c r="K101" i="293"/>
  <c r="K153" i="293" s="1"/>
  <c r="K33" i="309" s="1"/>
  <c r="K253" i="309" s="1"/>
  <c r="K34" i="293"/>
  <c r="K108" i="293"/>
  <c r="K160" i="293" s="1"/>
  <c r="K68" i="309" s="1"/>
  <c r="K288" i="309" s="1"/>
  <c r="K100" i="293"/>
  <c r="K152" i="293" s="1"/>
  <c r="K28" i="309" s="1"/>
  <c r="K248" i="309" s="1"/>
  <c r="K25" i="293"/>
  <c r="K32" i="293"/>
  <c r="K99" i="293"/>
  <c r="K151" i="293" s="1"/>
  <c r="K23" i="309" s="1"/>
  <c r="K243" i="309" s="1"/>
  <c r="K27" i="293"/>
  <c r="K106" i="293"/>
  <c r="K158" i="293" s="1"/>
  <c r="K58" i="309" s="1"/>
  <c r="K278" i="309" s="1"/>
  <c r="K111" i="293"/>
  <c r="K163" i="293" s="1"/>
  <c r="K83" i="309" s="1"/>
  <c r="K303" i="309" s="1"/>
  <c r="K19" i="293"/>
  <c r="K33" i="293"/>
  <c r="K20" i="293"/>
  <c r="K31" i="293"/>
  <c r="K102" i="293"/>
  <c r="K154" i="293" s="1"/>
  <c r="K38" i="309" s="1"/>
  <c r="K258" i="309" s="1"/>
  <c r="K35" i="293"/>
  <c r="K110" i="293"/>
  <c r="K162" i="293" s="1"/>
  <c r="K78" i="309" s="1"/>
  <c r="K298" i="309" s="1"/>
  <c r="K103" i="293"/>
  <c r="K155" i="293" s="1"/>
  <c r="K43" i="309" s="1"/>
  <c r="K263" i="309" s="1"/>
  <c r="K98" i="293"/>
  <c r="K150" i="293" s="1"/>
  <c r="K18" i="309" s="1"/>
  <c r="K238" i="309" s="1"/>
  <c r="K24" i="293"/>
  <c r="K29" i="293"/>
  <c r="K28" i="293"/>
  <c r="K107" i="293"/>
  <c r="K159" i="293" s="1"/>
  <c r="K63" i="309" s="1"/>
  <c r="K283" i="309" s="1"/>
  <c r="K23" i="293"/>
  <c r="P164" i="304"/>
  <c r="P113" i="304"/>
  <c r="P148" i="304"/>
  <c r="N220" i="293"/>
  <c r="N116" i="293"/>
  <c r="N64" i="293"/>
  <c r="N168" i="293"/>
  <c r="N38" i="293"/>
  <c r="N90" i="293"/>
  <c r="N142" i="293"/>
  <c r="N12" i="293"/>
  <c r="N194" i="293"/>
  <c r="L111" i="277"/>
  <c r="L163" i="277" s="1"/>
  <c r="L107" i="277"/>
  <c r="L159" i="277" s="1"/>
  <c r="L103" i="277"/>
  <c r="L155" i="277" s="1"/>
  <c r="L99" i="277"/>
  <c r="L151" i="277" s="1"/>
  <c r="L20" i="277"/>
  <c r="L113" i="277"/>
  <c r="L165" i="277" s="1"/>
  <c r="L109" i="277"/>
  <c r="L161" i="277" s="1"/>
  <c r="L105" i="277"/>
  <c r="L157" i="277" s="1"/>
  <c r="L101" i="277"/>
  <c r="L153" i="277" s="1"/>
  <c r="L97" i="277"/>
  <c r="L26" i="277"/>
  <c r="L27" i="277"/>
  <c r="L102" i="277"/>
  <c r="L154" i="277" s="1"/>
  <c r="L24" i="277"/>
  <c r="L110" i="277"/>
  <c r="L162" i="277" s="1"/>
  <c r="L28" i="277"/>
  <c r="L108" i="277"/>
  <c r="L160" i="277" s="1"/>
  <c r="L104" i="277"/>
  <c r="L156" i="277" s="1"/>
  <c r="L30" i="277"/>
  <c r="L19" i="277"/>
  <c r="L34" i="277"/>
  <c r="L31" i="277"/>
  <c r="L106" i="277"/>
  <c r="L158" i="277" s="1"/>
  <c r="L35" i="277"/>
  <c r="L100" i="277"/>
  <c r="L152" i="277" s="1"/>
  <c r="L29" i="277"/>
  <c r="L21" i="277"/>
  <c r="L23" i="277"/>
  <c r="L98" i="277"/>
  <c r="L150" i="277" s="1"/>
  <c r="L33" i="277"/>
  <c r="L25" i="277"/>
  <c r="L112" i="277"/>
  <c r="L164" i="277" s="1"/>
  <c r="L22" i="277"/>
  <c r="L32" i="277"/>
  <c r="L149" i="304"/>
  <c r="R97" i="304"/>
  <c r="S97" i="304"/>
  <c r="R110" i="304"/>
  <c r="S110" i="304"/>
  <c r="L162" i="304"/>
  <c r="N151" i="304"/>
  <c r="P155" i="304"/>
  <c r="N153" i="304"/>
  <c r="N163" i="304"/>
  <c r="P163" i="304"/>
  <c r="N159" i="304"/>
  <c r="N148" i="304"/>
  <c r="N113" i="304"/>
  <c r="P154" i="304"/>
  <c r="O156" i="304"/>
  <c r="O161" i="304"/>
  <c r="L148" i="304"/>
  <c r="R96" i="304"/>
  <c r="S96" i="304"/>
  <c r="L113" i="304"/>
  <c r="P160" i="304"/>
  <c r="L157" i="304"/>
  <c r="R105" i="304"/>
  <c r="S105" i="304"/>
  <c r="O164" i="304"/>
  <c r="U318" i="309"/>
  <c r="V318" i="309"/>
  <c r="L150" i="304"/>
  <c r="S98" i="304"/>
  <c r="R98" i="304"/>
  <c r="O150" i="304"/>
  <c r="S101" i="304"/>
  <c r="L153" i="304"/>
  <c r="R101" i="304"/>
  <c r="L2" i="304"/>
  <c r="O2" i="309"/>
  <c r="O2" i="305"/>
  <c r="O2" i="293"/>
  <c r="O2" i="296"/>
  <c r="O2" i="295"/>
  <c r="O2" i="277"/>
  <c r="O2" i="278"/>
  <c r="O8" i="278" s="1"/>
  <c r="O26" i="273"/>
  <c r="L161" i="304"/>
  <c r="S109" i="304"/>
  <c r="R109" i="304"/>
  <c r="J3" i="304"/>
  <c r="M3" i="309"/>
  <c r="M3" i="305"/>
  <c r="M3" i="293"/>
  <c r="M3" i="295"/>
  <c r="M3" i="296"/>
  <c r="M3" i="277"/>
  <c r="M3" i="278"/>
  <c r="L110" i="293"/>
  <c r="L162" i="293" s="1"/>
  <c r="L78" i="309" s="1"/>
  <c r="L298" i="309" s="1"/>
  <c r="L106" i="293"/>
  <c r="L158" i="293" s="1"/>
  <c r="L58" i="309" s="1"/>
  <c r="L278" i="309" s="1"/>
  <c r="L102" i="293"/>
  <c r="L154" i="293" s="1"/>
  <c r="L38" i="309" s="1"/>
  <c r="L258" i="309" s="1"/>
  <c r="L98" i="293"/>
  <c r="L150" i="293" s="1"/>
  <c r="L18" i="309" s="1"/>
  <c r="L238" i="309" s="1"/>
  <c r="L27" i="293"/>
  <c r="L23" i="293"/>
  <c r="L35" i="293"/>
  <c r="L19" i="293"/>
  <c r="L31" i="293"/>
  <c r="L112" i="293"/>
  <c r="L164" i="293" s="1"/>
  <c r="L88" i="309" s="1"/>
  <c r="L308" i="309" s="1"/>
  <c r="L25" i="293"/>
  <c r="L30" i="293"/>
  <c r="L109" i="293"/>
  <c r="L161" i="293" s="1"/>
  <c r="L73" i="309" s="1"/>
  <c r="L293" i="309" s="1"/>
  <c r="L107" i="293"/>
  <c r="L159" i="293" s="1"/>
  <c r="L63" i="309" s="1"/>
  <c r="L283" i="309" s="1"/>
  <c r="L113" i="293"/>
  <c r="L165" i="293" s="1"/>
  <c r="L93" i="309" s="1"/>
  <c r="L313" i="309" s="1"/>
  <c r="L111" i="293"/>
  <c r="L163" i="293" s="1"/>
  <c r="L83" i="309" s="1"/>
  <c r="L303" i="309" s="1"/>
  <c r="L104" i="293"/>
  <c r="L156" i="293" s="1"/>
  <c r="L48" i="309" s="1"/>
  <c r="L268" i="309" s="1"/>
  <c r="L24" i="293"/>
  <c r="L21" i="293"/>
  <c r="L101" i="293"/>
  <c r="L153" i="293" s="1"/>
  <c r="L33" i="309" s="1"/>
  <c r="L253" i="309" s="1"/>
  <c r="L28" i="293"/>
  <c r="L29" i="293"/>
  <c r="L103" i="293"/>
  <c r="L155" i="293" s="1"/>
  <c r="L43" i="309" s="1"/>
  <c r="L263" i="309" s="1"/>
  <c r="L34" i="293"/>
  <c r="L22" i="293"/>
  <c r="L108" i="293"/>
  <c r="L160" i="293" s="1"/>
  <c r="L68" i="309" s="1"/>
  <c r="L288" i="309" s="1"/>
  <c r="L33" i="293"/>
  <c r="L97" i="293"/>
  <c r="L100" i="293"/>
  <c r="L152" i="293" s="1"/>
  <c r="L28" i="309" s="1"/>
  <c r="L248" i="309" s="1"/>
  <c r="L32" i="293"/>
  <c r="L99" i="293"/>
  <c r="L151" i="293" s="1"/>
  <c r="L23" i="309" s="1"/>
  <c r="L243" i="309" s="1"/>
  <c r="L105" i="293"/>
  <c r="L157" i="293" s="1"/>
  <c r="L53" i="309" s="1"/>
  <c r="L273" i="309" s="1"/>
  <c r="L20" i="293"/>
  <c r="L26" i="293"/>
  <c r="S107" i="304"/>
  <c r="L159" i="304"/>
  <c r="R107" i="304"/>
  <c r="M160" i="304"/>
  <c r="P152" i="304"/>
  <c r="U317" i="309"/>
  <c r="V317" i="309"/>
  <c r="O319" i="309"/>
  <c r="O159" i="304"/>
  <c r="O149" i="304"/>
  <c r="M149" i="304"/>
  <c r="N161" i="304"/>
  <c r="O160" i="304"/>
  <c r="S78" i="304" l="1"/>
  <c r="U319" i="309"/>
  <c r="V319" i="309"/>
  <c r="R71" i="304"/>
  <c r="S71" i="304"/>
  <c r="R78" i="304"/>
  <c r="S70" i="304"/>
  <c r="R70" i="304"/>
  <c r="N86" i="304"/>
  <c r="S60" i="304"/>
  <c r="R164" i="304"/>
  <c r="L18" i="305"/>
  <c r="L238" i="305" s="1"/>
  <c r="K178" i="293"/>
  <c r="K74" i="293"/>
  <c r="R156" i="304"/>
  <c r="S156" i="304"/>
  <c r="J28" i="305"/>
  <c r="J248" i="305" s="1"/>
  <c r="L190" i="293"/>
  <c r="L86" i="293"/>
  <c r="L175" i="293"/>
  <c r="L71" i="293"/>
  <c r="L36" i="293"/>
  <c r="O193" i="295"/>
  <c r="O147" i="295"/>
  <c r="O170" i="295"/>
  <c r="O124" i="295"/>
  <c r="O55" i="295"/>
  <c r="O78" i="295"/>
  <c r="O9" i="295"/>
  <c r="O32" i="295"/>
  <c r="O101" i="295"/>
  <c r="S153" i="304"/>
  <c r="R153" i="304"/>
  <c r="R149" i="304"/>
  <c r="S149" i="304"/>
  <c r="L179" i="277"/>
  <c r="L75" i="277"/>
  <c r="L175" i="277"/>
  <c r="L71" i="277"/>
  <c r="L36" i="277"/>
  <c r="L183" i="277"/>
  <c r="L79" i="277"/>
  <c r="L23" i="305"/>
  <c r="L243" i="305" s="1"/>
  <c r="K190" i="293"/>
  <c r="K86" i="293"/>
  <c r="K177" i="293"/>
  <c r="K73" i="293"/>
  <c r="K83" i="305"/>
  <c r="K303" i="305" s="1"/>
  <c r="K63" i="305"/>
  <c r="K283" i="305" s="1"/>
  <c r="K43" i="305"/>
  <c r="K263" i="305" s="1"/>
  <c r="K82" i="277"/>
  <c r="K186" i="277"/>
  <c r="K53" i="305"/>
  <c r="K273" i="305" s="1"/>
  <c r="S154" i="304"/>
  <c r="R154" i="304"/>
  <c r="J79" i="293"/>
  <c r="J183" i="293"/>
  <c r="J191" i="293"/>
  <c r="J87" i="293"/>
  <c r="J176" i="293"/>
  <c r="J72" i="293"/>
  <c r="S151" i="304"/>
  <c r="R151" i="304"/>
  <c r="J187" i="277"/>
  <c r="J83" i="277"/>
  <c r="J77" i="277"/>
  <c r="J181" i="277"/>
  <c r="J83" i="305"/>
  <c r="J303" i="305" s="1"/>
  <c r="J23" i="305"/>
  <c r="J243" i="305" s="1"/>
  <c r="M2" i="304"/>
  <c r="P2" i="309"/>
  <c r="P2" i="305"/>
  <c r="P2" i="293"/>
  <c r="P2" i="295"/>
  <c r="P2" i="277"/>
  <c r="P2" i="278"/>
  <c r="P8" i="278" s="1"/>
  <c r="P2" i="296"/>
  <c r="P26" i="273"/>
  <c r="L176" i="293"/>
  <c r="L72" i="293"/>
  <c r="L38" i="305"/>
  <c r="L258" i="305" s="1"/>
  <c r="K86" i="277"/>
  <c r="K190" i="277"/>
  <c r="L191" i="293"/>
  <c r="L87" i="293"/>
  <c r="O55" i="296"/>
  <c r="O9" i="296"/>
  <c r="O32" i="296"/>
  <c r="N165" i="304"/>
  <c r="L177" i="277"/>
  <c r="L73" i="277"/>
  <c r="L82" i="277"/>
  <c r="L186" i="277"/>
  <c r="L78" i="277"/>
  <c r="L182" i="277"/>
  <c r="L43" i="305"/>
  <c r="L263" i="305" s="1"/>
  <c r="K182" i="293"/>
  <c r="K78" i="293"/>
  <c r="K184" i="277"/>
  <c r="K80" i="277"/>
  <c r="K180" i="277"/>
  <c r="K76" i="277"/>
  <c r="K176" i="277"/>
  <c r="K72" i="277"/>
  <c r="K33" i="305"/>
  <c r="K253" i="305" s="1"/>
  <c r="J36" i="293"/>
  <c r="J175" i="293"/>
  <c r="J71" i="293"/>
  <c r="J184" i="277"/>
  <c r="J80" i="277"/>
  <c r="J85" i="277"/>
  <c r="J189" i="277"/>
  <c r="J53" i="305"/>
  <c r="J273" i="305" s="1"/>
  <c r="J175" i="277"/>
  <c r="J71" i="277"/>
  <c r="J36" i="277"/>
  <c r="R18" i="273"/>
  <c r="R19" i="273" s="1"/>
  <c r="Q2" i="273"/>
  <c r="L176" i="277"/>
  <c r="L72" i="277"/>
  <c r="K18" i="305"/>
  <c r="K238" i="305" s="1"/>
  <c r="J176" i="277"/>
  <c r="J72" i="277"/>
  <c r="L188" i="293"/>
  <c r="L84" i="293"/>
  <c r="O220" i="293"/>
  <c r="O194" i="293"/>
  <c r="O168" i="293"/>
  <c r="O142" i="293"/>
  <c r="O12" i="293"/>
  <c r="O116" i="293"/>
  <c r="O38" i="293"/>
  <c r="O90" i="293"/>
  <c r="O64" i="293"/>
  <c r="L188" i="277"/>
  <c r="L84" i="277"/>
  <c r="L185" i="277"/>
  <c r="L81" i="277"/>
  <c r="L48" i="305"/>
  <c r="L268" i="305" s="1"/>
  <c r="L149" i="277"/>
  <c r="L114" i="277"/>
  <c r="L63" i="305"/>
  <c r="L283" i="305" s="1"/>
  <c r="K179" i="293"/>
  <c r="K75" i="293"/>
  <c r="K191" i="293"/>
  <c r="K87" i="293"/>
  <c r="K79" i="293"/>
  <c r="K183" i="293"/>
  <c r="K186" i="293"/>
  <c r="K82" i="293"/>
  <c r="K185" i="277"/>
  <c r="K81" i="277"/>
  <c r="K48" i="305"/>
  <c r="K268" i="305" s="1"/>
  <c r="K88" i="305"/>
  <c r="K308" i="305" s="1"/>
  <c r="K78" i="277"/>
  <c r="K182" i="277"/>
  <c r="M165" i="304"/>
  <c r="J187" i="293"/>
  <c r="J83" i="293"/>
  <c r="J186" i="293"/>
  <c r="J82" i="293"/>
  <c r="J93" i="305"/>
  <c r="J313" i="305" s="1"/>
  <c r="J178" i="277"/>
  <c r="J74" i="277"/>
  <c r="J186" i="277"/>
  <c r="J82" i="277"/>
  <c r="J18" i="305"/>
  <c r="J238" i="305" s="1"/>
  <c r="L187" i="293"/>
  <c r="L83" i="293"/>
  <c r="O116" i="277"/>
  <c r="O64" i="277"/>
  <c r="O38" i="277"/>
  <c r="O220" i="277"/>
  <c r="O194" i="277"/>
  <c r="O168" i="277"/>
  <c r="O90" i="277"/>
  <c r="O142" i="277"/>
  <c r="O12" i="277"/>
  <c r="K187" i="277"/>
  <c r="K83" i="277"/>
  <c r="L185" i="293"/>
  <c r="L81" i="293"/>
  <c r="L179" i="293"/>
  <c r="L75" i="293"/>
  <c r="S159" i="304"/>
  <c r="R159" i="304"/>
  <c r="L184" i="293"/>
  <c r="L80" i="293"/>
  <c r="L183" i="293"/>
  <c r="L79" i="293"/>
  <c r="S161" i="304"/>
  <c r="R161" i="304"/>
  <c r="S164" i="304"/>
  <c r="L74" i="277"/>
  <c r="L178" i="277"/>
  <c r="L28" i="305"/>
  <c r="L248" i="305" s="1"/>
  <c r="L68" i="305"/>
  <c r="L288" i="305" s="1"/>
  <c r="L33" i="305"/>
  <c r="L253" i="305" s="1"/>
  <c r="L83" i="305"/>
  <c r="L303" i="305" s="1"/>
  <c r="K183" i="277"/>
  <c r="K79" i="277"/>
  <c r="K68" i="305"/>
  <c r="K288" i="305" s="1"/>
  <c r="K181" i="277"/>
  <c r="K77" i="277"/>
  <c r="K149" i="277"/>
  <c r="K114" i="277"/>
  <c r="R163" i="304"/>
  <c r="S163" i="304"/>
  <c r="K3" i="304"/>
  <c r="N3" i="309"/>
  <c r="N3" i="305"/>
  <c r="N3" i="293"/>
  <c r="N3" i="296"/>
  <c r="N3" i="277"/>
  <c r="N3" i="278"/>
  <c r="N3" i="295"/>
  <c r="S158" i="304"/>
  <c r="R158" i="304"/>
  <c r="J177" i="293"/>
  <c r="J73" i="293"/>
  <c r="J184" i="293"/>
  <c r="J80" i="293"/>
  <c r="J190" i="293"/>
  <c r="J86" i="293"/>
  <c r="J180" i="277"/>
  <c r="J76" i="277"/>
  <c r="J73" i="305"/>
  <c r="J293" i="305" s="1"/>
  <c r="J43" i="305"/>
  <c r="J263" i="305" s="1"/>
  <c r="J38" i="305"/>
  <c r="J258" i="305" s="1"/>
  <c r="L178" i="293"/>
  <c r="L74" i="293"/>
  <c r="L86" i="277"/>
  <c r="L190" i="277"/>
  <c r="K175" i="277"/>
  <c r="K71" i="277"/>
  <c r="K36" i="277"/>
  <c r="R155" i="304"/>
  <c r="S155" i="304"/>
  <c r="J149" i="277"/>
  <c r="J114" i="277"/>
  <c r="L186" i="293"/>
  <c r="L82" i="293"/>
  <c r="S113" i="304"/>
  <c r="L88" i="305"/>
  <c r="L308" i="305" s="1"/>
  <c r="L191" i="277"/>
  <c r="L87" i="277"/>
  <c r="L184" i="277"/>
  <c r="L80" i="277"/>
  <c r="L53" i="305"/>
  <c r="L273" i="305" s="1"/>
  <c r="K184" i="293"/>
  <c r="K80" i="293"/>
  <c r="K187" i="293"/>
  <c r="K83" i="293"/>
  <c r="K188" i="293"/>
  <c r="K84" i="293"/>
  <c r="K149" i="293"/>
  <c r="K114" i="293"/>
  <c r="K23" i="305"/>
  <c r="K243" i="305" s="1"/>
  <c r="K179" i="277"/>
  <c r="K75" i="277"/>
  <c r="K189" i="277"/>
  <c r="K85" i="277"/>
  <c r="K93" i="305"/>
  <c r="K313" i="305" s="1"/>
  <c r="S152" i="304"/>
  <c r="R152" i="304"/>
  <c r="S160" i="304"/>
  <c r="R160" i="304"/>
  <c r="J180" i="293"/>
  <c r="J76" i="293"/>
  <c r="J188" i="293"/>
  <c r="J84" i="293"/>
  <c r="J178" i="293"/>
  <c r="J74" i="293"/>
  <c r="S12" i="273"/>
  <c r="S13" i="273" s="1"/>
  <c r="S4" i="273"/>
  <c r="F10" i="273"/>
  <c r="J33" i="305"/>
  <c r="J253" i="305" s="1"/>
  <c r="J48" i="305"/>
  <c r="J268" i="305" s="1"/>
  <c r="J179" i="277"/>
  <c r="J75" i="277"/>
  <c r="J81" i="277"/>
  <c r="J185" i="277"/>
  <c r="J58" i="305"/>
  <c r="J278" i="305" s="1"/>
  <c r="R150" i="304"/>
  <c r="S150" i="304"/>
  <c r="R162" i="304"/>
  <c r="S162" i="304"/>
  <c r="J191" i="277"/>
  <c r="J87" i="277"/>
  <c r="L149" i="293"/>
  <c r="L114" i="293"/>
  <c r="L189" i="293"/>
  <c r="L85" i="293"/>
  <c r="L177" i="293"/>
  <c r="L73" i="293"/>
  <c r="L181" i="293"/>
  <c r="L77" i="293"/>
  <c r="O29" i="273"/>
  <c r="O31" i="273"/>
  <c r="O30" i="273"/>
  <c r="O3" i="273"/>
  <c r="R113" i="304"/>
  <c r="L181" i="277"/>
  <c r="L77" i="277"/>
  <c r="L58" i="305"/>
  <c r="L278" i="305" s="1"/>
  <c r="L78" i="305"/>
  <c r="L298" i="305" s="1"/>
  <c r="L73" i="305"/>
  <c r="L293" i="305" s="1"/>
  <c r="K185" i="293"/>
  <c r="K81" i="293"/>
  <c r="K176" i="293"/>
  <c r="K72" i="293"/>
  <c r="K181" i="293"/>
  <c r="K77" i="293"/>
  <c r="K28" i="305"/>
  <c r="K248" i="305" s="1"/>
  <c r="K38" i="305"/>
  <c r="K258" i="305" s="1"/>
  <c r="K58" i="305"/>
  <c r="K278" i="305" s="1"/>
  <c r="K74" i="277"/>
  <c r="K178" i="277"/>
  <c r="J189" i="293"/>
  <c r="J85" i="293"/>
  <c r="J182" i="293"/>
  <c r="J78" i="293"/>
  <c r="O4" i="304"/>
  <c r="R4" i="309"/>
  <c r="R4" i="305"/>
  <c r="R4" i="296"/>
  <c r="R4" i="293"/>
  <c r="R4" i="295"/>
  <c r="R4" i="277"/>
  <c r="R4" i="278"/>
  <c r="S139" i="304"/>
  <c r="J182" i="277"/>
  <c r="J78" i="277"/>
  <c r="J68" i="305"/>
  <c r="J288" i="305" s="1"/>
  <c r="J63" i="305"/>
  <c r="J283" i="305" s="1"/>
  <c r="J190" i="277"/>
  <c r="J86" i="277"/>
  <c r="J78" i="305"/>
  <c r="J298" i="305" s="1"/>
  <c r="K175" i="293"/>
  <c r="K71" i="293"/>
  <c r="K36" i="293"/>
  <c r="K177" i="277"/>
  <c r="K73" i="277"/>
  <c r="L182" i="293"/>
  <c r="L78" i="293"/>
  <c r="L180" i="293"/>
  <c r="L76" i="293"/>
  <c r="L62" i="304"/>
  <c r="L141" i="304"/>
  <c r="L115" i="304"/>
  <c r="L89" i="304"/>
  <c r="L36" i="304"/>
  <c r="L10" i="304"/>
  <c r="S157" i="304"/>
  <c r="R157" i="304"/>
  <c r="R148" i="304"/>
  <c r="S148" i="304"/>
  <c r="L165" i="304"/>
  <c r="L189" i="277"/>
  <c r="L85" i="277"/>
  <c r="L187" i="277"/>
  <c r="L83" i="277"/>
  <c r="L180" i="277"/>
  <c r="L76" i="277"/>
  <c r="L93" i="305"/>
  <c r="L313" i="305" s="1"/>
  <c r="P165" i="304"/>
  <c r="K180" i="293"/>
  <c r="K76" i="293"/>
  <c r="K85" i="293"/>
  <c r="K189" i="293"/>
  <c r="K78" i="305"/>
  <c r="K298" i="305" s="1"/>
  <c r="K188" i="277"/>
  <c r="K84" i="277"/>
  <c r="K191" i="277"/>
  <c r="K87" i="277"/>
  <c r="K73" i="305"/>
  <c r="K293" i="305" s="1"/>
  <c r="O165" i="304"/>
  <c r="J185" i="293"/>
  <c r="J81" i="293"/>
  <c r="J179" i="293"/>
  <c r="J75" i="293"/>
  <c r="J181" i="293"/>
  <c r="J77" i="293"/>
  <c r="J149" i="293"/>
  <c r="J114" i="293"/>
  <c r="J188" i="277"/>
  <c r="J84" i="277"/>
  <c r="J183" i="277"/>
  <c r="J79" i="277"/>
  <c r="J73" i="277"/>
  <c r="J177" i="277"/>
  <c r="J88" i="305"/>
  <c r="J308" i="305" s="1"/>
  <c r="R86" i="304" l="1"/>
  <c r="S86" i="304"/>
  <c r="J52" i="309"/>
  <c r="J235" i="293"/>
  <c r="K87" i="309"/>
  <c r="K242" i="293"/>
  <c r="J42" i="309"/>
  <c r="J233" i="293"/>
  <c r="J47" i="309"/>
  <c r="J234" i="293"/>
  <c r="K62" i="309"/>
  <c r="K237" i="293"/>
  <c r="L42" i="305"/>
  <c r="L233" i="277"/>
  <c r="L19" i="296" s="1"/>
  <c r="L65" i="296" s="1"/>
  <c r="J37" i="309"/>
  <c r="J232" i="293"/>
  <c r="J87" i="309"/>
  <c r="J242" i="293"/>
  <c r="K42" i="305"/>
  <c r="K233" i="277"/>
  <c r="K19" i="296" s="1"/>
  <c r="K65" i="296" s="1"/>
  <c r="L62" i="309"/>
  <c r="L237" i="293"/>
  <c r="K52" i="309"/>
  <c r="K235" i="293"/>
  <c r="L13" i="305"/>
  <c r="L233" i="305" s="1"/>
  <c r="L318" i="305" s="1"/>
  <c r="L166" i="277"/>
  <c r="L98" i="305" s="1"/>
  <c r="L77" i="309"/>
  <c r="L240" i="293"/>
  <c r="N2" i="304"/>
  <c r="Q2" i="309"/>
  <c r="Q2" i="305"/>
  <c r="Q2" i="293"/>
  <c r="Q2" i="296"/>
  <c r="Q2" i="295"/>
  <c r="Q2" i="277"/>
  <c r="Q2" i="278"/>
  <c r="Q8" i="278" s="1"/>
  <c r="Q26" i="273"/>
  <c r="J82" i="305"/>
  <c r="J241" i="277"/>
  <c r="J27" i="296" s="1"/>
  <c r="J73" i="296" s="1"/>
  <c r="K17" i="305"/>
  <c r="K228" i="277"/>
  <c r="K14" i="296" s="1"/>
  <c r="K87" i="305"/>
  <c r="K242" i="277"/>
  <c r="K28" i="296" s="1"/>
  <c r="P38" i="277"/>
  <c r="P220" i="277"/>
  <c r="P194" i="277"/>
  <c r="P168" i="277"/>
  <c r="P90" i="277"/>
  <c r="P142" i="277"/>
  <c r="P12" i="277"/>
  <c r="P116" i="277"/>
  <c r="P64" i="277"/>
  <c r="L32" i="305"/>
  <c r="L231" i="277"/>
  <c r="L17" i="296" s="1"/>
  <c r="L63" i="296" s="1"/>
  <c r="K22" i="305"/>
  <c r="K229" i="277"/>
  <c r="K15" i="296" s="1"/>
  <c r="J92" i="305"/>
  <c r="J243" i="277"/>
  <c r="J29" i="296" s="1"/>
  <c r="J75" i="296" s="1"/>
  <c r="K13" i="305"/>
  <c r="K233" i="305" s="1"/>
  <c r="K318" i="305" s="1"/>
  <c r="K166" i="277"/>
  <c r="K98" i="305" s="1"/>
  <c r="L27" i="305"/>
  <c r="L230" i="277"/>
  <c r="L16" i="296" s="1"/>
  <c r="L62" i="296" s="1"/>
  <c r="L52" i="309"/>
  <c r="L235" i="293"/>
  <c r="J67" i="309"/>
  <c r="J238" i="293"/>
  <c r="L192" i="277"/>
  <c r="L37" i="305"/>
  <c r="L232" i="277"/>
  <c r="L18" i="296" s="1"/>
  <c r="L64" i="296" s="1"/>
  <c r="S165" i="304"/>
  <c r="J22" i="305"/>
  <c r="J229" i="277"/>
  <c r="J15" i="296" s="1"/>
  <c r="K82" i="309"/>
  <c r="K241" i="293"/>
  <c r="R165" i="304"/>
  <c r="L22" i="309"/>
  <c r="L229" i="293"/>
  <c r="K13" i="309"/>
  <c r="K233" i="309" s="1"/>
  <c r="K318" i="309" s="1"/>
  <c r="K166" i="293"/>
  <c r="K98" i="309" s="1"/>
  <c r="L57" i="309"/>
  <c r="L236" i="293"/>
  <c r="J67" i="305"/>
  <c r="J238" i="277"/>
  <c r="J24" i="296" s="1"/>
  <c r="J72" i="309"/>
  <c r="J239" i="293"/>
  <c r="K92" i="309"/>
  <c r="K243" i="293"/>
  <c r="S18" i="273"/>
  <c r="S19" i="273" s="1"/>
  <c r="S2" i="273" s="1"/>
  <c r="R2" i="273"/>
  <c r="J57" i="305"/>
  <c r="J236" i="277"/>
  <c r="J22" i="296" s="1"/>
  <c r="J68" i="296" s="1"/>
  <c r="P170" i="295"/>
  <c r="P9" i="295"/>
  <c r="P124" i="295"/>
  <c r="P101" i="295"/>
  <c r="P32" i="295"/>
  <c r="P78" i="295"/>
  <c r="P55" i="295"/>
  <c r="P193" i="295"/>
  <c r="P147" i="295"/>
  <c r="J13" i="309"/>
  <c r="J233" i="309" s="1"/>
  <c r="J318" i="309" s="1"/>
  <c r="J166" i="293"/>
  <c r="J98" i="309" s="1"/>
  <c r="L42" i="309"/>
  <c r="L233" i="293"/>
  <c r="K92" i="305"/>
  <c r="K243" i="277"/>
  <c r="K29" i="296" s="1"/>
  <c r="K75" i="296" s="1"/>
  <c r="J82" i="309"/>
  <c r="J241" i="293"/>
  <c r="J62" i="305"/>
  <c r="J237" i="277"/>
  <c r="J23" i="296" s="1"/>
  <c r="J69" i="296" s="1"/>
  <c r="P4" i="304"/>
  <c r="S4" i="309"/>
  <c r="S4" i="305"/>
  <c r="S4" i="295"/>
  <c r="S4" i="296"/>
  <c r="S4" i="278"/>
  <c r="S4" i="293"/>
  <c r="S4" i="277"/>
  <c r="K82" i="305"/>
  <c r="K241" i="277"/>
  <c r="K27" i="296" s="1"/>
  <c r="K73" i="296" s="1"/>
  <c r="K77" i="309"/>
  <c r="K240" i="293"/>
  <c r="L57" i="305"/>
  <c r="L236" i="277"/>
  <c r="L22" i="296" s="1"/>
  <c r="L68" i="296" s="1"/>
  <c r="L67" i="309"/>
  <c r="L238" i="293"/>
  <c r="K12" i="305"/>
  <c r="K227" i="277"/>
  <c r="K88" i="277"/>
  <c r="K97" i="305" s="1"/>
  <c r="J57" i="309"/>
  <c r="J236" i="293"/>
  <c r="K72" i="305"/>
  <c r="K239" i="277"/>
  <c r="K25" i="296" s="1"/>
  <c r="K71" i="296" s="1"/>
  <c r="J17" i="305"/>
  <c r="J228" i="277"/>
  <c r="J14" i="296" s="1"/>
  <c r="J60" i="296" s="1"/>
  <c r="K37" i="305"/>
  <c r="K232" i="277"/>
  <c r="K18" i="296" s="1"/>
  <c r="K64" i="296" s="1"/>
  <c r="P220" i="293"/>
  <c r="P168" i="293"/>
  <c r="P38" i="293"/>
  <c r="P90" i="293"/>
  <c r="P194" i="293"/>
  <c r="P116" i="293"/>
  <c r="P64" i="293"/>
  <c r="P142" i="293"/>
  <c r="P12" i="293"/>
  <c r="J17" i="309"/>
  <c r="J228" i="293"/>
  <c r="L12" i="309"/>
  <c r="L227" i="293"/>
  <c r="L88" i="293"/>
  <c r="L97" i="309" s="1"/>
  <c r="L82" i="305"/>
  <c r="L241" i="277"/>
  <c r="L27" i="296" s="1"/>
  <c r="L73" i="296" s="1"/>
  <c r="J52" i="305"/>
  <c r="J235" i="277"/>
  <c r="J21" i="296" s="1"/>
  <c r="J67" i="296" s="1"/>
  <c r="J32" i="309"/>
  <c r="J231" i="293"/>
  <c r="K37" i="309"/>
  <c r="K232" i="293"/>
  <c r="L72" i="305"/>
  <c r="L239" i="277"/>
  <c r="L25" i="296" s="1"/>
  <c r="L71" i="296" s="1"/>
  <c r="K12" i="309"/>
  <c r="K227" i="293"/>
  <c r="K88" i="293"/>
  <c r="K97" i="309" s="1"/>
  <c r="L37" i="309"/>
  <c r="L232" i="293"/>
  <c r="K192" i="293"/>
  <c r="L3" i="304"/>
  <c r="O3" i="309"/>
  <c r="O3" i="305"/>
  <c r="O3" i="296"/>
  <c r="O3" i="293"/>
  <c r="O3" i="277"/>
  <c r="O3" i="278"/>
  <c r="O3" i="295"/>
  <c r="L82" i="309"/>
  <c r="L241" i="293"/>
  <c r="J32" i="305"/>
  <c r="J231" i="277"/>
  <c r="J17" i="296" s="1"/>
  <c r="J63" i="296" s="1"/>
  <c r="S17" i="273"/>
  <c r="H13" i="273"/>
  <c r="H17" i="273" s="1"/>
  <c r="K192" i="277"/>
  <c r="J27" i="305"/>
  <c r="J230" i="277"/>
  <c r="J16" i="296" s="1"/>
  <c r="J62" i="296" s="1"/>
  <c r="K62" i="305"/>
  <c r="K237" i="277"/>
  <c r="K23" i="296" s="1"/>
  <c r="K69" i="296" s="1"/>
  <c r="K32" i="309"/>
  <c r="K231" i="293"/>
  <c r="L62" i="305"/>
  <c r="L237" i="277"/>
  <c r="L23" i="296" s="1"/>
  <c r="L69" i="296" s="1"/>
  <c r="J12" i="305"/>
  <c r="J88" i="277"/>
  <c r="J97" i="305" s="1"/>
  <c r="J227" i="277"/>
  <c r="J12" i="309"/>
  <c r="J227" i="293"/>
  <c r="J88" i="293"/>
  <c r="J97" i="309" s="1"/>
  <c r="L47" i="305"/>
  <c r="L234" i="277"/>
  <c r="L20" i="296" s="1"/>
  <c r="L66" i="296" s="1"/>
  <c r="L17" i="309"/>
  <c r="L228" i="293"/>
  <c r="L52" i="305"/>
  <c r="L235" i="277"/>
  <c r="L21" i="296" s="1"/>
  <c r="L67" i="296" s="1"/>
  <c r="L192" i="293"/>
  <c r="K27" i="309"/>
  <c r="K230" i="293"/>
  <c r="J62" i="309"/>
  <c r="J237" i="293"/>
  <c r="J27" i="309"/>
  <c r="J230" i="293"/>
  <c r="J192" i="293"/>
  <c r="K57" i="305"/>
  <c r="K236" i="277"/>
  <c r="K22" i="296" s="1"/>
  <c r="K68" i="296" s="1"/>
  <c r="J42" i="305"/>
  <c r="J233" i="277"/>
  <c r="J19" i="296" s="1"/>
  <c r="J65" i="296" s="1"/>
  <c r="J92" i="309"/>
  <c r="J243" i="293"/>
  <c r="L87" i="309"/>
  <c r="L242" i="293"/>
  <c r="J47" i="305"/>
  <c r="J234" i="277"/>
  <c r="J20" i="296" s="1"/>
  <c r="J66" i="296" s="1"/>
  <c r="K42" i="309"/>
  <c r="K233" i="293"/>
  <c r="K32" i="305"/>
  <c r="K231" i="277"/>
  <c r="K17" i="296" s="1"/>
  <c r="K63" i="296" s="1"/>
  <c r="K72" i="309"/>
  <c r="K239" i="293"/>
  <c r="L92" i="305"/>
  <c r="L243" i="277"/>
  <c r="L29" i="296" s="1"/>
  <c r="L75" i="296" s="1"/>
  <c r="J22" i="309"/>
  <c r="J229" i="293"/>
  <c r="K52" i="305"/>
  <c r="K235" i="277"/>
  <c r="K21" i="296" s="1"/>
  <c r="K67" i="296" s="1"/>
  <c r="J192" i="277"/>
  <c r="L47" i="309"/>
  <c r="L234" i="293"/>
  <c r="K27" i="305"/>
  <c r="K230" i="277"/>
  <c r="K16" i="296" s="1"/>
  <c r="K62" i="296" s="1"/>
  <c r="J13" i="305"/>
  <c r="J233" i="305" s="1"/>
  <c r="J318" i="305" s="1"/>
  <c r="J166" i="277"/>
  <c r="J98" i="305" s="1"/>
  <c r="L87" i="305"/>
  <c r="L242" i="277"/>
  <c r="L28" i="296" s="1"/>
  <c r="L72" i="309"/>
  <c r="L239" i="293"/>
  <c r="K67" i="309"/>
  <c r="K238" i="293"/>
  <c r="L77" i="305"/>
  <c r="L240" i="277"/>
  <c r="L26" i="296" s="1"/>
  <c r="L72" i="296" s="1"/>
  <c r="L67" i="305"/>
  <c r="L238" i="277"/>
  <c r="L24" i="296" s="1"/>
  <c r="L92" i="309"/>
  <c r="L243" i="293"/>
  <c r="P29" i="273"/>
  <c r="P31" i="273"/>
  <c r="P30" i="273"/>
  <c r="P3" i="273"/>
  <c r="J72" i="305"/>
  <c r="J239" i="277"/>
  <c r="J25" i="296" s="1"/>
  <c r="J71" i="296" s="1"/>
  <c r="K22" i="309"/>
  <c r="K229" i="293"/>
  <c r="J77" i="305"/>
  <c r="J240" i="277"/>
  <c r="J26" i="296" s="1"/>
  <c r="J72" i="296" s="1"/>
  <c r="K77" i="305"/>
  <c r="K240" i="277"/>
  <c r="K26" i="296" s="1"/>
  <c r="K72" i="296" s="1"/>
  <c r="J87" i="305"/>
  <c r="J242" i="277"/>
  <c r="J28" i="296" s="1"/>
  <c r="K17" i="309"/>
  <c r="K228" i="293"/>
  <c r="L13" i="309"/>
  <c r="L233" i="309" s="1"/>
  <c r="L318" i="309" s="1"/>
  <c r="L166" i="293"/>
  <c r="L98" i="309" s="1"/>
  <c r="J77" i="309"/>
  <c r="J240" i="293"/>
  <c r="K57" i="309"/>
  <c r="K236" i="293"/>
  <c r="L27" i="309"/>
  <c r="L230" i="293"/>
  <c r="J37" i="305"/>
  <c r="J232" i="277"/>
  <c r="J18" i="296" s="1"/>
  <c r="J64" i="296" s="1"/>
  <c r="L32" i="309"/>
  <c r="L231" i="293"/>
  <c r="K47" i="305"/>
  <c r="K234" i="277"/>
  <c r="K20" i="296" s="1"/>
  <c r="K66" i="296" s="1"/>
  <c r="L17" i="305"/>
  <c r="L228" i="277"/>
  <c r="L14" i="296" s="1"/>
  <c r="L60" i="296" s="1"/>
  <c r="K47" i="309"/>
  <c r="K234" i="293"/>
  <c r="L22" i="305"/>
  <c r="L229" i="277"/>
  <c r="L15" i="296" s="1"/>
  <c r="P55" i="296"/>
  <c r="P9" i="296"/>
  <c r="P32" i="296"/>
  <c r="M141" i="304"/>
  <c r="M89" i="304"/>
  <c r="M62" i="304"/>
  <c r="M36" i="304"/>
  <c r="M10" i="304"/>
  <c r="M115" i="304"/>
  <c r="K67" i="305"/>
  <c r="K238" i="277"/>
  <c r="K24" i="296" s="1"/>
  <c r="L12" i="305"/>
  <c r="L227" i="277"/>
  <c r="L88" i="277"/>
  <c r="L97" i="305" s="1"/>
  <c r="L99" i="305" l="1"/>
  <c r="K99" i="309"/>
  <c r="K99" i="305"/>
  <c r="J99" i="309"/>
  <c r="L39" i="309"/>
  <c r="L257" i="309"/>
  <c r="L259" i="309" s="1"/>
  <c r="L84" i="305"/>
  <c r="L302" i="305"/>
  <c r="L304" i="305" s="1"/>
  <c r="J312" i="305"/>
  <c r="J314" i="305" s="1"/>
  <c r="J94" i="305"/>
  <c r="J302" i="305"/>
  <c r="J304" i="305" s="1"/>
  <c r="J84" i="305"/>
  <c r="J307" i="309"/>
  <c r="J309" i="309" s="1"/>
  <c r="J89" i="309"/>
  <c r="L13" i="296"/>
  <c r="L59" i="296" s="1"/>
  <c r="L244" i="277"/>
  <c r="L30" i="296" s="1"/>
  <c r="L76" i="296" s="1"/>
  <c r="L242" i="305"/>
  <c r="L244" i="305" s="1"/>
  <c r="L24" i="305"/>
  <c r="L247" i="309"/>
  <c r="L249" i="309" s="1"/>
  <c r="L29" i="309"/>
  <c r="K237" i="309"/>
  <c r="K239" i="309" s="1"/>
  <c r="K19" i="309"/>
  <c r="J312" i="309"/>
  <c r="J314" i="309" s="1"/>
  <c r="J94" i="309"/>
  <c r="J232" i="305"/>
  <c r="J14" i="305"/>
  <c r="K282" i="305"/>
  <c r="K284" i="305" s="1"/>
  <c r="K64" i="305"/>
  <c r="L99" i="309"/>
  <c r="J277" i="309"/>
  <c r="J279" i="309" s="1"/>
  <c r="J59" i="309"/>
  <c r="O2" i="304"/>
  <c r="R2" i="309"/>
  <c r="R2" i="305"/>
  <c r="R2" i="293"/>
  <c r="R2" i="296"/>
  <c r="R2" i="295"/>
  <c r="R2" i="277"/>
  <c r="R2" i="278"/>
  <c r="R8" i="278" s="1"/>
  <c r="R26" i="273"/>
  <c r="J287" i="305"/>
  <c r="J289" i="305" s="1"/>
  <c r="J69" i="305"/>
  <c r="Q29" i="273"/>
  <c r="Q31" i="273"/>
  <c r="Q3" i="273"/>
  <c r="Q30" i="273"/>
  <c r="K272" i="309"/>
  <c r="K274" i="309" s="1"/>
  <c r="K54" i="309"/>
  <c r="J49" i="309"/>
  <c r="J267" i="309"/>
  <c r="J269" i="309" s="1"/>
  <c r="K257" i="309"/>
  <c r="K259" i="309" s="1"/>
  <c r="K39" i="309"/>
  <c r="K257" i="305"/>
  <c r="K259" i="305" s="1"/>
  <c r="K39" i="305"/>
  <c r="J59" i="305"/>
  <c r="J277" i="305"/>
  <c r="J279" i="305" s="1"/>
  <c r="K267" i="305"/>
  <c r="K269" i="305" s="1"/>
  <c r="K49" i="305"/>
  <c r="J297" i="305"/>
  <c r="J299" i="305" s="1"/>
  <c r="J79" i="305"/>
  <c r="L307" i="305"/>
  <c r="L309" i="305" s="1"/>
  <c r="L89" i="305"/>
  <c r="L49" i="309"/>
  <c r="L267" i="309"/>
  <c r="L269" i="309" s="1"/>
  <c r="K262" i="309"/>
  <c r="K264" i="309" s="1"/>
  <c r="K44" i="309"/>
  <c r="J247" i="309"/>
  <c r="J249" i="309" s="1"/>
  <c r="J29" i="309"/>
  <c r="L272" i="305"/>
  <c r="L274" i="305" s="1"/>
  <c r="L54" i="305"/>
  <c r="L267" i="305"/>
  <c r="L269" i="305" s="1"/>
  <c r="L49" i="305"/>
  <c r="J34" i="305"/>
  <c r="J252" i="305"/>
  <c r="J254" i="305" s="1"/>
  <c r="K244" i="293"/>
  <c r="J252" i="309"/>
  <c r="J254" i="309" s="1"/>
  <c r="J34" i="309"/>
  <c r="L244" i="293"/>
  <c r="L277" i="305"/>
  <c r="L279" i="305" s="1"/>
  <c r="L59" i="305"/>
  <c r="L262" i="309"/>
  <c r="L264" i="309" s="1"/>
  <c r="L44" i="309"/>
  <c r="P2" i="304"/>
  <c r="S2" i="309"/>
  <c r="S2" i="305"/>
  <c r="S2" i="295"/>
  <c r="S2" i="296"/>
  <c r="S2" i="278"/>
  <c r="S8" i="278" s="1"/>
  <c r="S2" i="293"/>
  <c r="S26" i="273"/>
  <c r="S2" i="277"/>
  <c r="K302" i="309"/>
  <c r="K304" i="309" s="1"/>
  <c r="K84" i="309"/>
  <c r="L257" i="305"/>
  <c r="L259" i="305" s="1"/>
  <c r="L39" i="305"/>
  <c r="L29" i="305"/>
  <c r="L247" i="305"/>
  <c r="L249" i="305" s="1"/>
  <c r="K307" i="305"/>
  <c r="K309" i="305" s="1"/>
  <c r="K89" i="305"/>
  <c r="N141" i="304"/>
  <c r="N89" i="304"/>
  <c r="N115" i="304"/>
  <c r="N62" i="304"/>
  <c r="N10" i="304"/>
  <c r="N36" i="304"/>
  <c r="J257" i="309"/>
  <c r="J259" i="309" s="1"/>
  <c r="J39" i="309"/>
  <c r="K247" i="305"/>
  <c r="K249" i="305" s="1"/>
  <c r="K29" i="305"/>
  <c r="L232" i="305"/>
  <c r="L14" i="305"/>
  <c r="L312" i="305"/>
  <c r="L314" i="305" s="1"/>
  <c r="L94" i="305"/>
  <c r="K232" i="309"/>
  <c r="K14" i="309"/>
  <c r="J282" i="305"/>
  <c r="J284" i="305" s="1"/>
  <c r="J64" i="305"/>
  <c r="L59" i="309"/>
  <c r="L277" i="309"/>
  <c r="L279" i="309" s="1"/>
  <c r="K24" i="305"/>
  <c r="K242" i="305"/>
  <c r="K244" i="305" s="1"/>
  <c r="Q38" i="277"/>
  <c r="Q220" i="277"/>
  <c r="Q194" i="277"/>
  <c r="Q168" i="277"/>
  <c r="Q90" i="277"/>
  <c r="Q142" i="277"/>
  <c r="Q12" i="277"/>
  <c r="Q116" i="277"/>
  <c r="Q64" i="277"/>
  <c r="L282" i="309"/>
  <c r="L284" i="309" s="1"/>
  <c r="L64" i="309"/>
  <c r="J44" i="309"/>
  <c r="J262" i="309"/>
  <c r="J264" i="309" s="1"/>
  <c r="K277" i="309"/>
  <c r="K279" i="309" s="1"/>
  <c r="K59" i="309"/>
  <c r="L297" i="305"/>
  <c r="L299" i="305" s="1"/>
  <c r="L79" i="305"/>
  <c r="L232" i="309"/>
  <c r="L14" i="309"/>
  <c r="J237" i="305"/>
  <c r="J239" i="305" s="1"/>
  <c r="J19" i="305"/>
  <c r="K13" i="296"/>
  <c r="K59" i="296" s="1"/>
  <c r="K244" i="277"/>
  <c r="K30" i="296" s="1"/>
  <c r="K76" i="296" s="1"/>
  <c r="K267" i="309"/>
  <c r="K269" i="309" s="1"/>
  <c r="K49" i="309"/>
  <c r="L252" i="309"/>
  <c r="L254" i="309" s="1"/>
  <c r="L34" i="309"/>
  <c r="J307" i="305"/>
  <c r="J309" i="305" s="1"/>
  <c r="J89" i="305"/>
  <c r="K242" i="309"/>
  <c r="K244" i="309" s="1"/>
  <c r="K24" i="309"/>
  <c r="J262" i="305"/>
  <c r="J264" i="305" s="1"/>
  <c r="J44" i="305"/>
  <c r="J282" i="309"/>
  <c r="J284" i="309" s="1"/>
  <c r="J64" i="309"/>
  <c r="J244" i="293"/>
  <c r="L282" i="305"/>
  <c r="L284" i="305" s="1"/>
  <c r="L64" i="305"/>
  <c r="J247" i="305"/>
  <c r="J249" i="305" s="1"/>
  <c r="J29" i="305"/>
  <c r="L84" i="309"/>
  <c r="L302" i="309"/>
  <c r="L304" i="309" s="1"/>
  <c r="K232" i="305"/>
  <c r="K14" i="305"/>
  <c r="K297" i="309"/>
  <c r="K299" i="309" s="1"/>
  <c r="K79" i="309"/>
  <c r="K312" i="309"/>
  <c r="K314" i="309" s="1"/>
  <c r="K94" i="309"/>
  <c r="K237" i="305"/>
  <c r="K239" i="305" s="1"/>
  <c r="K19" i="305"/>
  <c r="Q124" i="295"/>
  <c r="Q101" i="295"/>
  <c r="Q78" i="295"/>
  <c r="Q55" i="295"/>
  <c r="Q170" i="295"/>
  <c r="Q9" i="295"/>
  <c r="Q193" i="295"/>
  <c r="Q147" i="295"/>
  <c r="Q32" i="295"/>
  <c r="L297" i="309"/>
  <c r="L299" i="309" s="1"/>
  <c r="L79" i="309"/>
  <c r="J272" i="305"/>
  <c r="J274" i="305" s="1"/>
  <c r="J54" i="305"/>
  <c r="J19" i="309"/>
  <c r="J237" i="309"/>
  <c r="J239" i="309" s="1"/>
  <c r="J84" i="309"/>
  <c r="J302" i="309"/>
  <c r="J304" i="309" s="1"/>
  <c r="J287" i="309"/>
  <c r="J289" i="309" s="1"/>
  <c r="J69" i="309"/>
  <c r="Q55" i="296"/>
  <c r="Q9" i="296"/>
  <c r="Q32" i="296"/>
  <c r="L262" i="305"/>
  <c r="L264" i="305" s="1"/>
  <c r="L44" i="305"/>
  <c r="K307" i="309"/>
  <c r="K309" i="309" s="1"/>
  <c r="K89" i="309"/>
  <c r="L69" i="305"/>
  <c r="L287" i="305"/>
  <c r="L289" i="305" s="1"/>
  <c r="J242" i="309"/>
  <c r="J244" i="309" s="1"/>
  <c r="J24" i="309"/>
  <c r="J79" i="309"/>
  <c r="J297" i="309"/>
  <c r="J299" i="309" s="1"/>
  <c r="L312" i="309"/>
  <c r="L314" i="309" s="1"/>
  <c r="L94" i="309"/>
  <c r="K287" i="309"/>
  <c r="K289" i="309" s="1"/>
  <c r="K69" i="309"/>
  <c r="K272" i="305"/>
  <c r="K274" i="305" s="1"/>
  <c r="K54" i="305"/>
  <c r="K292" i="309"/>
  <c r="K294" i="309" s="1"/>
  <c r="K74" i="309"/>
  <c r="J267" i="305"/>
  <c r="J269" i="305" s="1"/>
  <c r="J49" i="305"/>
  <c r="J232" i="309"/>
  <c r="J14" i="309"/>
  <c r="J242" i="305"/>
  <c r="J244" i="305" s="1"/>
  <c r="J24" i="305"/>
  <c r="K287" i="305"/>
  <c r="K289" i="305" s="1"/>
  <c r="K69" i="305"/>
  <c r="K247" i="309"/>
  <c r="K249" i="309" s="1"/>
  <c r="K29" i="309"/>
  <c r="J244" i="277"/>
  <c r="J30" i="296" s="1"/>
  <c r="J76" i="296" s="1"/>
  <c r="J13" i="296"/>
  <c r="J59" i="296" s="1"/>
  <c r="K252" i="309"/>
  <c r="K254" i="309" s="1"/>
  <c r="K34" i="309"/>
  <c r="L292" i="305"/>
  <c r="L294" i="305" s="1"/>
  <c r="L74" i="305"/>
  <c r="K292" i="305"/>
  <c r="K294" i="305" s="1"/>
  <c r="K74" i="305"/>
  <c r="J292" i="309"/>
  <c r="J294" i="309" s="1"/>
  <c r="J74" i="309"/>
  <c r="L252" i="305"/>
  <c r="L254" i="305" s="1"/>
  <c r="L34" i="305"/>
  <c r="Q220" i="293"/>
  <c r="Q194" i="293"/>
  <c r="Q116" i="293"/>
  <c r="Q64" i="293"/>
  <c r="Q168" i="293"/>
  <c r="Q90" i="293"/>
  <c r="Q142" i="293"/>
  <c r="Q12" i="293"/>
  <c r="Q38" i="293"/>
  <c r="K262" i="305"/>
  <c r="K264" i="305" s="1"/>
  <c r="K44" i="305"/>
  <c r="M3" i="304"/>
  <c r="P3" i="309"/>
  <c r="P3" i="305"/>
  <c r="P3" i="295"/>
  <c r="P3" i="296"/>
  <c r="P3" i="293"/>
  <c r="P3" i="278"/>
  <c r="P3" i="277"/>
  <c r="L237" i="305"/>
  <c r="L239" i="305" s="1"/>
  <c r="L19" i="305"/>
  <c r="J257" i="305"/>
  <c r="J259" i="305" s="1"/>
  <c r="J39" i="305"/>
  <c r="K79" i="305"/>
  <c r="K297" i="305"/>
  <c r="K299" i="305" s="1"/>
  <c r="J292" i="305"/>
  <c r="J294" i="305" s="1"/>
  <c r="J74" i="305"/>
  <c r="L292" i="309"/>
  <c r="L294" i="309" s="1"/>
  <c r="L74" i="309"/>
  <c r="K252" i="305"/>
  <c r="K254" i="305" s="1"/>
  <c r="K34" i="305"/>
  <c r="L307" i="309"/>
  <c r="L309" i="309" s="1"/>
  <c r="L89" i="309"/>
  <c r="K277" i="305"/>
  <c r="K279" i="305" s="1"/>
  <c r="K59" i="305"/>
  <c r="L237" i="309"/>
  <c r="L239" i="309" s="1"/>
  <c r="L19" i="309"/>
  <c r="J99" i="305"/>
  <c r="L287" i="309"/>
  <c r="L289" i="309" s="1"/>
  <c r="L69" i="309"/>
  <c r="K302" i="305"/>
  <c r="K304" i="305" s="1"/>
  <c r="K84" i="305"/>
  <c r="K312" i="305"/>
  <c r="K314" i="305" s="1"/>
  <c r="K94" i="305"/>
  <c r="L24" i="309"/>
  <c r="L242" i="309"/>
  <c r="L244" i="309" s="1"/>
  <c r="L272" i="309"/>
  <c r="L274" i="309" s="1"/>
  <c r="L54" i="309"/>
  <c r="K282" i="309"/>
  <c r="K284" i="309" s="1"/>
  <c r="K64" i="309"/>
  <c r="J272" i="309"/>
  <c r="J274" i="309" s="1"/>
  <c r="J54" i="309"/>
  <c r="J317" i="309" l="1"/>
  <c r="J319" i="309" s="1"/>
  <c r="J234" i="309"/>
  <c r="K317" i="305"/>
  <c r="K319" i="305" s="1"/>
  <c r="K234" i="305"/>
  <c r="O10" i="304"/>
  <c r="O141" i="304"/>
  <c r="O62" i="304"/>
  <c r="O36" i="304"/>
  <c r="O89" i="304"/>
  <c r="O115" i="304"/>
  <c r="L317" i="309"/>
  <c r="L319" i="309" s="1"/>
  <c r="L234" i="309"/>
  <c r="S194" i="277"/>
  <c r="S168" i="277"/>
  <c r="S90" i="277"/>
  <c r="S220" i="277"/>
  <c r="S142" i="277"/>
  <c r="S12" i="277"/>
  <c r="S116" i="277"/>
  <c r="S64" i="277"/>
  <c r="S38" i="277"/>
  <c r="R220" i="277"/>
  <c r="R194" i="277"/>
  <c r="R168" i="277"/>
  <c r="R90" i="277"/>
  <c r="R142" i="277"/>
  <c r="R12" i="277"/>
  <c r="R116" i="277"/>
  <c r="R64" i="277"/>
  <c r="R38" i="277"/>
  <c r="K317" i="309"/>
  <c r="K319" i="309" s="1"/>
  <c r="K234" i="309"/>
  <c r="S3" i="273"/>
  <c r="S30" i="273"/>
  <c r="S29" i="273"/>
  <c r="S31" i="273"/>
  <c r="P141" i="304"/>
  <c r="P115" i="304"/>
  <c r="P36" i="304"/>
  <c r="P89" i="304"/>
  <c r="P62" i="304"/>
  <c r="P10" i="304"/>
  <c r="N3" i="304"/>
  <c r="Q3" i="309"/>
  <c r="Q3" i="305"/>
  <c r="Q3" i="293"/>
  <c r="Q3" i="296"/>
  <c r="Q3" i="295"/>
  <c r="Q3" i="277"/>
  <c r="Q3" i="278"/>
  <c r="R124" i="295"/>
  <c r="R55" i="295"/>
  <c r="R101" i="295"/>
  <c r="R32" i="295"/>
  <c r="R193" i="295"/>
  <c r="R147" i="295"/>
  <c r="R170" i="295"/>
  <c r="R78" i="295"/>
  <c r="R9" i="295"/>
  <c r="S220" i="293"/>
  <c r="S194" i="293"/>
  <c r="S168" i="293"/>
  <c r="S38" i="293"/>
  <c r="S90" i="293"/>
  <c r="S142" i="293"/>
  <c r="S12" i="293"/>
  <c r="S116" i="293"/>
  <c r="S64" i="293"/>
  <c r="R55" i="296"/>
  <c r="R9" i="296"/>
  <c r="R32" i="296"/>
  <c r="R220" i="293"/>
  <c r="R194" i="293"/>
  <c r="R168" i="293"/>
  <c r="R90" i="293"/>
  <c r="R142" i="293"/>
  <c r="R12" i="293"/>
  <c r="R38" i="293"/>
  <c r="R116" i="293"/>
  <c r="R64" i="293"/>
  <c r="L317" i="305"/>
  <c r="L319" i="305" s="1"/>
  <c r="L234" i="305"/>
  <c r="S55" i="296"/>
  <c r="S9" i="296"/>
  <c r="S32" i="296"/>
  <c r="S101" i="295"/>
  <c r="S78" i="295"/>
  <c r="S170" i="295"/>
  <c r="S9" i="295"/>
  <c r="S124" i="295"/>
  <c r="S193" i="295"/>
  <c r="S147" i="295"/>
  <c r="S32" i="295"/>
  <c r="S55" i="295"/>
  <c r="R30" i="273"/>
  <c r="R31" i="273"/>
  <c r="R3" i="273"/>
  <c r="R29" i="273"/>
  <c r="J234" i="305"/>
  <c r="J317" i="305"/>
  <c r="J319" i="305" s="1"/>
  <c r="S3" i="309" l="1"/>
  <c r="P3" i="304"/>
  <c r="S3" i="305"/>
  <c r="S3" i="293"/>
  <c r="S3" i="295"/>
  <c r="S3" i="296"/>
  <c r="S3" i="277"/>
  <c r="S3" i="278"/>
  <c r="O3" i="304"/>
  <c r="R3" i="309"/>
  <c r="R3" i="305"/>
  <c r="R3" i="293"/>
  <c r="R3" i="296"/>
  <c r="R3" i="295"/>
  <c r="R3" i="277"/>
  <c r="R3" i="27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<sst xmlns="http://schemas.openxmlformats.org/spreadsheetml/2006/main" count="6631" uniqueCount="242">
  <si>
    <t>PR24 - Traffic management act and lane rental schemes</t>
  </si>
  <si>
    <t>Version number:</t>
  </si>
  <si>
    <t>File name:</t>
  </si>
  <si>
    <t>Date:</t>
  </si>
  <si>
    <t>For enquiries please contact:</t>
  </si>
  <si>
    <t>PR24@ofwat.gov.uk</t>
  </si>
  <si>
    <t>Instructions:</t>
  </si>
  <si>
    <t>N/A</t>
  </si>
  <si>
    <t>Conceptual model</t>
  </si>
  <si>
    <t>End of sheet</t>
  </si>
  <si>
    <t>PR24_TMA_BPT</t>
  </si>
  <si>
    <t>Run on 04 Sep 2024 15:12</t>
  </si>
  <si>
    <t>Acronym</t>
  </si>
  <si>
    <t>Reference</t>
  </si>
  <si>
    <t>Item description</t>
  </si>
  <si>
    <t>Unit</t>
  </si>
  <si>
    <t>Model</t>
  </si>
  <si>
    <t>Price Review 2024</t>
  </si>
  <si>
    <t/>
  </si>
  <si>
    <t>Run 11 - PR24 FD Data</t>
  </si>
  <si>
    <t>Latest</t>
  </si>
  <si>
    <t>2020-21</t>
  </si>
  <si>
    <t>2021-22</t>
  </si>
  <si>
    <t>2022-23</t>
  </si>
  <si>
    <t>2023-24</t>
  </si>
  <si>
    <t>2024-25</t>
  </si>
  <si>
    <t>2025-26</t>
  </si>
  <si>
    <t>2026-27</t>
  </si>
  <si>
    <t>2027-28</t>
  </si>
  <si>
    <t>2028-29</t>
  </si>
  <si>
    <t>2029-30</t>
  </si>
  <si>
    <t>ANH</t>
  </si>
  <si>
    <t>CW2_011TOT_PR24</t>
  </si>
  <si>
    <t>Location specific costs &amp; obligations - Costs associated with Traffic Management Act - Total</t>
  </si>
  <si>
    <t>£m</t>
  </si>
  <si>
    <t>CW2_012TOT_PR24</t>
  </si>
  <si>
    <t>Location specific costs &amp; obligations - Costs associated with lane rental schemes - Total</t>
  </si>
  <si>
    <t>CW2_018TOT_PR24</t>
  </si>
  <si>
    <t>Traffic Management Act - Projects incurring costs associated with Traffic Management Act - Total</t>
  </si>
  <si>
    <t>nr</t>
  </si>
  <si>
    <t>CWW2_011TOT_PR24</t>
  </si>
  <si>
    <t>CWW2_012TOT_PR24</t>
  </si>
  <si>
    <t>CWW2_018TOT_PR24</t>
  </si>
  <si>
    <t>WSH</t>
  </si>
  <si>
    <t>HDD</t>
  </si>
  <si>
    <t>NES</t>
  </si>
  <si>
    <t>SVE</t>
  </si>
  <si>
    <t>SWB</t>
  </si>
  <si>
    <t>SRN</t>
  </si>
  <si>
    <t>TMS</t>
  </si>
  <si>
    <t>NWT</t>
  </si>
  <si>
    <t>WSX</t>
  </si>
  <si>
    <t>YKY</t>
  </si>
  <si>
    <t>AFW</t>
  </si>
  <si>
    <t>BRL</t>
  </si>
  <si>
    <t>PRT</t>
  </si>
  <si>
    <t>SEW</t>
  </si>
  <si>
    <t>SSC</t>
  </si>
  <si>
    <t>SES</t>
  </si>
  <si>
    <t>PR24CA27_APR</t>
  </si>
  <si>
    <t>Run on 05 Sep 2024 11:23</t>
  </si>
  <si>
    <t>Cyclical</t>
  </si>
  <si>
    <t>Default for Cyclical base run</t>
  </si>
  <si>
    <t>W3032TOT</t>
  </si>
  <si>
    <t>Other operating expenditure - Costs associated with Traffic Management Act - Total</t>
  </si>
  <si>
    <t>Cyclical Foundation</t>
  </si>
  <si>
    <t>W3037TOT</t>
  </si>
  <si>
    <t>Other operating expenditure - Costs associated with lane rental schemes - Total</t>
  </si>
  <si>
    <t>W3040TOT</t>
  </si>
  <si>
    <t>WWS1103CAS</t>
  </si>
  <si>
    <t>Other expenditure - Costs associated with Traffic Management Act - Total</t>
  </si>
  <si>
    <t>WWS1104CAS</t>
  </si>
  <si>
    <t>Other expenditure - Costs associated with lane rental schemes - Total</t>
  </si>
  <si>
    <t>WWS1108CAS</t>
  </si>
  <si>
    <t>Shallow dive company efficiency challenge</t>
  </si>
  <si>
    <t>Run on 15 Nov 2024 11:47</t>
  </si>
  <si>
    <t>Company Acronym</t>
  </si>
  <si>
    <t>Item Code</t>
  </si>
  <si>
    <t>Item Description</t>
  </si>
  <si>
    <t>Item Unit</t>
  </si>
  <si>
    <t>Item Table Suite</t>
  </si>
  <si>
    <t>C_PR24WW_SHALLOW_EFF</t>
  </si>
  <si>
    <t>Shallow dive company efficiency factor water</t>
  </si>
  <si>
    <t>%</t>
  </si>
  <si>
    <t>C_PR24WWW_SHALLOW_EFF</t>
  </si>
  <si>
    <t>Shallow dive company efficiency factor wastewater</t>
  </si>
  <si>
    <t>Default for Price Review 2024 base run</t>
  </si>
  <si>
    <t>2020-212</t>
  </si>
  <si>
    <t>2021-223</t>
  </si>
  <si>
    <t>2022-234</t>
  </si>
  <si>
    <t>2023-245</t>
  </si>
  <si>
    <t>2024-256</t>
  </si>
  <si>
    <t>2025-267</t>
  </si>
  <si>
    <t>2026-278</t>
  </si>
  <si>
    <t>2027-289</t>
  </si>
  <si>
    <t>2028-2910</t>
  </si>
  <si>
    <t>2029-3011</t>
  </si>
  <si>
    <t>Column12</t>
  </si>
  <si>
    <t>Constant</t>
  </si>
  <si>
    <t>Total</t>
  </si>
  <si>
    <t>TIME RULER</t>
  </si>
  <si>
    <t>First model column</t>
  </si>
  <si>
    <t>Model column counter</t>
  </si>
  <si>
    <t>counter</t>
  </si>
  <si>
    <t>Model column total</t>
  </si>
  <si>
    <t>columns</t>
  </si>
  <si>
    <t>First model column flag</t>
  </si>
  <si>
    <t>flag</t>
  </si>
  <si>
    <t>Model period beginning</t>
  </si>
  <si>
    <t>date</t>
  </si>
  <si>
    <t>Model period ending</t>
  </si>
  <si>
    <t>Timeline label</t>
  </si>
  <si>
    <t>label</t>
  </si>
  <si>
    <t>Timeline flag</t>
  </si>
  <si>
    <t>END</t>
  </si>
  <si>
    <t>Base case 1</t>
  </si>
  <si>
    <t>Base case 2</t>
  </si>
  <si>
    <t>Base case 3</t>
  </si>
  <si>
    <t>Active scenario</t>
  </si>
  <si>
    <t>Comparison scenario</t>
  </si>
  <si>
    <t>Base case</t>
  </si>
  <si>
    <t>Input differences</t>
  </si>
  <si>
    <t>TIMING ASSUMPTIONS</t>
  </si>
  <si>
    <t>First date first FY</t>
  </si>
  <si>
    <t>Annual year end date of first operating period</t>
  </si>
  <si>
    <t>APR</t>
  </si>
  <si>
    <t>PR24</t>
  </si>
  <si>
    <t>not used</t>
  </si>
  <si>
    <t>OPERATIONS</t>
  </si>
  <si>
    <t>Company details</t>
  </si>
  <si>
    <t>Anglian Water</t>
  </si>
  <si>
    <t>Dŵr Cymru</t>
  </si>
  <si>
    <t>Hafren Dyfrdwy</t>
  </si>
  <si>
    <t>Northumbrian Water</t>
  </si>
  <si>
    <t>Severn Trent Water</t>
  </si>
  <si>
    <t>Southern Water</t>
  </si>
  <si>
    <t>Thames Water</t>
  </si>
  <si>
    <t>United Utilities</t>
  </si>
  <si>
    <t>Wessex Water</t>
  </si>
  <si>
    <t>Yorkshire Water</t>
  </si>
  <si>
    <t>Affinity Water</t>
  </si>
  <si>
    <t>Portsmouth Water</t>
  </si>
  <si>
    <t>South East Water</t>
  </si>
  <si>
    <t>South Staffs Water</t>
  </si>
  <si>
    <t>SES Water</t>
  </si>
  <si>
    <t>South West Water</t>
  </si>
  <si>
    <t>Bristol Water</t>
  </si>
  <si>
    <t>Industry total</t>
  </si>
  <si>
    <t>APR ref</t>
  </si>
  <si>
    <t>PR24 ref</t>
  </si>
  <si>
    <t>Traffic Management Act</t>
  </si>
  <si>
    <t>Water network plus</t>
  </si>
  <si>
    <t>Lane Rental Schemes</t>
  </si>
  <si>
    <t>Traffic Management Act - Projects</t>
  </si>
  <si>
    <t>Wastewater network plus</t>
  </si>
  <si>
    <t>MODEL TECHNICAL INPUTS - DO NOT CHANGE</t>
  </si>
  <si>
    <t>Model track tolerance level</t>
  </si>
  <si>
    <t>tolerance</t>
  </si>
  <si>
    <t>Model check tolerance level</t>
  </si>
  <si>
    <t>Standard Monetary Unit</t>
  </si>
  <si>
    <t>named "SMU"</t>
  </si>
  <si>
    <t>YesNo</t>
  </si>
  <si>
    <t>Yes</t>
  </si>
  <si>
    <t>No</t>
  </si>
  <si>
    <t>Indexation</t>
  </si>
  <si>
    <t>PR24 base year</t>
  </si>
  <si>
    <t>select</t>
  </si>
  <si>
    <t>CPI factor</t>
  </si>
  <si>
    <t>factor</t>
  </si>
  <si>
    <t>CPI factor in base year</t>
  </si>
  <si>
    <t>Indexation applied to APR</t>
  </si>
  <si>
    <t>Error chks</t>
  </si>
  <si>
    <t>PR24 Average</t>
  </si>
  <si>
    <t>PR24 Total</t>
  </si>
  <si>
    <t>Indexation factor</t>
  </si>
  <si>
    <t>Bringing APR nominal to real</t>
  </si>
  <si>
    <t>Cost data before override</t>
  </si>
  <si>
    <t>£m, real</t>
  </si>
  <si>
    <t>prices</t>
  </si>
  <si>
    <t>Cost data override</t>
  </si>
  <si>
    <t>Cost data</t>
  </si>
  <si>
    <t>OFW-REP-WSX-055</t>
  </si>
  <si>
    <t>Data before override</t>
  </si>
  <si>
    <t>Data override</t>
  </si>
  <si>
    <t>Data</t>
  </si>
  <si>
    <t>Unit costs - Overall</t>
  </si>
  <si>
    <t>Check - average</t>
  </si>
  <si>
    <t>Check - total</t>
  </si>
  <si>
    <t>Profiled allowance</t>
  </si>
  <si>
    <t>Severn Trent England</t>
  </si>
  <si>
    <t>Thames Water Utilities Ltd</t>
  </si>
  <si>
    <t>United Utilities Water</t>
  </si>
  <si>
    <t>South Staffordshire Cambridge</t>
  </si>
  <si>
    <t>Sutton &amp; East Surrey Water</t>
  </si>
  <si>
    <t>South West Bournemouth</t>
  </si>
  <si>
    <t>Unit cost - Overall</t>
  </si>
  <si>
    <t>£ / project</t>
  </si>
  <si>
    <t>Industry average</t>
  </si>
  <si>
    <t>PR24 average</t>
  </si>
  <si>
    <t>Issues/Concerns</t>
  </si>
  <si>
    <t>Any explanation in Business Plans?</t>
  </si>
  <si>
    <t>Action</t>
  </si>
  <si>
    <t>Allowance basis</t>
  </si>
  <si>
    <t>Post DD changes</t>
  </si>
  <si>
    <t>Traffic management act</t>
  </si>
  <si>
    <t>Traffic Management Act - Water</t>
  </si>
  <si>
    <t>None</t>
  </si>
  <si>
    <t>Applied shallow dive efficiency factor for Traffic Management Act</t>
  </si>
  <si>
    <t>Apply shallow dive effieciency factor to Traffic Management Act costs</t>
  </si>
  <si>
    <t>Traffic Management Act - Wastewater</t>
  </si>
  <si>
    <t>"The total cost of service is forecast to remain flat in the absence of any informa on to suggest an 
increase in rates."</t>
  </si>
  <si>
    <t>"Forecast profile in line with step up in the mains renewal programme found in CW2.4, we expect TMA costs to increase due to an increase of road closures associated to this programme. This is calculated using a standard unit cost per incident."</t>
  </si>
  <si>
    <t>"All AMP8 base opex costs run off our 24-25 forecast, which is used as a baseline."</t>
  </si>
  <si>
    <t>"Our future job volumes are not broken down by type, size, or location, therefore we cannot fully predict the number of jobs that require traffic management fees. The forecast provided here is therefore formulaic based on historic information and average costs per job."</t>
  </si>
  <si>
    <t>"Costs associated with the Traffic Management Act are those directly related to permit schemes incurred within our base expenditure excluding fines, in line with our APR submission methodology."</t>
  </si>
  <si>
    <t>"We are not expecting any additional councils to start charging traffic management permit fees. The permit fees for the current business plan year have been based upon business planned volumes of activity and contractual price increases for TTROs. Beyond the current business plan year we do not expect the level of activity to fluctuate significantly"</t>
  </si>
  <si>
    <t>"We forecast renewal costs to remain at a higher level than experienced during 2020 – 2025, driven by our experience of the volumes of work required to deliver our commitments on supply interruptions and leakage and respond to the risks to our network driven by climate change. This will lead to a small increase in our costs associated with the provision of traffic management during the 2025 – 2030 period."</t>
  </si>
  <si>
    <t>"These costs are forecast to increase in the last 2 years of the AMP."</t>
  </si>
  <si>
    <t>"The forecast numbers have been developed from the AMP7 actuals using an average of those actual numbers and profiling out through the remainder of AMP7 and into AMP8 based on the km (as CW5) of below-ground mains forecast for these periods. The table below provides an explanation, and illustrates the change in profile through mid / end AMP7 into AMP8."</t>
  </si>
  <si>
    <t>"Location specific costs &amp; obligations forecast costs based on 2022/23 expected final position, rolled forward to the end of AMP as no expected changes."</t>
  </si>
  <si>
    <t>"Expecting a step-increase in costs in 2023/24 due to increased activity, which is maintained over the forecast period."</t>
  </si>
  <si>
    <t>" Costs associated with traffic management are expected to remain consistent over the price review period."</t>
  </si>
  <si>
    <t>Manual adjustment</t>
  </si>
  <si>
    <t>Lane rental schemes</t>
  </si>
  <si>
    <t>Lane rental schemes - Water</t>
  </si>
  <si>
    <t>Lane rental schemes - Wastewater</t>
  </si>
  <si>
    <t>Applied shallow dive efficiency factor for lane rental schemes</t>
  </si>
  <si>
    <t>Introduced expenditure from lane rental schemes based on the assumption that the three largest authorities in their region will introduce lane rental schemes during the next AMP.</t>
  </si>
  <si>
    <t>"We have included costs associated with lane rental schemes from 2025/26 following the introduction of such schemes across the UK. Our assumptions include an introduction of lane rental costs for the 3 largest authorities in our region based on permitted job volumes included in base operating expenditure."</t>
  </si>
  <si>
    <t>We do not consider that there is any evidence to suggest that all three authorities will implement schemes at the beginning of the period and that if charges are incurred they will be more gradual. We also consider that, like TMA costs, companies have some control over the implementation and volume of works.
We propose to apply a 50% challenge to UUW’s forecasts.</t>
  </si>
  <si>
    <t>Apply 50% challenge to lane rental schemes costs</t>
  </si>
  <si>
    <t>Lane rental schemes introduced for the first time.</t>
  </si>
  <si>
    <t>"A lane rental scheme is due to be implemented in the Portsmouth Water area in 2023/24 and expanded in 2024/25. There are no significant changes in operating costs between 2022/23 and 2023/24, 2024/25"
From query OFW-OBQ-PRT-041: "Lane rental has not previously been included as none of the 3 authorities within our area of supply had implemented a lane rental scheme. West Sussex County Council first commenced with their lane rental scheme in December 2022 (statutory instrument attached). The forecasted increase reflects the increase opex activity mentioned above. There is an assumed cost of £65/£70 per job (or project)"</t>
  </si>
  <si>
    <t>Post-analysis allowance - water</t>
  </si>
  <si>
    <t>Post-analysis allowance - wastewater</t>
  </si>
  <si>
    <t>Post analysis allowance - total</t>
  </si>
  <si>
    <t>Accepted our 50% challenge so no further challenge applied at FD.</t>
  </si>
  <si>
    <t>Apply shallow dive efficiency factor to lane rental schemes costs</t>
  </si>
  <si>
    <t>Lane rental costs included in reps. Evidence that three LAs will start charging in 2024-25. Apply shallow dive efficiency factor.</t>
  </si>
  <si>
    <t>Increased costs in representations. Queried - provided evidence of expanded lane rental schemes. Apply shallow dive efficiency factor.</t>
  </si>
  <si>
    <t>Model code:</t>
  </si>
  <si>
    <t>PR24CA27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</si>
</sst>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_);_(* \(#,##0\);_(* &quot;-&quot;_);_(@_)"/>
    <numFmt numFmtId="165" formatCode="_(&quot;£&quot;* #,##0_);_(&quot;£&quot;* \(#,##0\);_(&quot;£&quot;* &quot;-&quot;_);_(@_)"/>
    <numFmt numFmtId="166" formatCode="_(&quot;£&quot;* #,##0.00_);_(&quot;£&quot;* \(#,##0.00\);_(&quot;£&quot;* &quot;-&quot;??_);_(@_)"/>
    <numFmt numFmtId="167" formatCode="#,##0_);\(#,##0\);&quot;-  &quot;;&quot; &quot;@"/>
    <numFmt numFmtId="168" formatCode="#,##0.0_);\(#,##0.0\);&quot;-  &quot;;&quot; &quot;@"/>
    <numFmt numFmtId="169" formatCode="#,##0_);\(#,##0\);&quot;-  &quot;;&quot; &quot;@&quot; &quot;"/>
    <numFmt numFmtId="170" formatCode="0.00%_);\-0.00%_);&quot;-  &quot;;&quot; &quot;@&quot; &quot;"/>
    <numFmt numFmtId="171" formatCode="#,##0.0000_);\(#,##0.0000\);&quot;-  &quot;;&quot; &quot;@&quot; &quot;"/>
    <numFmt numFmtId="172" formatCode="###0_);\(###0\);&quot;-  &quot;;&quot; &quot;@&quot; &quot;"/>
    <numFmt numFmtId="173" formatCode="dd\ mmm\ yyyy_);\(###0\);&quot;-  &quot;;&quot; &quot;@&quot; &quot;"/>
    <numFmt numFmtId="174" formatCode="dd\ mmm\ yy_);\(###0\);&quot;-  &quot;;&quot; &quot;@&quot; &quot;"/>
    <numFmt numFmtId="175" formatCode="#,##0.00_);\(#,##0.00\);&quot;-  &quot;;&quot; &quot;@"/>
    <numFmt numFmtId="176" formatCode="#,##0.000"/>
    <numFmt numFmtId="177" formatCode="#,##0.000_);\(#,##0.000\);&quot;-  &quot;;&quot; &quot;@"/>
    <numFmt numFmtId="178" formatCode="#,##0.0000_);\(#,##0.0000\);&quot;-  &quot;;&quot; &quot;@"/>
    <numFmt numFmtId="180" formatCode="#,##0.0_);\(#,##0.0\);&quot;-  &quot;;&quot; &quot;@&quot; &quot;"/>
    <numFmt numFmtId="181" formatCode="mmmm\ yyyy;@"/>
  </numFmts>
  <fonts count="58" x14ac:knownFonts="1">
    <font>
      <sz val="10"/>
      <name val="Arial"/>
    </font>
    <font>
      <sz val="11"/>
      <color theme="1"/>
      <name val="Arial"/>
      <family val="2"/>
    </font>
    <font>
      <sz val="11"/>
      <color theme="1"/>
      <name val="Arial"/>
      <family val="2"/>
    </font>
    <font>
      <sz val="11"/>
      <color theme="1"/>
      <name val="Calibri"/>
      <family val="2"/>
      <scheme val="minor"/>
    </font>
    <font>
      <sz val="10"/>
      <name val="Arial"/>
      <family val="2"/>
    </font>
    <font>
      <sz val="8"/>
      <name val="Arial"/>
      <family val="2"/>
    </font>
    <font>
      <sz val="10"/>
      <name val="Arial"/>
      <family val="2"/>
    </font>
    <font>
      <u/>
      <sz val="10"/>
      <name val="Arial"/>
      <family val="2"/>
    </font>
    <font>
      <b/>
      <sz val="10"/>
      <name val="Arial"/>
      <family val="2"/>
    </font>
    <font>
      <sz val="10"/>
      <color indexed="12"/>
      <name val="Arial"/>
      <family val="2"/>
    </font>
    <font>
      <sz val="10"/>
      <color indexed="12"/>
      <name val="Arial"/>
      <family val="2"/>
    </font>
    <font>
      <sz val="10"/>
      <name val="Arial"/>
      <family val="2"/>
    </font>
    <font>
      <b/>
      <sz val="10"/>
      <name val="Arial"/>
      <family val="2"/>
    </font>
    <font>
      <b/>
      <sz val="20"/>
      <name val="Arial"/>
      <family val="2"/>
    </font>
    <font>
      <sz val="10"/>
      <name val="Arial"/>
      <family val="2"/>
    </font>
    <font>
      <sz val="10"/>
      <color rgb="FF0000FF"/>
      <name val="Arial"/>
      <family val="2"/>
    </font>
    <font>
      <sz val="10"/>
      <name val="Arial"/>
      <family val="2"/>
    </font>
    <font>
      <b/>
      <sz val="10"/>
      <color rgb="FFFF0000"/>
      <name val="Arial"/>
      <family val="2"/>
    </font>
    <font>
      <u/>
      <sz val="10"/>
      <color rgb="FFFF0000"/>
      <name val="Arial"/>
      <family val="2"/>
    </font>
    <font>
      <sz val="10"/>
      <color rgb="FFFF0000"/>
      <name val="Arial"/>
      <family val="2"/>
    </font>
    <font>
      <sz val="36"/>
      <color theme="0" tint="-0.249977111117893"/>
      <name val="Wingdings 3"/>
      <family val="1"/>
      <charset val="2"/>
    </font>
    <font>
      <b/>
      <sz val="10"/>
      <color rgb="FF000000"/>
      <name val="Arial"/>
      <family val="2"/>
    </font>
    <font>
      <sz val="10"/>
      <color rgb="FF000000"/>
      <name val="Arial"/>
      <family val="2"/>
    </font>
    <font>
      <b/>
      <u/>
      <sz val="10"/>
      <name val="Arial"/>
      <family val="2"/>
    </font>
    <font>
      <sz val="10"/>
      <color theme="0" tint="-0.24994659260841701"/>
      <name val="Arial"/>
      <family val="2"/>
    </font>
    <font>
      <sz val="10"/>
      <color theme="0" tint="-4.9989318521683403E-2"/>
      <name val="Arial"/>
      <family val="2"/>
    </font>
    <font>
      <b/>
      <sz val="36"/>
      <name val="Arial"/>
      <family val="2"/>
    </font>
    <font>
      <u/>
      <sz val="36"/>
      <name val="Arial"/>
      <family val="2"/>
    </font>
    <font>
      <sz val="36"/>
      <name val="Arial"/>
      <family val="2"/>
    </font>
    <font>
      <sz val="10"/>
      <color theme="0" tint="-0.24994659260841701"/>
      <name val="Wingdings 3"/>
      <family val="1"/>
      <charset val="2"/>
    </font>
    <font>
      <sz val="11"/>
      <color indexed="8"/>
      <name val="Calibri"/>
      <family val="2"/>
      <scheme val="minor"/>
    </font>
    <font>
      <b/>
      <sz val="11"/>
      <name val="Calibri"/>
      <family val="2"/>
    </font>
    <font>
      <sz val="11"/>
      <color theme="1"/>
      <name val="Arial"/>
      <family val="2"/>
    </font>
    <font>
      <sz val="11"/>
      <color rgb="FF9C0006"/>
      <name val="Arial"/>
      <family val="2"/>
    </font>
    <font>
      <i/>
      <sz val="10"/>
      <name val="Arial"/>
      <family val="2"/>
    </font>
    <font>
      <b/>
      <u/>
      <sz val="11"/>
      <name val="Calibri"/>
      <family val="2"/>
    </font>
    <font>
      <sz val="8"/>
      <name val="Arial"/>
      <family val="2"/>
    </font>
    <font>
      <sz val="8"/>
      <color theme="1"/>
      <name val="Tahoma"/>
      <family val="2"/>
    </font>
    <font>
      <sz val="24"/>
      <color theme="0"/>
      <name val="Calibri"/>
      <family val="2"/>
      <scheme val="minor"/>
    </font>
    <font>
      <sz val="10"/>
      <name val="Calibri"/>
      <family val="2"/>
    </font>
    <font>
      <sz val="10"/>
      <name val="Calibri"/>
      <family val="2"/>
      <scheme val="minor"/>
    </font>
    <font>
      <u/>
      <sz val="8"/>
      <color theme="10"/>
      <name val="Tahoma"/>
      <family val="2"/>
    </font>
    <font>
      <sz val="10"/>
      <color theme="1"/>
      <name val="Calibri"/>
      <family val="2"/>
      <scheme val="minor"/>
    </font>
    <font>
      <b/>
      <sz val="10"/>
      <name val="Calibri"/>
      <family val="2"/>
      <scheme val="minor"/>
    </font>
    <font>
      <sz val="10"/>
      <color theme="1"/>
      <name val="Calibri"/>
      <family val="2"/>
    </font>
    <font>
      <b/>
      <sz val="10"/>
      <color rgb="FF0071CE"/>
      <name val="Calibri"/>
      <family val="2"/>
    </font>
    <font>
      <b/>
      <sz val="10"/>
      <color indexed="8"/>
      <name val="Calibri"/>
      <family val="2"/>
      <scheme val="minor"/>
    </font>
    <font>
      <sz val="10"/>
      <color indexed="8"/>
      <name val="Calibri"/>
      <family val="2"/>
      <scheme val="minor"/>
    </font>
    <font>
      <sz val="10"/>
      <color indexed="9"/>
      <name val="Calibri"/>
      <family val="2"/>
      <scheme val="minor"/>
    </font>
    <font>
      <b/>
      <sz val="10"/>
      <color theme="1"/>
      <name val="Calibri"/>
      <family val="2"/>
      <scheme val="minor"/>
    </font>
    <font>
      <sz val="24"/>
      <color theme="0"/>
      <name val="Krub"/>
    </font>
    <font>
      <sz val="10"/>
      <name val="Krub"/>
    </font>
    <font>
      <sz val="18"/>
      <name val="Krub"/>
    </font>
    <font>
      <b/>
      <sz val="18"/>
      <name val="Krub"/>
    </font>
    <font>
      <u/>
      <sz val="8"/>
      <color theme="10"/>
      <name val="Krub"/>
    </font>
    <font>
      <sz val="10"/>
      <color theme="1"/>
      <name val="Krub"/>
    </font>
    <font>
      <b/>
      <u/>
      <sz val="11"/>
      <name val="Calibri"/>
      <family val="2"/>
    </font>
    <font>
      <b/>
      <sz val="11"/>
      <name val="Calibri"/>
      <family val="2"/>
    </font>
  </fonts>
  <fills count="14">
    <fill>
      <patternFill patternType="none"/>
    </fill>
    <fill>
      <patternFill patternType="gray125"/>
    </fill>
    <fill>
      <patternFill patternType="solid">
        <fgColor rgb="FFC0C0C0"/>
        <bgColor indexed="64"/>
      </patternFill>
    </fill>
    <fill>
      <patternFill patternType="solid">
        <fgColor rgb="FFD9D9D9"/>
        <bgColor indexed="64"/>
      </patternFill>
    </fill>
    <fill>
      <patternFill patternType="solid">
        <fgColor rgb="FFFFFFAF"/>
        <bgColor indexed="64"/>
      </patternFill>
    </fill>
    <fill>
      <patternFill patternType="solid">
        <fgColor rgb="FFE9F5DB"/>
        <bgColor indexed="64"/>
      </patternFill>
    </fill>
    <fill>
      <patternFill patternType="solid">
        <fgColor rgb="FFFFC7CE"/>
      </patternFill>
    </fill>
    <fill>
      <patternFill patternType="solid">
        <fgColor rgb="FFFFFF00"/>
      </patternFill>
    </fill>
    <fill>
      <patternFill patternType="solid">
        <fgColor rgb="FFFFFFE0"/>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rgb="FF003595"/>
        <bgColor indexed="64"/>
      </patternFill>
    </fill>
    <fill>
      <patternFill patternType="solid">
        <fgColor rgb="FFDCECF5"/>
        <bgColor indexed="64"/>
      </patternFill>
    </fill>
  </fills>
  <borders count="13">
    <border>
      <left/>
      <right/>
      <top/>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0">
    <xf numFmtId="169" fontId="0" fillId="0" borderId="0" applyFont="0" applyFill="0" applyBorder="0" applyProtection="0">
      <alignment vertical="top"/>
    </xf>
    <xf numFmtId="167" fontId="6" fillId="0" borderId="0" applyFont="0" applyFill="0" applyBorder="0" applyProtection="0">
      <alignment vertical="top"/>
    </xf>
    <xf numFmtId="173" fontId="4" fillId="0" borderId="0" applyFont="0" applyFill="0" applyBorder="0" applyProtection="0">
      <alignment vertical="top"/>
    </xf>
    <xf numFmtId="174" fontId="4" fillId="0" borderId="0" applyFont="0" applyFill="0" applyBorder="0" applyProtection="0">
      <alignment vertical="top"/>
    </xf>
    <xf numFmtId="171" fontId="4" fillId="0" borderId="0" applyFont="0" applyFill="0" applyBorder="0" applyProtection="0">
      <alignment vertical="top"/>
    </xf>
    <xf numFmtId="170" fontId="4" fillId="0" borderId="0" applyFont="0" applyFill="0" applyBorder="0" applyProtection="0">
      <alignment vertical="top"/>
    </xf>
    <xf numFmtId="164" fontId="14" fillId="0" borderId="0" applyFont="0" applyFill="0" applyBorder="0" applyAlignment="0" applyProtection="0"/>
    <xf numFmtId="166" fontId="14" fillId="0" borderId="0" applyFont="0" applyFill="0" applyBorder="0" applyAlignment="0" applyProtection="0"/>
    <xf numFmtId="165" fontId="14" fillId="0" borderId="0" applyFont="0" applyFill="0" applyBorder="0" applyAlignment="0" applyProtection="0"/>
    <xf numFmtId="172" fontId="16" fillId="0" borderId="0" applyFont="0" applyFill="0" applyBorder="0" applyProtection="0">
      <alignment vertical="top"/>
    </xf>
    <xf numFmtId="169" fontId="4" fillId="0" borderId="0" applyFont="0" applyFill="0" applyBorder="0" applyProtection="0">
      <alignment vertical="top"/>
    </xf>
    <xf numFmtId="0" fontId="30" fillId="0" borderId="0"/>
    <xf numFmtId="0" fontId="32" fillId="0" borderId="0"/>
    <xf numFmtId="9" fontId="32" fillId="0" borderId="0" applyFont="0" applyFill="0" applyBorder="0" applyAlignment="0" applyProtection="0"/>
    <xf numFmtId="0" fontId="3" fillId="0" borderId="0"/>
    <xf numFmtId="0" fontId="30" fillId="0" borderId="0"/>
    <xf numFmtId="9" fontId="30" fillId="0" borderId="0" applyFont="0" applyFill="0" applyBorder="0" applyAlignment="0" applyProtection="0"/>
    <xf numFmtId="0" fontId="32" fillId="0" borderId="0"/>
    <xf numFmtId="0" fontId="4" fillId="0" borderId="0"/>
    <xf numFmtId="43" fontId="32" fillId="0" borderId="0" applyFont="0" applyFill="0" applyBorder="0" applyAlignment="0" applyProtection="0"/>
    <xf numFmtId="0" fontId="33" fillId="6" borderId="0" applyNumberFormat="0" applyBorder="0" applyAlignment="0" applyProtection="0"/>
    <xf numFmtId="43" fontId="32" fillId="0" borderId="0" applyFont="0" applyFill="0" applyBorder="0" applyAlignment="0" applyProtection="0"/>
    <xf numFmtId="167" fontId="4" fillId="0" borderId="0" applyFont="0" applyFill="0" applyBorder="0" applyProtection="0">
      <alignment vertical="top"/>
    </xf>
    <xf numFmtId="0" fontId="2" fillId="0" borderId="0"/>
    <xf numFmtId="169" fontId="37" fillId="0" borderId="0" applyFont="0" applyFill="0" applyBorder="0" applyProtection="0">
      <alignment vertical="top"/>
    </xf>
    <xf numFmtId="169" fontId="39" fillId="0" borderId="0" applyFill="0" applyBorder="0" applyProtection="0">
      <alignment vertical="top"/>
    </xf>
    <xf numFmtId="172" fontId="39" fillId="0" borderId="0" applyFont="0" applyFill="0" applyBorder="0" applyProtection="0">
      <alignment vertical="top"/>
    </xf>
    <xf numFmtId="0" fontId="41" fillId="0" borderId="0" applyNumberFormat="0" applyFill="0" applyBorder="0" applyAlignment="0" applyProtection="0"/>
    <xf numFmtId="0" fontId="1" fillId="0" borderId="0"/>
    <xf numFmtId="0" fontId="44" fillId="0" borderId="0"/>
  </cellStyleXfs>
  <cellXfs count="256">
    <xf numFmtId="169" fontId="0" fillId="0" borderId="0" xfId="0">
      <alignment vertical="top"/>
    </xf>
    <xf numFmtId="167" fontId="8" fillId="0" borderId="0" xfId="1" applyFont="1" applyFill="1">
      <alignment vertical="top"/>
    </xf>
    <xf numFmtId="167" fontId="6" fillId="0" borderId="0" xfId="1" applyFont="1">
      <alignment vertical="top"/>
    </xf>
    <xf numFmtId="167" fontId="8" fillId="0" borderId="0" xfId="1" applyFont="1" applyBorder="1">
      <alignment vertical="top"/>
    </xf>
    <xf numFmtId="167" fontId="6" fillId="0" borderId="0" xfId="1" applyFont="1" applyBorder="1">
      <alignment vertical="top"/>
    </xf>
    <xf numFmtId="167" fontId="8" fillId="0" borderId="0" xfId="1" applyFont="1">
      <alignment vertical="top"/>
    </xf>
    <xf numFmtId="167" fontId="0" fillId="0" borderId="0" xfId="1" applyFont="1" applyBorder="1">
      <alignment vertical="top"/>
    </xf>
    <xf numFmtId="167" fontId="9" fillId="0" borderId="0" xfId="1" applyFont="1" applyBorder="1">
      <alignment vertical="top"/>
    </xf>
    <xf numFmtId="167" fontId="4" fillId="0" borderId="0" xfId="1" applyFont="1" applyFill="1">
      <alignment vertical="top"/>
    </xf>
    <xf numFmtId="167" fontId="6" fillId="0" borderId="0" xfId="1" applyFont="1" applyFill="1" applyBorder="1">
      <alignment vertical="top"/>
    </xf>
    <xf numFmtId="167" fontId="4" fillId="0" borderId="0" xfId="1" applyFont="1">
      <alignment vertical="top"/>
    </xf>
    <xf numFmtId="167" fontId="8" fillId="0" borderId="0" xfId="1" applyFont="1" applyFill="1" applyBorder="1">
      <alignment vertical="top"/>
    </xf>
    <xf numFmtId="167" fontId="11" fillId="0" borderId="0" xfId="1" applyFont="1">
      <alignment vertical="top"/>
    </xf>
    <xf numFmtId="167" fontId="11" fillId="0" borderId="0" xfId="1" applyFont="1" applyFill="1" applyBorder="1">
      <alignment vertical="top"/>
    </xf>
    <xf numFmtId="167" fontId="7" fillId="0" borderId="0" xfId="1" applyFont="1" applyFill="1">
      <alignment vertical="top"/>
    </xf>
    <xf numFmtId="167" fontId="4" fillId="0" borderId="0" xfId="1" applyFont="1" applyFill="1" applyAlignment="1">
      <alignment horizontal="right" vertical="top"/>
    </xf>
    <xf numFmtId="167" fontId="7" fillId="0" borderId="0" xfId="1" applyFont="1" applyFill="1" applyBorder="1">
      <alignment vertical="top"/>
    </xf>
    <xf numFmtId="174" fontId="8" fillId="0" borderId="0" xfId="3" applyFont="1">
      <alignment vertical="top"/>
    </xf>
    <xf numFmtId="174" fontId="8" fillId="0" borderId="0" xfId="3" applyFont="1" applyFill="1">
      <alignment vertical="top"/>
    </xf>
    <xf numFmtId="167" fontId="13" fillId="0" borderId="0" xfId="1" applyFont="1" applyFill="1">
      <alignment vertical="top"/>
    </xf>
    <xf numFmtId="173" fontId="4" fillId="0" borderId="0" xfId="2" applyFont="1" applyFill="1">
      <alignment vertical="top"/>
    </xf>
    <xf numFmtId="169" fontId="7" fillId="0" borderId="0" xfId="0" applyFont="1" applyFill="1">
      <alignment vertical="top"/>
    </xf>
    <xf numFmtId="169" fontId="4" fillId="0" borderId="0" xfId="0" applyFont="1">
      <alignment vertical="top"/>
    </xf>
    <xf numFmtId="169" fontId="8" fillId="0" borderId="0" xfId="0" applyFont="1" applyFill="1">
      <alignment vertical="top"/>
    </xf>
    <xf numFmtId="167" fontId="4" fillId="0" borderId="0" xfId="1" applyFont="1" applyFill="1" applyBorder="1">
      <alignment vertical="top"/>
    </xf>
    <xf numFmtId="169" fontId="8" fillId="0" borderId="1" xfId="0" applyFont="1" applyBorder="1" applyAlignment="1">
      <alignment horizontal="right" vertical="top"/>
    </xf>
    <xf numFmtId="169" fontId="8" fillId="0" borderId="1" xfId="0" applyFont="1" applyBorder="1">
      <alignment vertical="top"/>
    </xf>
    <xf numFmtId="167" fontId="4" fillId="2" borderId="0" xfId="1" applyFont="1" applyFill="1" applyAlignment="1">
      <alignment horizontal="right" vertical="top"/>
    </xf>
    <xf numFmtId="173" fontId="4" fillId="0" borderId="0" xfId="2" applyFont="1">
      <alignment vertical="top"/>
    </xf>
    <xf numFmtId="167" fontId="0" fillId="0" borderId="0" xfId="1" applyFont="1" applyFill="1" applyBorder="1">
      <alignment vertical="top"/>
    </xf>
    <xf numFmtId="174" fontId="12" fillId="0" borderId="0" xfId="3" applyFont="1" applyFill="1" applyBorder="1">
      <alignment vertical="top"/>
    </xf>
    <xf numFmtId="168" fontId="11" fillId="0" borderId="0" xfId="4" applyNumberFormat="1" applyFont="1" applyFill="1" applyBorder="1">
      <alignment vertical="top"/>
    </xf>
    <xf numFmtId="173" fontId="10" fillId="0" borderId="0" xfId="2" applyFont="1" applyFill="1" applyBorder="1">
      <alignment vertical="top"/>
    </xf>
    <xf numFmtId="174" fontId="11" fillId="0" borderId="0" xfId="3" applyFont="1" applyFill="1" applyBorder="1">
      <alignment vertical="top"/>
    </xf>
    <xf numFmtId="174" fontId="6" fillId="0" borderId="0" xfId="3" applyFont="1" applyFill="1" applyBorder="1">
      <alignment vertical="top"/>
    </xf>
    <xf numFmtId="167" fontId="4" fillId="0" borderId="0" xfId="1" applyFont="1" applyFill="1" applyBorder="1" applyAlignment="1">
      <alignment horizontal="right" vertical="top"/>
    </xf>
    <xf numFmtId="168" fontId="4" fillId="0" borderId="0" xfId="4" applyNumberFormat="1" applyFont="1">
      <alignment vertical="top"/>
    </xf>
    <xf numFmtId="168" fontId="4" fillId="0" borderId="0" xfId="4" applyNumberFormat="1" applyFont="1" applyFill="1" applyBorder="1">
      <alignment vertical="top"/>
    </xf>
    <xf numFmtId="174" fontId="8" fillId="0" borderId="0" xfId="3" applyFont="1" applyFill="1" applyBorder="1">
      <alignment vertical="top"/>
    </xf>
    <xf numFmtId="174" fontId="7" fillId="0" borderId="0" xfId="3" applyFont="1" applyFill="1" applyBorder="1">
      <alignment vertical="top"/>
    </xf>
    <xf numFmtId="174" fontId="4" fillId="0" borderId="0" xfId="3" applyFont="1" applyFill="1" applyBorder="1" applyAlignment="1">
      <alignment horizontal="right" vertical="top"/>
    </xf>
    <xf numFmtId="168" fontId="8" fillId="0" borderId="0" xfId="4" applyNumberFormat="1" applyFont="1" applyFill="1" applyBorder="1">
      <alignment vertical="top"/>
    </xf>
    <xf numFmtId="173" fontId="8" fillId="0" borderId="0" xfId="2" applyFont="1" applyFill="1" applyBorder="1">
      <alignment vertical="top"/>
    </xf>
    <xf numFmtId="168" fontId="7" fillId="0" borderId="0" xfId="4" applyNumberFormat="1" applyFont="1" applyFill="1" applyBorder="1">
      <alignment vertical="top"/>
    </xf>
    <xf numFmtId="168" fontId="4" fillId="0" borderId="0" xfId="4" applyNumberFormat="1" applyFont="1" applyFill="1" applyBorder="1" applyAlignment="1">
      <alignment horizontal="right" vertical="top"/>
    </xf>
    <xf numFmtId="173" fontId="7" fillId="0" borderId="0" xfId="2" applyFont="1" applyFill="1" applyBorder="1">
      <alignment vertical="top"/>
    </xf>
    <xf numFmtId="173" fontId="4" fillId="0" borderId="0" xfId="2" applyFont="1" applyFill="1" applyBorder="1" applyAlignment="1">
      <alignment horizontal="right" vertical="top"/>
    </xf>
    <xf numFmtId="169" fontId="4" fillId="0" borderId="0" xfId="0" applyFont="1" applyFill="1" applyBorder="1" applyAlignment="1">
      <alignment horizontal="right" vertical="top"/>
    </xf>
    <xf numFmtId="169" fontId="8" fillId="0" borderId="0" xfId="0" applyFont="1" applyFill="1" applyBorder="1" applyAlignment="1">
      <alignment horizontal="right" vertical="top"/>
    </xf>
    <xf numFmtId="169" fontId="7" fillId="0" borderId="0" xfId="0" applyFont="1" applyFill="1" applyBorder="1" applyAlignment="1">
      <alignment horizontal="right" vertical="top"/>
    </xf>
    <xf numFmtId="169" fontId="0" fillId="0" borderId="0" xfId="0" applyFont="1" applyFill="1" applyBorder="1" applyAlignment="1">
      <alignment horizontal="right" vertical="top"/>
    </xf>
    <xf numFmtId="169" fontId="4" fillId="0" borderId="0" xfId="0" applyFont="1" applyAlignment="1">
      <alignment horizontal="left" vertical="top"/>
    </xf>
    <xf numFmtId="167" fontId="15" fillId="0" borderId="0" xfId="1" applyFont="1" applyFill="1">
      <alignment vertical="top"/>
    </xf>
    <xf numFmtId="173" fontId="8" fillId="0" borderId="0" xfId="2" applyFont="1" applyFill="1">
      <alignment vertical="top"/>
    </xf>
    <xf numFmtId="173" fontId="7" fillId="0" borderId="0" xfId="2" applyFont="1" applyFill="1">
      <alignment vertical="top"/>
    </xf>
    <xf numFmtId="169" fontId="4" fillId="0" borderId="0" xfId="0" applyFont="1" applyFill="1" applyAlignment="1">
      <alignment horizontal="right" vertical="top"/>
    </xf>
    <xf numFmtId="171" fontId="4" fillId="0" borderId="0" xfId="4" applyFont="1">
      <alignment vertical="top"/>
    </xf>
    <xf numFmtId="174" fontId="17" fillId="0" borderId="0" xfId="3" applyFont="1" applyFill="1" applyBorder="1">
      <alignment vertical="top"/>
    </xf>
    <xf numFmtId="174" fontId="18" fillId="0" borderId="0" xfId="3" applyFont="1" applyFill="1" applyBorder="1">
      <alignment vertical="top"/>
    </xf>
    <xf numFmtId="174" fontId="19" fillId="0" borderId="0" xfId="3" applyFont="1" applyFill="1" applyBorder="1">
      <alignment vertical="top"/>
    </xf>
    <xf numFmtId="168" fontId="4" fillId="0" borderId="0" xfId="4" applyNumberFormat="1" applyFont="1" applyFill="1">
      <alignment vertical="top"/>
    </xf>
    <xf numFmtId="174" fontId="19" fillId="0" borderId="0" xfId="3" applyFont="1" applyFill="1">
      <alignment vertical="top"/>
    </xf>
    <xf numFmtId="167" fontId="17" fillId="0" borderId="0" xfId="1" applyFont="1" applyFill="1" applyBorder="1">
      <alignment vertical="top"/>
    </xf>
    <xf numFmtId="167" fontId="4" fillId="3" borderId="0" xfId="1" applyFont="1" applyFill="1">
      <alignment vertical="top"/>
    </xf>
    <xf numFmtId="167" fontId="0" fillId="3" borderId="0" xfId="1" applyFont="1" applyFill="1" applyBorder="1">
      <alignment vertical="top"/>
    </xf>
    <xf numFmtId="169" fontId="4" fillId="3" borderId="0" xfId="0" applyFont="1" applyFill="1">
      <alignment vertical="top"/>
    </xf>
    <xf numFmtId="169" fontId="8" fillId="4" borderId="3" xfId="0" applyFont="1" applyFill="1" applyBorder="1" applyAlignment="1">
      <alignment horizontal="center" vertical="top"/>
    </xf>
    <xf numFmtId="0" fontId="20" fillId="0" borderId="0" xfId="1" applyNumberFormat="1" applyFont="1" applyAlignment="1">
      <alignment horizontal="center" vertical="center"/>
    </xf>
    <xf numFmtId="173" fontId="6" fillId="0" borderId="0" xfId="2" applyFont="1">
      <alignment vertical="top"/>
    </xf>
    <xf numFmtId="167" fontId="15" fillId="0" borderId="0" xfId="1" applyFont="1">
      <alignment vertical="top"/>
    </xf>
    <xf numFmtId="169" fontId="19" fillId="0" borderId="0" xfId="0" applyFont="1">
      <alignment vertical="top"/>
    </xf>
    <xf numFmtId="173" fontId="4" fillId="0" borderId="0" xfId="1" applyNumberFormat="1" applyFont="1">
      <alignment vertical="top"/>
    </xf>
    <xf numFmtId="174" fontId="19" fillId="0" borderId="0" xfId="3" applyFont="1" applyFill="1" applyBorder="1" applyAlignment="1">
      <alignment horizontal="right" vertical="top"/>
    </xf>
    <xf numFmtId="174" fontId="22" fillId="0" borderId="0" xfId="3" applyFont="1">
      <alignment vertical="top"/>
    </xf>
    <xf numFmtId="174" fontId="21" fillId="0" borderId="0" xfId="3" applyFont="1">
      <alignment vertical="top"/>
    </xf>
    <xf numFmtId="173" fontId="8" fillId="0" borderId="0" xfId="1" applyNumberFormat="1" applyFont="1" applyFill="1">
      <alignment vertical="top"/>
    </xf>
    <xf numFmtId="173" fontId="7" fillId="0" borderId="0" xfId="1" applyNumberFormat="1" applyFont="1" applyFill="1">
      <alignment vertical="top"/>
    </xf>
    <xf numFmtId="173" fontId="4" fillId="0" borderId="0" xfId="1" applyNumberFormat="1" applyFont="1" applyFill="1" applyAlignment="1">
      <alignment horizontal="right" vertical="top"/>
    </xf>
    <xf numFmtId="173" fontId="4" fillId="3" borderId="0" xfId="1" applyNumberFormat="1" applyFont="1" applyFill="1">
      <alignment vertical="top"/>
    </xf>
    <xf numFmtId="173" fontId="15" fillId="0" borderId="0" xfId="2" applyFont="1" applyFill="1" applyBorder="1">
      <alignment vertical="top"/>
    </xf>
    <xf numFmtId="174" fontId="23" fillId="0" borderId="0" xfId="3" applyFont="1" applyFill="1">
      <alignment vertical="top"/>
    </xf>
    <xf numFmtId="174" fontId="8" fillId="0" borderId="0" xfId="3" applyFont="1" applyFill="1" applyAlignment="1">
      <alignment horizontal="right" vertical="top"/>
    </xf>
    <xf numFmtId="174" fontId="8" fillId="3" borderId="0" xfId="3" applyFont="1" applyFill="1">
      <alignment vertical="top"/>
    </xf>
    <xf numFmtId="174" fontId="8" fillId="4" borderId="2" xfId="3" applyFont="1" applyFill="1" applyBorder="1" applyAlignment="1">
      <alignment horizontal="center" vertical="center"/>
    </xf>
    <xf numFmtId="169" fontId="8" fillId="3" borderId="0" xfId="0" applyFont="1" applyFill="1">
      <alignment vertical="top"/>
    </xf>
    <xf numFmtId="169" fontId="7" fillId="3" borderId="0" xfId="0" applyFont="1" applyFill="1">
      <alignment vertical="top"/>
    </xf>
    <xf numFmtId="169" fontId="8" fillId="0" borderId="0" xfId="0" applyFont="1" applyBorder="1" applyAlignment="1">
      <alignment horizontal="right" vertical="top"/>
    </xf>
    <xf numFmtId="169" fontId="8" fillId="0" borderId="0" xfId="0" applyFont="1" applyBorder="1">
      <alignment vertical="top"/>
    </xf>
    <xf numFmtId="169" fontId="8" fillId="0" borderId="4" xfId="0" applyFont="1" applyFill="1" applyBorder="1" applyAlignment="1">
      <alignment horizontal="center" vertical="center"/>
    </xf>
    <xf numFmtId="169" fontId="8" fillId="4" borderId="2" xfId="0" applyFont="1" applyFill="1" applyBorder="1" applyAlignment="1">
      <alignment horizontal="center" vertical="top"/>
    </xf>
    <xf numFmtId="173" fontId="25" fillId="3" borderId="0" xfId="2" applyFont="1" applyFill="1">
      <alignment vertical="top"/>
    </xf>
    <xf numFmtId="173" fontId="25" fillId="3" borderId="0" xfId="1" applyNumberFormat="1" applyFont="1" applyFill="1">
      <alignment vertical="top"/>
    </xf>
    <xf numFmtId="167" fontId="25" fillId="3" borderId="0" xfId="1" applyFont="1" applyFill="1">
      <alignment vertical="top"/>
    </xf>
    <xf numFmtId="169" fontId="0" fillId="0" borderId="4" xfId="0" applyFill="1" applyBorder="1" applyAlignment="1">
      <alignment horizontal="center" vertical="top"/>
    </xf>
    <xf numFmtId="169" fontId="22" fillId="0" borderId="0" xfId="0" applyFont="1" applyFill="1" applyBorder="1" applyAlignment="1">
      <alignment horizontal="center" vertical="top"/>
    </xf>
    <xf numFmtId="169" fontId="22" fillId="5" borderId="2" xfId="0" applyFont="1" applyFill="1" applyBorder="1" applyAlignment="1">
      <alignment horizontal="center" vertical="top"/>
    </xf>
    <xf numFmtId="167" fontId="26" fillId="0" borderId="0" xfId="1" applyFont="1" applyFill="1">
      <alignment vertical="top"/>
    </xf>
    <xf numFmtId="167" fontId="27" fillId="0" borderId="0" xfId="1" applyFont="1" applyFill="1">
      <alignment vertical="top"/>
    </xf>
    <xf numFmtId="167" fontId="28" fillId="0" borderId="0" xfId="1" applyFont="1" applyFill="1" applyAlignment="1">
      <alignment horizontal="right" vertical="top"/>
    </xf>
    <xf numFmtId="167" fontId="28" fillId="0" borderId="0" xfId="1" applyFont="1">
      <alignment vertical="top"/>
    </xf>
    <xf numFmtId="167" fontId="28" fillId="3" borderId="0" xfId="1" applyFont="1" applyFill="1">
      <alignment vertical="top"/>
    </xf>
    <xf numFmtId="173" fontId="15" fillId="0" borderId="0" xfId="2" applyFont="1">
      <alignment vertical="top"/>
    </xf>
    <xf numFmtId="172" fontId="4" fillId="0" borderId="0" xfId="9" applyFont="1" applyAlignment="1">
      <alignment horizontal="center" vertical="top"/>
    </xf>
    <xf numFmtId="172" fontId="28" fillId="0" borderId="0" xfId="9" applyFont="1" applyAlignment="1">
      <alignment horizontal="center" vertical="top"/>
    </xf>
    <xf numFmtId="172" fontId="8" fillId="0" borderId="0" xfId="9" applyFont="1" applyAlignment="1">
      <alignment horizontal="center" vertical="top"/>
    </xf>
    <xf numFmtId="172" fontId="24" fillId="0" borderId="2" xfId="9" applyFont="1" applyFill="1" applyBorder="1" applyAlignment="1">
      <alignment horizontal="center" vertical="top"/>
    </xf>
    <xf numFmtId="172" fontId="8" fillId="0" borderId="0" xfId="9" applyFont="1" applyBorder="1" applyAlignment="1">
      <alignment horizontal="center" vertical="top"/>
    </xf>
    <xf numFmtId="172" fontId="29" fillId="0" borderId="0" xfId="9" applyFont="1" applyAlignment="1">
      <alignment horizontal="center" vertical="top"/>
    </xf>
    <xf numFmtId="172" fontId="25" fillId="0" borderId="0" xfId="9" applyFont="1" applyAlignment="1">
      <alignment horizontal="center" vertical="top"/>
    </xf>
    <xf numFmtId="172" fontId="4" fillId="3" borderId="0" xfId="9" applyFont="1" applyFill="1" applyAlignment="1">
      <alignment horizontal="center" vertical="top"/>
    </xf>
    <xf numFmtId="172" fontId="4" fillId="0" borderId="0" xfId="9" applyFont="1" applyFill="1" applyAlignment="1">
      <alignment horizontal="center" vertical="top"/>
    </xf>
    <xf numFmtId="168" fontId="4" fillId="0" borderId="0" xfId="1" applyNumberFormat="1" applyFont="1">
      <alignment vertical="top"/>
    </xf>
    <xf numFmtId="175" fontId="4" fillId="0" borderId="0" xfId="1" applyNumberFormat="1" applyFont="1">
      <alignment vertical="top"/>
    </xf>
    <xf numFmtId="167" fontId="4" fillId="0" borderId="0" xfId="1" applyFont="1" applyAlignment="1">
      <alignment horizontal="center" vertical="top"/>
    </xf>
    <xf numFmtId="167" fontId="4" fillId="0" borderId="0" xfId="1" applyFont="1" applyFill="1" applyBorder="1" applyAlignment="1">
      <alignment horizontal="center" vertical="top"/>
    </xf>
    <xf numFmtId="169" fontId="4" fillId="3" borderId="0" xfId="0" applyFont="1" applyFill="1" applyAlignment="1">
      <alignment horizontal="center" vertical="top"/>
    </xf>
    <xf numFmtId="169" fontId="4" fillId="0" borderId="0" xfId="0" applyFont="1" applyFill="1" applyAlignment="1">
      <alignment horizontal="center" vertical="top"/>
    </xf>
    <xf numFmtId="171" fontId="4" fillId="3" borderId="2" xfId="4" applyFont="1" applyFill="1" applyBorder="1" applyAlignment="1">
      <alignment horizontal="center" vertical="top"/>
    </xf>
    <xf numFmtId="169" fontId="4" fillId="3" borderId="3" xfId="0" applyFont="1" applyFill="1" applyBorder="1" applyAlignment="1">
      <alignment horizontal="center" vertical="top"/>
    </xf>
    <xf numFmtId="167" fontId="4" fillId="0" borderId="0" xfId="1" applyFont="1" applyFill="1" applyAlignment="1">
      <alignment horizontal="center" vertical="top"/>
    </xf>
    <xf numFmtId="167" fontId="0" fillId="0" borderId="0" xfId="1" applyFont="1" applyFill="1" applyBorder="1" applyAlignment="1">
      <alignment horizontal="center" vertical="top"/>
    </xf>
    <xf numFmtId="173" fontId="4" fillId="4" borderId="2" xfId="2" applyFont="1" applyFill="1" applyBorder="1" applyAlignment="1">
      <alignment horizontal="center" vertical="top"/>
    </xf>
    <xf numFmtId="174" fontId="4" fillId="4" borderId="2" xfId="3" applyFont="1" applyFill="1" applyBorder="1" applyAlignment="1">
      <alignment horizontal="center" vertical="center"/>
    </xf>
    <xf numFmtId="174" fontId="4" fillId="4" borderId="2" xfId="3" applyFont="1" applyFill="1" applyBorder="1" applyAlignment="1">
      <alignment horizontal="left" vertical="center" wrapText="1"/>
    </xf>
    <xf numFmtId="174" fontId="4" fillId="0" borderId="0" xfId="3" applyFont="1">
      <alignment vertical="top"/>
    </xf>
    <xf numFmtId="169" fontId="4" fillId="0" borderId="0" xfId="0" applyFont="1" applyBorder="1">
      <alignment vertical="top"/>
    </xf>
    <xf numFmtId="174" fontId="4" fillId="0" borderId="0" xfId="3" applyFont="1" applyAlignment="1">
      <alignment horizontal="left" vertical="top"/>
    </xf>
    <xf numFmtId="168" fontId="4" fillId="4" borderId="2" xfId="1" applyNumberFormat="1" applyFont="1" applyFill="1" applyBorder="1">
      <alignment vertical="top"/>
    </xf>
    <xf numFmtId="175" fontId="4" fillId="4" borderId="2" xfId="1" applyNumberFormat="1" applyFont="1" applyFill="1" applyBorder="1">
      <alignment vertical="top"/>
    </xf>
    <xf numFmtId="174" fontId="22" fillId="0" borderId="0" xfId="3" applyFont="1" applyAlignment="1">
      <alignment horizontal="left" vertical="top" indent="1"/>
    </xf>
    <xf numFmtId="167" fontId="4" fillId="0" borderId="0" xfId="1" applyFont="1" applyAlignment="1">
      <alignment horizontal="left" vertical="top" indent="1"/>
    </xf>
    <xf numFmtId="167" fontId="4" fillId="9" borderId="0" xfId="1" applyFont="1" applyFill="1">
      <alignment vertical="top"/>
    </xf>
    <xf numFmtId="167" fontId="4" fillId="0" borderId="0" xfId="1" applyFont="1" applyAlignment="1">
      <alignment horizontal="center" vertical="center" wrapText="1"/>
    </xf>
    <xf numFmtId="168" fontId="4" fillId="0" borderId="5" xfId="1" applyNumberFormat="1" applyFont="1" applyBorder="1">
      <alignment vertical="top"/>
    </xf>
    <xf numFmtId="175" fontId="4" fillId="0" borderId="5" xfId="1" applyNumberFormat="1" applyFont="1" applyBorder="1">
      <alignment vertical="top"/>
    </xf>
    <xf numFmtId="174" fontId="4" fillId="0" borderId="0" xfId="3" applyFont="1" applyFill="1" applyBorder="1">
      <alignment vertical="top"/>
    </xf>
    <xf numFmtId="0" fontId="31" fillId="11" borderId="8" xfId="15" applyFont="1" applyFill="1" applyBorder="1" applyAlignment="1">
      <alignment horizontal="center" wrapText="1"/>
    </xf>
    <xf numFmtId="0" fontId="31" fillId="11" borderId="10" xfId="15" applyFont="1" applyFill="1" applyBorder="1" applyAlignment="1">
      <alignment horizontal="center" wrapText="1"/>
    </xf>
    <xf numFmtId="175" fontId="0" fillId="0" borderId="0" xfId="0" applyNumberFormat="1">
      <alignment vertical="top"/>
    </xf>
    <xf numFmtId="167" fontId="13" fillId="0" borderId="0" xfId="22" applyFont="1" applyFill="1">
      <alignment vertical="top"/>
    </xf>
    <xf numFmtId="174" fontId="34" fillId="0" borderId="0" xfId="3" applyFont="1">
      <alignment vertical="top"/>
    </xf>
    <xf numFmtId="169" fontId="4" fillId="5" borderId="0" xfId="0" applyFont="1" applyFill="1" applyBorder="1" applyAlignment="1">
      <alignment horizontal="right" vertical="top"/>
    </xf>
    <xf numFmtId="0" fontId="2" fillId="0" borderId="0" xfId="23"/>
    <xf numFmtId="0" fontId="35" fillId="0" borderId="0" xfId="23" applyFont="1"/>
    <xf numFmtId="176" fontId="2" fillId="8" borderId="0" xfId="23" applyNumberFormat="1" applyFill="1"/>
    <xf numFmtId="0" fontId="2" fillId="8" borderId="0" xfId="23" applyFill="1"/>
    <xf numFmtId="169" fontId="0" fillId="0" borderId="11" xfId="0" applyBorder="1" applyAlignment="1">
      <alignment horizontal="center" vertical="top"/>
    </xf>
    <xf numFmtId="169" fontId="0" fillId="0" borderId="12" xfId="0" applyBorder="1" applyAlignment="1">
      <alignment horizontal="center" vertical="top"/>
    </xf>
    <xf numFmtId="168" fontId="4" fillId="0" borderId="0" xfId="1" applyNumberFormat="1" applyFont="1" applyBorder="1">
      <alignment vertical="top"/>
    </xf>
    <xf numFmtId="167" fontId="8" fillId="0" borderId="0" xfId="22" applyFont="1" applyFill="1" applyBorder="1">
      <alignment vertical="top"/>
    </xf>
    <xf numFmtId="167" fontId="7" fillId="0" borderId="0" xfId="22" applyFont="1" applyFill="1" applyBorder="1">
      <alignment vertical="top"/>
    </xf>
    <xf numFmtId="167" fontId="8" fillId="0" borderId="0" xfId="22" applyFont="1">
      <alignment vertical="top"/>
    </xf>
    <xf numFmtId="167" fontId="4" fillId="0" borderId="0" xfId="22" applyFont="1">
      <alignment vertical="top"/>
    </xf>
    <xf numFmtId="167" fontId="4" fillId="0" borderId="0" xfId="22" applyFont="1" applyFill="1">
      <alignment vertical="top"/>
    </xf>
    <xf numFmtId="167" fontId="4" fillId="0" borderId="0" xfId="22" applyFont="1" applyFill="1" applyBorder="1" applyAlignment="1">
      <alignment horizontal="right" vertical="top"/>
    </xf>
    <xf numFmtId="167" fontId="4" fillId="0" borderId="0" xfId="22" applyFont="1" applyAlignment="1">
      <alignment horizontal="left" vertical="top" indent="1"/>
    </xf>
    <xf numFmtId="168" fontId="4" fillId="0" borderId="0" xfId="22" applyNumberFormat="1" applyFont="1">
      <alignment vertical="top"/>
    </xf>
    <xf numFmtId="168" fontId="4" fillId="0" borderId="5" xfId="22" applyNumberFormat="1" applyFont="1" applyBorder="1">
      <alignment vertical="top"/>
    </xf>
    <xf numFmtId="167" fontId="4" fillId="4" borderId="2" xfId="1" applyFont="1" applyFill="1" applyBorder="1" applyAlignment="1">
      <alignment horizontal="center" vertical="top"/>
    </xf>
    <xf numFmtId="167" fontId="4" fillId="0" borderId="3" xfId="1" applyFont="1" applyFill="1" applyBorder="1" applyAlignment="1">
      <alignment horizontal="center" vertical="top"/>
    </xf>
    <xf numFmtId="169" fontId="4" fillId="0" borderId="0" xfId="0" applyFont="1" applyFill="1" applyBorder="1">
      <alignment vertical="top"/>
    </xf>
    <xf numFmtId="167" fontId="4" fillId="3" borderId="0" xfId="1" applyFont="1" applyFill="1" applyBorder="1">
      <alignment vertical="top"/>
    </xf>
    <xf numFmtId="167" fontId="4" fillId="0" borderId="0" xfId="1" applyFont="1" applyBorder="1">
      <alignment vertical="top"/>
    </xf>
    <xf numFmtId="173" fontId="4" fillId="0" borderId="2" xfId="2" applyFont="1" applyFill="1" applyBorder="1">
      <alignment vertical="top"/>
    </xf>
    <xf numFmtId="173" fontId="4" fillId="3" borderId="0" xfId="2" applyFont="1" applyFill="1">
      <alignment vertical="top"/>
    </xf>
    <xf numFmtId="173" fontId="4" fillId="0" borderId="2" xfId="2" applyFont="1" applyFill="1" applyBorder="1" applyAlignment="1">
      <alignment horizontal="center" vertical="top"/>
    </xf>
    <xf numFmtId="173" fontId="4" fillId="0" borderId="0" xfId="2" applyFont="1" applyFill="1" applyBorder="1" applyAlignment="1">
      <alignment horizontal="center" vertical="top"/>
    </xf>
    <xf numFmtId="173" fontId="4" fillId="0" borderId="0" xfId="2" applyFont="1" applyFill="1" applyBorder="1">
      <alignment vertical="top"/>
    </xf>
    <xf numFmtId="177" fontId="4" fillId="0" borderId="0" xfId="1" applyNumberFormat="1" applyFont="1">
      <alignment vertical="top"/>
    </xf>
    <xf numFmtId="174" fontId="4" fillId="0" borderId="0" xfId="3" applyFont="1" applyFill="1">
      <alignment vertical="top"/>
    </xf>
    <xf numFmtId="167" fontId="4" fillId="0" borderId="5" xfId="1" applyFont="1" applyBorder="1">
      <alignment vertical="top"/>
    </xf>
    <xf numFmtId="167" fontId="0" fillId="0" borderId="0" xfId="0" applyNumberFormat="1">
      <alignment vertical="top"/>
    </xf>
    <xf numFmtId="167" fontId="4" fillId="4" borderId="2" xfId="1" applyFont="1" applyFill="1" applyBorder="1">
      <alignment vertical="top"/>
    </xf>
    <xf numFmtId="167" fontId="4" fillId="0" borderId="5" xfId="22" applyFont="1" applyBorder="1">
      <alignment vertical="top"/>
    </xf>
    <xf numFmtId="178" fontId="4" fillId="0" borderId="0" xfId="1" applyNumberFormat="1" applyFont="1">
      <alignment vertical="top"/>
    </xf>
    <xf numFmtId="169" fontId="0" fillId="0" borderId="11" xfId="0" applyBorder="1" applyAlignment="1">
      <alignment horizontal="center" vertical="top" wrapText="1"/>
    </xf>
    <xf numFmtId="169" fontId="0" fillId="0" borderId="12" xfId="0" applyBorder="1" applyAlignment="1">
      <alignment horizontal="center" vertical="top" wrapText="1"/>
    </xf>
    <xf numFmtId="169" fontId="0" fillId="0" borderId="0" xfId="0" applyAlignment="1">
      <alignment vertical="top" wrapText="1"/>
    </xf>
    <xf numFmtId="174" fontId="22" fillId="0" borderId="0" xfId="3" applyFont="1" applyFill="1">
      <alignment vertical="top"/>
    </xf>
    <xf numFmtId="167" fontId="4" fillId="2" borderId="0" xfId="22" applyFont="1" applyFill="1" applyAlignment="1">
      <alignment horizontal="right" vertical="top"/>
    </xf>
    <xf numFmtId="167" fontId="4" fillId="0" borderId="0" xfId="22" applyFont="1" applyAlignment="1">
      <alignment horizontal="center" vertical="center" wrapText="1"/>
    </xf>
    <xf numFmtId="169" fontId="0" fillId="0" borderId="0" xfId="0" applyAlignment="1"/>
    <xf numFmtId="0" fontId="31" fillId="7" borderId="0" xfId="23" applyFont="1" applyFill="1"/>
    <xf numFmtId="0" fontId="0" fillId="0" borderId="0" xfId="0" applyNumberFormat="1" applyAlignment="1"/>
    <xf numFmtId="0" fontId="0" fillId="8" borderId="0" xfId="0" applyNumberFormat="1" applyFill="1" applyAlignment="1"/>
    <xf numFmtId="10" fontId="0" fillId="8" borderId="0" xfId="0" applyNumberFormat="1" applyFill="1" applyAlignment="1"/>
    <xf numFmtId="170" fontId="4" fillId="4" borderId="2" xfId="5" applyFont="1" applyFill="1" applyBorder="1">
      <alignment vertical="top"/>
    </xf>
    <xf numFmtId="176" fontId="0" fillId="8" borderId="0" xfId="0" applyNumberFormat="1" applyFill="1" applyAlignment="1"/>
    <xf numFmtId="3" fontId="0" fillId="8" borderId="0" xfId="0" applyNumberFormat="1" applyFill="1" applyAlignment="1"/>
    <xf numFmtId="169" fontId="0" fillId="0" borderId="12" xfId="0" applyBorder="1" applyAlignment="1">
      <alignment horizontal="center" vertical="center"/>
    </xf>
    <xf numFmtId="169" fontId="0" fillId="0" borderId="0" xfId="0" applyAlignment="1">
      <alignment horizontal="center" vertical="center"/>
    </xf>
    <xf numFmtId="169" fontId="0" fillId="0" borderId="11" xfId="0" applyBorder="1" applyAlignment="1">
      <alignment horizontal="center" vertical="center" wrapText="1"/>
    </xf>
    <xf numFmtId="169" fontId="0" fillId="0" borderId="12" xfId="0" applyBorder="1">
      <alignment vertical="top"/>
    </xf>
    <xf numFmtId="170" fontId="4" fillId="0" borderId="0" xfId="5" applyFont="1">
      <alignment vertical="top"/>
    </xf>
    <xf numFmtId="169" fontId="0" fillId="0" borderId="0" xfId="0" applyAlignment="1">
      <alignment horizontal="center" vertical="top"/>
    </xf>
    <xf numFmtId="169" fontId="4" fillId="0" borderId="11" xfId="0" applyFont="1" applyBorder="1" applyAlignment="1">
      <alignment horizontal="center" vertical="top"/>
    </xf>
    <xf numFmtId="0" fontId="4" fillId="0" borderId="11" xfId="0" applyNumberFormat="1" applyFont="1" applyBorder="1" applyAlignment="1">
      <alignment horizontal="center" vertical="top" wrapText="1"/>
    </xf>
    <xf numFmtId="169" fontId="4" fillId="0" borderId="11" xfId="0" applyFont="1" applyBorder="1" applyAlignment="1">
      <alignment horizontal="center" vertical="center" wrapText="1"/>
    </xf>
    <xf numFmtId="0" fontId="4" fillId="0" borderId="11" xfId="0" applyNumberFormat="1" applyFont="1" applyBorder="1" applyAlignment="1">
      <alignment horizontal="center" vertical="center" wrapText="1"/>
    </xf>
    <xf numFmtId="169" fontId="0" fillId="8" borderId="0" xfId="0" applyFill="1" applyAlignment="1"/>
    <xf numFmtId="49" fontId="0" fillId="0" borderId="11" xfId="0" applyNumberFormat="1" applyBorder="1" applyAlignment="1">
      <alignment horizontal="center" vertical="top" wrapText="1"/>
    </xf>
    <xf numFmtId="169" fontId="0" fillId="0" borderId="12" xfId="0" applyBorder="1" applyAlignment="1">
      <alignment vertical="top" wrapText="1"/>
    </xf>
    <xf numFmtId="175" fontId="4" fillId="0" borderId="0" xfId="1" applyNumberFormat="1" applyFont="1" applyBorder="1">
      <alignment vertical="top"/>
    </xf>
    <xf numFmtId="169" fontId="38" fillId="12" borderId="0" xfId="24" applyFont="1" applyFill="1">
      <alignment vertical="top"/>
    </xf>
    <xf numFmtId="0" fontId="42" fillId="0" borderId="0" xfId="28" applyFont="1"/>
    <xf numFmtId="0" fontId="43" fillId="0" borderId="0" xfId="28" applyFont="1" applyAlignment="1">
      <alignment vertical="top"/>
    </xf>
    <xf numFmtId="0" fontId="40" fillId="0" borderId="0" xfId="28" applyFont="1" applyAlignment="1">
      <alignment vertical="top"/>
    </xf>
    <xf numFmtId="0" fontId="40" fillId="0" borderId="0" xfId="28" applyFont="1" applyAlignment="1">
      <alignment horizontal="center" vertical="top"/>
    </xf>
    <xf numFmtId="0" fontId="45" fillId="13" borderId="0" xfId="29" applyFont="1" applyFill="1" applyAlignment="1">
      <alignment vertical="center"/>
    </xf>
    <xf numFmtId="0" fontId="46" fillId="0" borderId="0" xfId="28" applyFont="1" applyAlignment="1">
      <alignment vertical="top"/>
    </xf>
    <xf numFmtId="0" fontId="47" fillId="0" borderId="0" xfId="28" applyFont="1" applyAlignment="1">
      <alignment vertical="top"/>
    </xf>
    <xf numFmtId="0" fontId="43" fillId="0" borderId="0" xfId="28" applyFont="1" applyAlignment="1">
      <alignment horizontal="centerContinuous" vertical="top"/>
    </xf>
    <xf numFmtId="0" fontId="48" fillId="0" borderId="0" xfId="28" applyFont="1" applyAlignment="1">
      <alignment horizontal="centerContinuous" vertical="top"/>
    </xf>
    <xf numFmtId="0" fontId="40" fillId="0" borderId="0" xfId="28" applyFont="1" applyAlignment="1">
      <alignment horizontal="centerContinuous" vertical="top"/>
    </xf>
    <xf numFmtId="0" fontId="43" fillId="0" borderId="0" xfId="28" applyFont="1" applyAlignment="1">
      <alignment horizontal="center" vertical="top"/>
    </xf>
    <xf numFmtId="0" fontId="46" fillId="0" borderId="0" xfId="28" applyFont="1" applyAlignment="1">
      <alignment horizontal="centerContinuous" vertical="top"/>
    </xf>
    <xf numFmtId="0" fontId="47" fillId="0" borderId="0" xfId="28" applyFont="1" applyAlignment="1">
      <alignment horizontal="centerContinuous" vertical="top"/>
    </xf>
    <xf numFmtId="0" fontId="49" fillId="3" borderId="0" xfId="28" applyFont="1" applyFill="1" applyAlignment="1">
      <alignment vertical="top"/>
    </xf>
    <xf numFmtId="0" fontId="49" fillId="3" borderId="0" xfId="28" applyFont="1" applyFill="1" applyAlignment="1">
      <alignment wrapText="1"/>
    </xf>
    <xf numFmtId="0" fontId="49" fillId="3" borderId="0" xfId="28" applyFont="1" applyFill="1" applyAlignment="1">
      <alignment horizontal="left" vertical="center" wrapText="1"/>
    </xf>
    <xf numFmtId="0" fontId="49" fillId="3" borderId="0" xfId="28" applyFont="1" applyFill="1" applyAlignment="1">
      <alignment vertical="top" wrapText="1"/>
    </xf>
    <xf numFmtId="0" fontId="42" fillId="0" borderId="0" xfId="28" applyFont="1" applyAlignment="1">
      <alignment vertical="top"/>
    </xf>
    <xf numFmtId="169" fontId="50" fillId="12" borderId="0" xfId="24" applyFont="1" applyFill="1">
      <alignment vertical="top"/>
    </xf>
    <xf numFmtId="169" fontId="51" fillId="12" borderId="0" xfId="25" applyFont="1" applyFill="1">
      <alignment vertical="top"/>
    </xf>
    <xf numFmtId="169" fontId="51" fillId="0" borderId="0" xfId="25" applyFont="1" applyFill="1">
      <alignment vertical="top"/>
    </xf>
    <xf numFmtId="169" fontId="52" fillId="0" borderId="0" xfId="25" applyFont="1" applyFill="1">
      <alignment vertical="top"/>
    </xf>
    <xf numFmtId="169" fontId="53" fillId="0" borderId="0" xfId="25" applyFont="1" applyFill="1">
      <alignment vertical="top"/>
    </xf>
    <xf numFmtId="180" fontId="51" fillId="0" borderId="0" xfId="25" applyNumberFormat="1" applyFont="1" applyFill="1" applyAlignment="1">
      <alignment horizontal="left" vertical="top"/>
    </xf>
    <xf numFmtId="169" fontId="51" fillId="0" borderId="0" xfId="25" applyFont="1" applyFill="1" applyAlignment="1">
      <alignment horizontal="left" vertical="center"/>
    </xf>
    <xf numFmtId="181" fontId="51" fillId="0" borderId="0" xfId="26" applyNumberFormat="1" applyFont="1" applyFill="1" applyAlignment="1">
      <alignment horizontal="left" vertical="top"/>
    </xf>
    <xf numFmtId="169" fontId="54" fillId="0" borderId="0" xfId="27" applyNumberFormat="1" applyFont="1" applyFill="1" applyAlignment="1">
      <alignment vertical="top"/>
    </xf>
    <xf numFmtId="169" fontId="55" fillId="0" borderId="0" xfId="24" applyFont="1" applyAlignment="1"/>
    <xf numFmtId="0" fontId="35" fillId="0" borderId="0" xfId="0" applyNumberFormat="1" applyFont="1" applyAlignment="1"/>
    <xf numFmtId="0" fontId="31" fillId="7" borderId="0" xfId="0" applyNumberFormat="1" applyFont="1" applyFill="1" applyAlignment="1"/>
    <xf numFmtId="169" fontId="8" fillId="0" borderId="0" xfId="0" applyFont="1">
      <alignment vertical="top"/>
    </xf>
    <xf numFmtId="169" fontId="56" fillId="0" borderId="0" xfId="0" applyFont="1" applyAlignment="1"/>
    <xf numFmtId="169" fontId="57" fillId="7" borderId="0" xfId="0" applyFont="1" applyFill="1" applyAlignment="1"/>
    <xf numFmtId="0" fontId="31" fillId="10" borderId="6" xfId="15" applyFont="1" applyFill="1" applyBorder="1" applyAlignment="1">
      <alignment horizontal="center" wrapText="1"/>
    </xf>
    <xf numFmtId="0" fontId="31" fillId="10" borderId="6" xfId="15" applyFont="1" applyFill="1" applyBorder="1" applyAlignment="1">
      <alignment horizontal="center"/>
    </xf>
    <xf numFmtId="0" fontId="31" fillId="11" borderId="7" xfId="15" applyFont="1" applyFill="1" applyBorder="1" applyAlignment="1">
      <alignment horizontal="center" wrapText="1"/>
    </xf>
    <xf numFmtId="0" fontId="31" fillId="11" borderId="9" xfId="15" applyFont="1" applyFill="1" applyBorder="1" applyAlignment="1">
      <alignment horizontal="center" wrapText="1"/>
    </xf>
    <xf numFmtId="169" fontId="0" fillId="0" borderId="11" xfId="0" applyBorder="1" applyAlignment="1">
      <alignment horizontal="center" vertical="top"/>
    </xf>
    <xf numFmtId="169" fontId="0" fillId="0" borderId="12" xfId="0" applyBorder="1" applyAlignment="1">
      <alignment horizontal="center" vertical="top"/>
    </xf>
    <xf numFmtId="169" fontId="0" fillId="0" borderId="11" xfId="0" applyBorder="1" applyAlignment="1">
      <alignment horizontal="center" vertical="top" wrapText="1"/>
    </xf>
    <xf numFmtId="49" fontId="4" fillId="0" borderId="11" xfId="0" applyNumberFormat="1" applyFont="1" applyBorder="1" applyAlignment="1">
      <alignment horizontal="center" vertical="center" wrapText="1"/>
    </xf>
    <xf numFmtId="49" fontId="0" fillId="0" borderId="12" xfId="0" applyNumberFormat="1" applyBorder="1" applyAlignment="1">
      <alignment horizontal="center" vertical="center" wrapText="1"/>
    </xf>
    <xf numFmtId="169" fontId="4" fillId="0" borderId="11" xfId="0" applyFont="1" applyBorder="1" applyAlignment="1">
      <alignment horizontal="center" vertical="center" wrapText="1"/>
    </xf>
    <xf numFmtId="169" fontId="0" fillId="0" borderId="12" xfId="0" applyBorder="1" applyAlignment="1">
      <alignment horizontal="center" vertical="center" wrapText="1"/>
    </xf>
    <xf numFmtId="169" fontId="0" fillId="0" borderId="12" xfId="0" applyBorder="1" applyAlignment="1">
      <alignment horizontal="center" vertical="top" wrapText="1"/>
    </xf>
    <xf numFmtId="49" fontId="0" fillId="0" borderId="11" xfId="0" applyNumberFormat="1" applyBorder="1" applyAlignment="1">
      <alignment horizontal="center" vertical="top" wrapText="1"/>
    </xf>
    <xf numFmtId="49" fontId="0" fillId="0" borderId="12" xfId="0" applyNumberFormat="1" applyBorder="1" applyAlignment="1">
      <alignment horizontal="center" vertical="top" wrapText="1"/>
    </xf>
    <xf numFmtId="169" fontId="0" fillId="0" borderId="0" xfId="0" applyBorder="1" applyAlignment="1">
      <alignment horizontal="center" vertical="top"/>
    </xf>
    <xf numFmtId="169" fontId="0" fillId="0" borderId="0" xfId="0" applyBorder="1" applyAlignment="1">
      <alignment horizontal="center" vertical="center"/>
    </xf>
    <xf numFmtId="0" fontId="4" fillId="0" borderId="11" xfId="0" applyNumberFormat="1" applyFont="1" applyBorder="1" applyAlignment="1">
      <alignment horizontal="center" vertical="center" wrapText="1"/>
    </xf>
    <xf numFmtId="0" fontId="0" fillId="0" borderId="12" xfId="0" applyNumberFormat="1" applyBorder="1" applyAlignment="1">
      <alignment horizontal="center" vertical="center" wrapText="1"/>
    </xf>
    <xf numFmtId="0" fontId="31" fillId="10" borderId="6" xfId="15" applyFont="1" applyFill="1" applyBorder="1" applyAlignment="1">
      <alignment horizontal="center" vertical="center"/>
    </xf>
  </cellXfs>
  <cellStyles count="30">
    <cellStyle name="Bad 2" xfId="20" xr:uid="{C6395FD9-73BF-4FB5-AE1C-92D16034BAAA}"/>
    <cellStyle name="Comma" xfId="1" builtinId="3"/>
    <cellStyle name="Comma [0]" xfId="6" builtinId="6" hidden="1"/>
    <cellStyle name="Comma 2" xfId="21" xr:uid="{6F64E8E2-3512-45DE-9117-FACC098F47D2}"/>
    <cellStyle name="Comma 3" xfId="19" xr:uid="{BEE26518-FC50-4B7F-A51B-A6D5345E9275}"/>
    <cellStyle name="Comma 4" xfId="22" xr:uid="{4A434ABD-1B30-4B91-BD10-E8A3AB1B8936}"/>
    <cellStyle name="Currency" xfId="7" builtinId="4" hidden="1"/>
    <cellStyle name="Currency [0]" xfId="8" builtinId="7" hidden="1"/>
    <cellStyle name="DateLong" xfId="2" xr:uid="{00000000-0005-0000-0000-000004000000}"/>
    <cellStyle name="DateShort" xfId="3" xr:uid="{00000000-0005-0000-0000-000005000000}"/>
    <cellStyle name="Factor" xfId="4" xr:uid="{00000000-0005-0000-0000-000006000000}"/>
    <cellStyle name="Hyperlink 2" xfId="27" xr:uid="{4379638F-1BCF-419D-9514-090212AD904D}"/>
    <cellStyle name="Normal" xfId="0" builtinId="0" customBuiltin="1"/>
    <cellStyle name="Normal 2" xfId="10" xr:uid="{00000000-0005-0000-0000-000008000000}"/>
    <cellStyle name="Normal 2 2" xfId="15" xr:uid="{92CB93CD-89A1-4B9D-B091-9FB88C569441}"/>
    <cellStyle name="Normal 2 2 2" xfId="18" xr:uid="{E1D77F0C-B511-4D52-BAD3-CE382FA591F3}"/>
    <cellStyle name="Normal 2 3" xfId="14" xr:uid="{B7613709-B488-45F7-9C19-B2C97C66F9CA}"/>
    <cellStyle name="Normal 2 4" xfId="25" xr:uid="{F3995459-62FE-4555-B38A-496B5B45CE78}"/>
    <cellStyle name="Normal 3" xfId="11" xr:uid="{3386F844-D6DB-413C-B5CA-A480F242DB16}"/>
    <cellStyle name="Normal 3 2" xfId="17" xr:uid="{DE1C16FC-29AD-4D5B-8309-E86466D40C85}"/>
    <cellStyle name="Normal 4" xfId="12" xr:uid="{13D01F4B-A0AF-4CE4-9895-A22DE9DE5FC7}"/>
    <cellStyle name="Normal 5" xfId="23" xr:uid="{55E6679F-86DE-44B7-B01D-92029CABF375}"/>
    <cellStyle name="Normal 6" xfId="24" xr:uid="{29869CE3-DA21-47B8-9390-1B1AE8CAE0E1}"/>
    <cellStyle name="Normal 7" xfId="29" xr:uid="{A05013DD-5A3E-457B-BA03-27E8403113F8}"/>
    <cellStyle name="Normal 8" xfId="28" xr:uid="{15F3CF5A-A036-46B0-8DFB-5CFE3136C948}"/>
    <cellStyle name="Per cent" xfId="5" builtinId="5" customBuiltin="1"/>
    <cellStyle name="Percent 2" xfId="16" xr:uid="{51D0C3FF-A54D-452B-B327-7403FA77F2E2}"/>
    <cellStyle name="Percent 3" xfId="13" xr:uid="{AB5C738F-F0CF-4311-B032-3FD89B1EE4DF}"/>
    <cellStyle name="Year" xfId="9" xr:uid="{00000000-0005-0000-0000-00000A000000}"/>
    <cellStyle name="Year 2" xfId="26" xr:uid="{F1D27AB9-955D-449C-AD9F-496ABCEF27D5}"/>
  </cellStyles>
  <dxfs count="236">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0" tint="-4.9989318521683403E-2"/>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5"/>
        </patternFill>
      </fill>
    </dxf>
    <dxf>
      <fill>
        <patternFill>
          <bgColor theme="5"/>
        </patternFill>
      </fill>
    </dxf>
    <dxf>
      <fill>
        <patternFill>
          <bgColor indexed="51"/>
        </patternFill>
      </fill>
    </dxf>
    <dxf>
      <fill>
        <patternFill>
          <bgColor indexed="51"/>
        </patternFill>
      </fill>
    </dxf>
    <dxf>
      <fill>
        <patternFill>
          <bgColor theme="8"/>
        </patternFill>
      </fill>
    </dxf>
    <dxf>
      <fill>
        <patternFill>
          <bgColor theme="7" tint="0.39994506668294322"/>
        </patternFill>
      </fill>
    </dxf>
    <dxf>
      <fill>
        <patternFill>
          <bgColor indexed="47"/>
        </patternFill>
      </fill>
    </dxf>
    <dxf>
      <fill>
        <patternFill>
          <bgColor indexed="44"/>
        </patternFill>
      </fill>
    </dxf>
    <dxf>
      <fill>
        <patternFill>
          <bgColor theme="9" tint="-0.24994659260841701"/>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9" tint="-0.24994659260841701"/>
        </patternFill>
      </fill>
    </dxf>
    <dxf>
      <fill>
        <patternFill>
          <bgColor theme="8"/>
        </patternFill>
      </fill>
    </dxf>
    <dxf>
      <fill>
        <patternFill>
          <bgColor indexed="44"/>
        </patternFill>
      </fill>
    </dxf>
    <dxf>
      <fill>
        <patternFill>
          <bgColor indexed="47"/>
        </patternFill>
      </fill>
    </dxf>
    <dxf>
      <fill>
        <patternFill>
          <bgColor theme="7" tint="0.3999450666829432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indexed="44"/>
        </patternFill>
      </fill>
    </dxf>
    <dxf>
      <fill>
        <patternFill>
          <bgColor theme="5"/>
        </patternFill>
      </fill>
    </dxf>
    <dxf>
      <fill>
        <patternFill>
          <bgColor theme="5"/>
        </patternFill>
      </fill>
    </dxf>
    <dxf>
      <fill>
        <patternFill>
          <bgColor indexed="51"/>
        </patternFill>
      </fill>
    </dxf>
    <dxf>
      <fill>
        <patternFill>
          <bgColor indexed="51"/>
        </patternFill>
      </fill>
    </dxf>
    <dxf>
      <fill>
        <patternFill>
          <bgColor theme="8"/>
        </patternFill>
      </fill>
    </dxf>
    <dxf>
      <fill>
        <patternFill>
          <bgColor theme="7" tint="0.39994506668294322"/>
        </patternFill>
      </fill>
    </dxf>
    <dxf>
      <fill>
        <patternFill>
          <bgColor indexed="47"/>
        </patternFill>
      </fill>
    </dxf>
    <dxf>
      <fill>
        <patternFill>
          <bgColor indexed="44"/>
        </patternFill>
      </fill>
    </dxf>
    <dxf>
      <fill>
        <patternFill>
          <bgColor theme="9" tint="-0.24994659260841701"/>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9" tint="-0.24994659260841701"/>
        </patternFill>
      </fill>
    </dxf>
    <dxf>
      <fill>
        <patternFill>
          <bgColor theme="8"/>
        </patternFill>
      </fill>
    </dxf>
    <dxf>
      <fill>
        <patternFill>
          <bgColor indexed="44"/>
        </patternFill>
      </fill>
    </dxf>
    <dxf>
      <fill>
        <patternFill>
          <bgColor indexed="47"/>
        </patternFill>
      </fill>
    </dxf>
    <dxf>
      <fill>
        <patternFill>
          <bgColor theme="7" tint="0.3999450666829432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indexed="44"/>
        </patternFill>
      </fill>
    </dxf>
    <dxf>
      <fill>
        <patternFill>
          <bgColor theme="5"/>
        </patternFill>
      </fill>
    </dxf>
    <dxf>
      <fill>
        <patternFill>
          <bgColor theme="5"/>
        </patternFill>
      </fill>
    </dxf>
    <dxf>
      <fill>
        <patternFill>
          <bgColor indexed="51"/>
        </patternFill>
      </fill>
    </dxf>
    <dxf>
      <fill>
        <patternFill>
          <bgColor indexed="51"/>
        </patternFill>
      </fill>
    </dxf>
    <dxf>
      <font>
        <strike/>
      </font>
    </dxf>
    <dxf>
      <font>
        <strike/>
      </font>
    </dxf>
    <dxf>
      <font>
        <strike/>
      </font>
    </dxf>
    <dxf>
      <font>
        <strike/>
      </font>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ont>
        <strike/>
      </font>
    </dxf>
    <dxf>
      <font>
        <strike/>
      </font>
    </dxf>
    <dxf>
      <fill>
        <patternFill>
          <bgColor theme="0" tint="-4.9989318521683403E-2"/>
        </patternFill>
      </fill>
    </dxf>
    <dxf>
      <font>
        <strike/>
      </font>
    </dxf>
    <dxf>
      <fill>
        <patternFill>
          <bgColor theme="0" tint="-4.9989318521683403E-2"/>
        </patternFill>
      </fill>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5"/>
        </patternFill>
      </fill>
    </dxf>
    <dxf>
      <fill>
        <patternFill>
          <bgColor theme="5"/>
        </patternFill>
      </fill>
    </dxf>
    <dxf>
      <fill>
        <patternFill>
          <bgColor indexed="51"/>
        </patternFill>
      </fill>
    </dxf>
    <dxf>
      <fill>
        <patternFill>
          <bgColor indexed="51"/>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0" tint="-4.9989318521683403E-2"/>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5"/>
        </patternFill>
      </fill>
    </dxf>
    <dxf>
      <fill>
        <patternFill>
          <bgColor theme="5"/>
        </patternFill>
      </fill>
    </dxf>
    <dxf>
      <fill>
        <patternFill>
          <bgColor indexed="51"/>
        </patternFill>
      </fill>
    </dxf>
    <dxf>
      <fill>
        <patternFill>
          <bgColor indexed="51"/>
        </patternFill>
      </fill>
    </dxf>
    <dxf>
      <font>
        <strike/>
      </font>
    </dxf>
    <dxf>
      <font>
        <strike/>
      </font>
    </dxf>
    <dxf>
      <font>
        <strike/>
      </font>
    </dxf>
    <dxf>
      <font>
        <strike/>
      </font>
    </dxf>
    <dxf>
      <font>
        <strike/>
      </font>
    </dxf>
    <dxf>
      <font>
        <strike/>
      </font>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ont>
        <strike/>
      </font>
    </dxf>
    <dxf>
      <font>
        <strike/>
      </font>
    </dxf>
    <dxf>
      <fill>
        <patternFill>
          <bgColor theme="0" tint="-4.9989318521683403E-2"/>
        </patternFill>
      </fill>
    </dxf>
    <dxf>
      <font>
        <strike/>
      </font>
    </dxf>
    <dxf>
      <fill>
        <patternFill>
          <bgColor theme="0" tint="-4.9989318521683403E-2"/>
        </patternFill>
      </fill>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5"/>
        </patternFill>
      </fill>
    </dxf>
    <dxf>
      <fill>
        <patternFill>
          <bgColor theme="5"/>
        </patternFill>
      </fill>
    </dxf>
    <dxf>
      <fill>
        <patternFill>
          <bgColor indexed="51"/>
        </patternFill>
      </fill>
    </dxf>
    <dxf>
      <fill>
        <patternFill>
          <bgColor indexed="51"/>
        </patternFill>
      </fill>
    </dxf>
    <dxf>
      <font>
        <strike/>
      </font>
    </dxf>
    <dxf>
      <font>
        <strike/>
      </font>
    </dxf>
    <dxf>
      <font>
        <strike/>
      </font>
    </dxf>
    <dxf>
      <font>
        <strike/>
      </font>
    </dxf>
    <dxf>
      <font>
        <strike/>
      </font>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ont>
        <strike/>
      </font>
    </dxf>
    <dxf>
      <font>
        <strike/>
      </font>
    </dxf>
    <dxf>
      <fill>
        <patternFill>
          <bgColor theme="0" tint="-4.9989318521683403E-2"/>
        </patternFill>
      </fill>
    </dxf>
    <dxf>
      <font>
        <strike/>
      </font>
    </dxf>
    <dxf>
      <fill>
        <patternFill>
          <bgColor theme="0" tint="-4.9989318521683403E-2"/>
        </patternFill>
      </fill>
    </dxf>
    <dxf>
      <font>
        <strike/>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ill>
        <patternFill>
          <bgColor theme="0" tint="-4.9989318521683403E-2"/>
        </patternFill>
      </fill>
    </dxf>
    <dxf>
      <fill>
        <patternFill>
          <bgColor theme="5"/>
        </patternFill>
      </fill>
    </dxf>
    <dxf>
      <fill>
        <patternFill>
          <bgColor theme="5"/>
        </patternFill>
      </fill>
    </dxf>
    <dxf>
      <fill>
        <patternFill>
          <bgColor indexed="51"/>
        </patternFill>
      </fill>
    </dxf>
    <dxf>
      <fill>
        <patternFill>
          <bgColor indexed="51"/>
        </patternFill>
      </fill>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font>
        <color rgb="FFFFCC00"/>
      </font>
    </dxf>
    <dxf>
      <font>
        <color rgb="FFFFC000"/>
      </font>
      <fill>
        <patternFill>
          <bgColor rgb="FFFFC000"/>
        </patternFill>
      </fill>
    </dxf>
    <dxf>
      <font>
        <color rgb="FFFFCC00"/>
      </font>
    </dxf>
    <dxf>
      <fill>
        <patternFill>
          <bgColor indexed="44"/>
        </patternFill>
      </fill>
    </dxf>
    <dxf>
      <fill>
        <patternFill>
          <bgColor indexed="47"/>
        </patternFill>
      </fill>
    </dxf>
    <dxf>
      <fill>
        <patternFill>
          <bgColor theme="7" tint="0.39994506668294322"/>
        </patternFill>
      </fill>
    </dxf>
    <dxf>
      <fill>
        <patternFill>
          <bgColor theme="9" tint="-0.24994659260841701"/>
        </patternFill>
      </fill>
    </dxf>
    <dxf>
      <fill>
        <patternFill>
          <bgColor theme="8"/>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numFmt numFmtId="176" formatCode="#,##0.000"/>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ill>
        <patternFill patternType="solid">
          <fgColor indexed="64"/>
          <bgColor rgb="FFFFFFE0"/>
        </patternFill>
      </fill>
    </dxf>
    <dxf>
      <font>
        <b/>
        <i val="0"/>
        <strike val="0"/>
        <condense val="0"/>
        <extend val="0"/>
        <outline val="0"/>
        <shadow val="0"/>
        <u val="none"/>
        <vertAlign val="baseline"/>
        <sz val="11"/>
        <color auto="1"/>
        <name val="Calibri"/>
        <family val="2"/>
        <scheme val="none"/>
      </font>
      <fill>
        <patternFill patternType="solid">
          <fgColor indexed="64"/>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AEAEA"/>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AEAEA"/>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DB8E"/>
      <color rgb="FFCCCCCE"/>
      <color rgb="FF98C561"/>
      <color rgb="FFFFFFAF"/>
      <color rgb="FFFFFF99"/>
      <color rgb="FFE9F5DB"/>
      <color rgb="FFDDF0C8"/>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619941</xdr:colOff>
      <xdr:row>13</xdr:row>
      <xdr:rowOff>74839</xdr:rowOff>
    </xdr:from>
    <xdr:to>
      <xdr:col>8</xdr:col>
      <xdr:colOff>519620</xdr:colOff>
      <xdr:row>108</xdr:row>
      <xdr:rowOff>57151</xdr:rowOff>
    </xdr:to>
    <xdr:sp macro="" textlink="">
      <xdr:nvSpPr>
        <xdr:cNvPr id="2" name="TextBox 2">
          <a:extLst>
            <a:ext uri="{FF2B5EF4-FFF2-40B4-BE49-F238E27FC236}">
              <a16:creationId xmlns:a16="http://schemas.microsoft.com/office/drawing/2014/main" id="{77E39F4E-6797-4FCF-90F4-1EDA94433D32}"/>
            </a:ext>
          </a:extLst>
        </xdr:cNvPr>
        <xdr:cNvSpPr txBox="1"/>
      </xdr:nvSpPr>
      <xdr:spPr>
        <a:xfrm>
          <a:off x="619941" y="2389414"/>
          <a:ext cx="9662804" cy="13222061"/>
        </a:xfrm>
        <a:prstGeom prst="rect">
          <a:avLst/>
        </a:prstGeom>
        <a:noFill/>
        <a:ln>
          <a:noFill/>
        </a:ln>
      </xdr:spPr>
      <xdr:txBody>
        <a:bodyPr lIns="27432" tIns="22860" rIns="0" bIns="0" rtlCol="0"/>
        <a:lstStyle/>
        <a:p>
          <a:pPr algn="l"/>
          <a:r>
            <a:rPr lang="en-US" sz="1100" b="1">
              <a:latin typeface="Krub" panose="00000500000000000000" pitchFamily="2" charset="-34"/>
              <a:cs typeface="Krub" panose="00000500000000000000" pitchFamily="2" charset="-34"/>
            </a:rPr>
            <a:t>Summary of the model:</a:t>
          </a:r>
          <a:endParaRPr lang="en-US" sz="1100">
            <a:latin typeface="Krub" panose="00000500000000000000" pitchFamily="2" charset="-34"/>
            <a:cs typeface="Krub" panose="00000500000000000000" pitchFamily="2" charset="-34"/>
          </a:endParaRPr>
        </a:p>
        <a:p>
          <a:pPr algn="l"/>
          <a:endParaRPr lang="en-US" sz="1000" b="1">
            <a:solidFill>
              <a:srgbClr val="000000"/>
            </a:solidFill>
            <a:latin typeface="Krub" panose="00000500000000000000" pitchFamily="2" charset="-34"/>
            <a:cs typeface="Krub" panose="00000500000000000000" pitchFamily="2" charset="-34"/>
          </a:endParaRPr>
        </a:p>
        <a:p>
          <a:pPr algn="l"/>
          <a:r>
            <a:rPr lang="en-US" sz="1000">
              <a:latin typeface="Krub" panose="00000500000000000000" pitchFamily="2" charset="-34"/>
              <a:cs typeface="Krub" panose="00000500000000000000" pitchFamily="2" charset="-34"/>
            </a:rPr>
            <a:t>This model calculates</a:t>
          </a:r>
          <a:r>
            <a:rPr lang="en-US" sz="1000" baseline="0">
              <a:latin typeface="Krub" panose="00000500000000000000" pitchFamily="2" charset="-34"/>
              <a:cs typeface="Krub" panose="00000500000000000000" pitchFamily="2" charset="-34"/>
            </a:rPr>
            <a:t> companies' cost allowances for the Traffic Management Act and lane rental schemes in the 2025-30 period.</a:t>
          </a:r>
        </a:p>
        <a:p>
          <a:pPr algn="l"/>
          <a:endParaRPr lang="en-US" sz="1000" baseline="0">
            <a:latin typeface="Krub" panose="00000500000000000000" pitchFamily="2" charset="-34"/>
            <a:cs typeface="Krub" panose="00000500000000000000" pitchFamily="2" charset="-34"/>
          </a:endParaRPr>
        </a:p>
        <a:p>
          <a:pPr algn="l"/>
          <a:r>
            <a:rPr lang="en-US" sz="1000" baseline="0">
              <a:latin typeface="Krub" panose="00000500000000000000" pitchFamily="2" charset="-34"/>
              <a:cs typeface="Krub" panose="00000500000000000000" pitchFamily="2" charset="-34"/>
            </a:rPr>
            <a:t>Inputs:</a:t>
          </a:r>
        </a:p>
        <a:p>
          <a:pPr algn="l"/>
          <a:r>
            <a:rPr lang="en-US" sz="1000" baseline="0">
              <a:latin typeface="Krub" panose="00000500000000000000" pitchFamily="2" charset="-34"/>
              <a:cs typeface="Krub" panose="00000500000000000000" pitchFamily="2" charset="-34"/>
            </a:rPr>
            <a:t>Actual TMA and LRS costs from companies' APR from 2020-21 to 2022-23.</a:t>
          </a:r>
        </a:p>
        <a:p>
          <a:pPr algn="l"/>
          <a:r>
            <a:rPr lang="en-US" sz="1000" baseline="0">
              <a:latin typeface="Krub" panose="00000500000000000000" pitchFamily="2" charset="-34"/>
              <a:cs typeface="Krub" panose="00000500000000000000" pitchFamily="2" charset="-34"/>
            </a:rPr>
            <a:t>Forecast TMA and LRS costs from companies' PR24 business plans from 2023-24 to 2029-30.</a:t>
          </a:r>
        </a:p>
        <a:p>
          <a:pPr algn="l"/>
          <a:r>
            <a:rPr lang="en-US" sz="1000" baseline="0">
              <a:latin typeface="Krub" panose="00000500000000000000" pitchFamily="2" charset="-34"/>
              <a:cs typeface="Krub" panose="00000500000000000000" pitchFamily="2" charset="-34"/>
            </a:rPr>
            <a:t>Company specific base costs shallow dive efficiency challenge.</a:t>
          </a:r>
        </a:p>
        <a:p>
          <a:pPr algn="l"/>
          <a:endParaRPr lang="en-US" sz="1000" baseline="0">
            <a:latin typeface="Krub" panose="00000500000000000000" pitchFamily="2" charset="-34"/>
            <a:cs typeface="Krub" panose="00000500000000000000" pitchFamily="2" charset="-34"/>
          </a:endParaRPr>
        </a:p>
        <a:p>
          <a:pPr algn="l"/>
          <a:r>
            <a:rPr lang="en-US" sz="1000" baseline="0">
              <a:latin typeface="Krub" panose="00000500000000000000" pitchFamily="2" charset="-34"/>
              <a:cs typeface="Krub" panose="00000500000000000000" pitchFamily="2" charset="-34"/>
            </a:rPr>
            <a:t>Outputs:</a:t>
          </a:r>
        </a:p>
        <a:p>
          <a:pPr algn="l"/>
          <a:r>
            <a:rPr lang="en-US" sz="1000" baseline="0">
              <a:latin typeface="Krub" panose="00000500000000000000" pitchFamily="2" charset="-34"/>
              <a:cs typeface="Krub" panose="00000500000000000000" pitchFamily="2" charset="-34"/>
            </a:rPr>
            <a:t>Annual allowances for TMA and LRS costs for 2025-30.</a:t>
          </a:r>
          <a:endParaRPr lang="en-US" sz="1000">
            <a:latin typeface="Krub" panose="00000500000000000000" pitchFamily="2" charset="-34"/>
            <a:cs typeface="Krub" panose="00000500000000000000" pitchFamily="2" charset="-34"/>
          </a:endParaRPr>
        </a:p>
        <a:p>
          <a:pPr algn="l"/>
          <a:endParaRPr lang="en-US" sz="1000">
            <a:latin typeface="Krub" panose="00000500000000000000" pitchFamily="2" charset="-34"/>
            <a:cs typeface="Krub" panose="00000500000000000000" pitchFamily="2" charset="-34"/>
          </a:endParaRPr>
        </a:p>
        <a:p>
          <a:pPr algn="l"/>
          <a:r>
            <a:rPr lang="en-US" sz="1100" b="1">
              <a:latin typeface="Krub" panose="00000500000000000000" pitchFamily="2" charset="-34"/>
              <a:cs typeface="Krub" panose="00000500000000000000" pitchFamily="2" charset="-34"/>
            </a:rPr>
            <a:t>Quality assurance: </a:t>
          </a:r>
        </a:p>
        <a:p>
          <a:pPr algn="l"/>
          <a:endParaRPr lang="en-US" sz="1100" b="1">
            <a:latin typeface="Krub" panose="00000500000000000000" pitchFamily="2" charset="-34"/>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0">
              <a:effectLst/>
              <a:latin typeface="Krub" panose="00000500000000000000" pitchFamily="2" charset="-34"/>
              <a:ea typeface="+mn-ea"/>
              <a:cs typeface="Krub" panose="00000500000000000000" pitchFamily="2" charset="-34"/>
            </a:rPr>
            <a:t>This model has been subject to Ofwat internal quality</a:t>
          </a:r>
          <a:r>
            <a:rPr lang="en-US" sz="1000" b="0" baseline="0">
              <a:effectLst/>
              <a:latin typeface="Krub" panose="00000500000000000000" pitchFamily="2" charset="-34"/>
              <a:ea typeface="+mn-ea"/>
              <a:cs typeface="Krub" panose="00000500000000000000" pitchFamily="2" charset="-34"/>
            </a:rPr>
            <a:t> assurance and has been subject to external review.</a:t>
          </a:r>
          <a:endParaRPr lang="en-GB" sz="1000">
            <a:effectLst/>
            <a:latin typeface="Krub" panose="00000500000000000000" pitchFamily="2" charset="-34"/>
            <a:cs typeface="Krub" panose="00000500000000000000" pitchFamily="2" charset="-34"/>
          </a:endParaRPr>
        </a:p>
        <a:p>
          <a:pPr algn="l"/>
          <a:endParaRPr lang="en-US" sz="1100" b="1">
            <a:latin typeface="Krub" panose="00000500000000000000" pitchFamily="2" charset="-34"/>
            <a:cs typeface="Krub" panose="00000500000000000000" pitchFamily="2" charset="-34"/>
          </a:endParaRPr>
        </a:p>
        <a:p>
          <a:pPr algn="l"/>
          <a:r>
            <a:rPr lang="en-US" sz="1000">
              <a:latin typeface="Krub" panose="00000500000000000000" pitchFamily="2" charset="-34"/>
              <a:cs typeface="Krub" panose="00000500000000000000" pitchFamily="2" charset="-34"/>
            </a:rPr>
            <a:t>  </a:t>
          </a:r>
          <a:endParaRPr lang="en-US" sz="1000" b="1">
            <a:solidFill>
              <a:srgbClr val="000000"/>
            </a:solidFill>
            <a:latin typeface="Krub" panose="00000500000000000000" pitchFamily="2" charset="-34"/>
            <a:cs typeface="Krub" panose="00000500000000000000" pitchFamily="2" charset="-34"/>
          </a:endParaRPr>
        </a:p>
        <a:p>
          <a:pPr algn="l"/>
          <a:r>
            <a:rPr lang="en-US" sz="1100" b="1">
              <a:solidFill>
                <a:srgbClr val="000000"/>
              </a:solidFill>
              <a:latin typeface="Krub" panose="00000500000000000000" pitchFamily="2" charset="-34"/>
              <a:cs typeface="Krub" panose="00000500000000000000" pitchFamily="2" charset="-34"/>
            </a:rPr>
            <a:t>Disclaimer:</a:t>
          </a:r>
        </a:p>
        <a:p>
          <a:pPr algn="l"/>
          <a:endParaRPr lang="en-US" sz="1000">
            <a:solidFill>
              <a:srgbClr val="000000"/>
            </a:solidFill>
            <a:latin typeface="Krub" panose="00000500000000000000" pitchFamily="2" charset="-34"/>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00" i="0">
              <a:effectLst/>
              <a:latin typeface="Krub" panose="00000500000000000000" pitchFamily="2" charset="-34"/>
              <a:ea typeface="+mn-ea"/>
              <a:cs typeface="Krub" panose="00000500000000000000" pitchFamily="2" charset="-34"/>
            </a:rPr>
            <a:t>This model is part of our final determinations setting out the price, service, and incentive package for water companies for the period 2025-30. It should be read together with the other documents and information that we have now published.</a:t>
          </a:r>
          <a:endParaRPr lang="en-GB" sz="1000">
            <a:effectLst/>
            <a:latin typeface="Krub" panose="00000500000000000000" pitchFamily="2" charset="-34"/>
            <a:cs typeface="Krub" panose="00000500000000000000" pitchFamily="2" charset="-34"/>
          </a:endParaRPr>
        </a:p>
        <a:p>
          <a:pPr algn="l"/>
          <a:endParaRPr lang="en-US" sz="1000">
            <a:solidFill>
              <a:srgbClr val="000000"/>
            </a:solidFill>
            <a:latin typeface="Krub" panose="00000500000000000000" pitchFamily="2" charset="-34"/>
            <a:cs typeface="Krub" panose="00000500000000000000" pitchFamily="2" charset="-34"/>
          </a:endParaRPr>
        </a:p>
      </xdr:txBody>
    </xdr:sp>
    <xdr:clientData/>
  </xdr:twoCellAnchor>
  <xdr:twoCellAnchor editAs="oneCell">
    <xdr:from>
      <xdr:col>6</xdr:col>
      <xdr:colOff>514351</xdr:colOff>
      <xdr:row>1</xdr:row>
      <xdr:rowOff>9524</xdr:rowOff>
    </xdr:from>
    <xdr:to>
      <xdr:col>9</xdr:col>
      <xdr:colOff>343348</xdr:colOff>
      <xdr:row>3</xdr:row>
      <xdr:rowOff>200563</xdr:rowOff>
    </xdr:to>
    <xdr:pic>
      <xdr:nvPicPr>
        <xdr:cNvPr id="3" name="Picture 2">
          <a:extLst>
            <a:ext uri="{FF2B5EF4-FFF2-40B4-BE49-F238E27FC236}">
              <a16:creationId xmlns:a16="http://schemas.microsoft.com/office/drawing/2014/main" id="{D7B7ECD4-A82D-4063-86B3-502D6B0428FA}"/>
            </a:ext>
          </a:extLst>
        </xdr:cNvPr>
        <xdr:cNvPicPr>
          <a:picLocks noChangeAspect="1"/>
        </xdr:cNvPicPr>
      </xdr:nvPicPr>
      <xdr:blipFill>
        <a:blip xmlns:r="http://schemas.openxmlformats.org/officeDocument/2006/relationships" r:embed="rId1"/>
        <a:stretch>
          <a:fillRect/>
        </a:stretch>
      </xdr:blipFill>
      <xdr:spPr>
        <a:xfrm>
          <a:off x="8943976" y="409574"/>
          <a:ext cx="1829247" cy="87922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495300</xdr:colOff>
      <xdr:row>17</xdr:row>
      <xdr:rowOff>61912</xdr:rowOff>
    </xdr:from>
    <xdr:to>
      <xdr:col>7</xdr:col>
      <xdr:colOff>1496100</xdr:colOff>
      <xdr:row>21</xdr:row>
      <xdr:rowOff>42862</xdr:rowOff>
    </xdr:to>
    <xdr:sp macro="" textlink="">
      <xdr:nvSpPr>
        <xdr:cNvPr id="2" name="Rectangle 1">
          <a:extLst>
            <a:ext uri="{FF2B5EF4-FFF2-40B4-BE49-F238E27FC236}">
              <a16:creationId xmlns:a16="http://schemas.microsoft.com/office/drawing/2014/main" id="{EEF60E86-F7FC-45F9-8325-CD224E7C20B1}"/>
            </a:ext>
          </a:extLst>
        </xdr:cNvPr>
        <xdr:cNvSpPr/>
      </xdr:nvSpPr>
      <xdr:spPr>
        <a:xfrm>
          <a:off x="1666875" y="3052762"/>
          <a:ext cx="1000800" cy="62865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InpC</a:t>
          </a:r>
        </a:p>
      </xdr:txBody>
    </xdr:sp>
    <xdr:clientData/>
  </xdr:twoCellAnchor>
  <xdr:twoCellAnchor>
    <xdr:from>
      <xdr:col>7</xdr:col>
      <xdr:colOff>495300</xdr:colOff>
      <xdr:row>24</xdr:row>
      <xdr:rowOff>38100</xdr:rowOff>
    </xdr:from>
    <xdr:to>
      <xdr:col>7</xdr:col>
      <xdr:colOff>1496100</xdr:colOff>
      <xdr:row>28</xdr:row>
      <xdr:rowOff>19050</xdr:rowOff>
    </xdr:to>
    <xdr:sp macro="" textlink="">
      <xdr:nvSpPr>
        <xdr:cNvPr id="3" name="Rectangle 2">
          <a:extLst>
            <a:ext uri="{FF2B5EF4-FFF2-40B4-BE49-F238E27FC236}">
              <a16:creationId xmlns:a16="http://schemas.microsoft.com/office/drawing/2014/main" id="{FED54817-86CA-4605-A1B5-0D4BA0AB5193}"/>
            </a:ext>
          </a:extLst>
        </xdr:cNvPr>
        <xdr:cNvSpPr/>
      </xdr:nvSpPr>
      <xdr:spPr>
        <a:xfrm>
          <a:off x="1666875" y="4162425"/>
          <a:ext cx="1000800" cy="62865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InpT</a:t>
          </a:r>
        </a:p>
      </xdr:txBody>
    </xdr:sp>
    <xdr:clientData/>
  </xdr:twoCellAnchor>
  <xdr:twoCellAnchor>
    <xdr:from>
      <xdr:col>2</xdr:col>
      <xdr:colOff>9525</xdr:colOff>
      <xdr:row>8</xdr:row>
      <xdr:rowOff>133350</xdr:rowOff>
    </xdr:from>
    <xdr:to>
      <xdr:col>7</xdr:col>
      <xdr:colOff>67350</xdr:colOff>
      <xdr:row>12</xdr:row>
      <xdr:rowOff>114300</xdr:rowOff>
    </xdr:to>
    <xdr:sp macro="" textlink="">
      <xdr:nvSpPr>
        <xdr:cNvPr id="4" name="Rectangle 3">
          <a:extLst>
            <a:ext uri="{FF2B5EF4-FFF2-40B4-BE49-F238E27FC236}">
              <a16:creationId xmlns:a16="http://schemas.microsoft.com/office/drawing/2014/main" id="{51B672DA-9F26-41FC-B7C3-25081229761C}"/>
            </a:ext>
          </a:extLst>
        </xdr:cNvPr>
        <xdr:cNvSpPr/>
      </xdr:nvSpPr>
      <xdr:spPr>
        <a:xfrm>
          <a:off x="238125" y="1666875"/>
          <a:ext cx="1000800" cy="62865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F_Inputs_BP</a:t>
          </a:r>
        </a:p>
      </xdr:txBody>
    </xdr:sp>
    <xdr:clientData/>
  </xdr:twoCellAnchor>
  <xdr:twoCellAnchor>
    <xdr:from>
      <xdr:col>7</xdr:col>
      <xdr:colOff>495300</xdr:colOff>
      <xdr:row>11</xdr:row>
      <xdr:rowOff>85725</xdr:rowOff>
    </xdr:from>
    <xdr:to>
      <xdr:col>7</xdr:col>
      <xdr:colOff>1496100</xdr:colOff>
      <xdr:row>15</xdr:row>
      <xdr:rowOff>66675</xdr:rowOff>
    </xdr:to>
    <xdr:sp macro="" textlink="">
      <xdr:nvSpPr>
        <xdr:cNvPr id="5" name="Rectangle 4">
          <a:extLst>
            <a:ext uri="{FF2B5EF4-FFF2-40B4-BE49-F238E27FC236}">
              <a16:creationId xmlns:a16="http://schemas.microsoft.com/office/drawing/2014/main" id="{ABF7E2DA-5F3F-4E55-99B2-C91B69031C58}"/>
            </a:ext>
          </a:extLst>
        </xdr:cNvPr>
        <xdr:cNvSpPr/>
      </xdr:nvSpPr>
      <xdr:spPr>
        <a:xfrm>
          <a:off x="1666875" y="2105025"/>
          <a:ext cx="1000800" cy="62865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Consolidated Input</a:t>
          </a:r>
        </a:p>
      </xdr:txBody>
    </xdr:sp>
    <xdr:clientData/>
  </xdr:twoCellAnchor>
  <xdr:twoCellAnchor>
    <xdr:from>
      <xdr:col>2</xdr:col>
      <xdr:colOff>9525</xdr:colOff>
      <xdr:row>14</xdr:row>
      <xdr:rowOff>71437</xdr:rowOff>
    </xdr:from>
    <xdr:to>
      <xdr:col>7</xdr:col>
      <xdr:colOff>67350</xdr:colOff>
      <xdr:row>18</xdr:row>
      <xdr:rowOff>52387</xdr:rowOff>
    </xdr:to>
    <xdr:sp macro="" textlink="">
      <xdr:nvSpPr>
        <xdr:cNvPr id="6" name="Rectangle 5">
          <a:extLst>
            <a:ext uri="{FF2B5EF4-FFF2-40B4-BE49-F238E27FC236}">
              <a16:creationId xmlns:a16="http://schemas.microsoft.com/office/drawing/2014/main" id="{6876E351-E5D5-404B-A050-1EFDC51C24DC}"/>
            </a:ext>
          </a:extLst>
        </xdr:cNvPr>
        <xdr:cNvSpPr/>
      </xdr:nvSpPr>
      <xdr:spPr>
        <a:xfrm>
          <a:off x="238125" y="2576512"/>
          <a:ext cx="1000800" cy="62865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F_Inputs_APR</a:t>
          </a:r>
        </a:p>
      </xdr:txBody>
    </xdr:sp>
    <xdr:clientData/>
  </xdr:twoCellAnchor>
  <xdr:twoCellAnchor>
    <xdr:from>
      <xdr:col>7</xdr:col>
      <xdr:colOff>2171700</xdr:colOff>
      <xdr:row>11</xdr:row>
      <xdr:rowOff>85725</xdr:rowOff>
    </xdr:from>
    <xdr:to>
      <xdr:col>11</xdr:col>
      <xdr:colOff>172125</xdr:colOff>
      <xdr:row>15</xdr:row>
      <xdr:rowOff>66675</xdr:rowOff>
    </xdr:to>
    <xdr:sp macro="" textlink="">
      <xdr:nvSpPr>
        <xdr:cNvPr id="7" name="Rectangle 6">
          <a:extLst>
            <a:ext uri="{FF2B5EF4-FFF2-40B4-BE49-F238E27FC236}">
              <a16:creationId xmlns:a16="http://schemas.microsoft.com/office/drawing/2014/main" id="{E5BE6C0E-437F-4419-A9C7-06F6ECB0C26C}"/>
            </a:ext>
          </a:extLst>
        </xdr:cNvPr>
        <xdr:cNvSpPr/>
      </xdr:nvSpPr>
      <xdr:spPr>
        <a:xfrm>
          <a:off x="3343275" y="2105025"/>
          <a:ext cx="1000800" cy="62865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Lane</a:t>
          </a:r>
          <a:r>
            <a:rPr lang="en-GB" sz="1100" baseline="0">
              <a:solidFill>
                <a:sysClr val="windowText" lastClr="000000"/>
              </a:solidFill>
            </a:rPr>
            <a:t> Rental Schemes</a:t>
          </a:r>
          <a:endParaRPr lang="en-GB" sz="1100">
            <a:solidFill>
              <a:sysClr val="windowText" lastClr="000000"/>
            </a:solidFill>
          </a:endParaRPr>
        </a:p>
      </xdr:txBody>
    </xdr:sp>
    <xdr:clientData/>
  </xdr:twoCellAnchor>
  <xdr:twoCellAnchor>
    <xdr:from>
      <xdr:col>7</xdr:col>
      <xdr:colOff>2171700</xdr:colOff>
      <xdr:row>17</xdr:row>
      <xdr:rowOff>61912</xdr:rowOff>
    </xdr:from>
    <xdr:to>
      <xdr:col>11</xdr:col>
      <xdr:colOff>172125</xdr:colOff>
      <xdr:row>21</xdr:row>
      <xdr:rowOff>42862</xdr:rowOff>
    </xdr:to>
    <xdr:sp macro="" textlink="">
      <xdr:nvSpPr>
        <xdr:cNvPr id="8" name="Rectangle 7">
          <a:extLst>
            <a:ext uri="{FF2B5EF4-FFF2-40B4-BE49-F238E27FC236}">
              <a16:creationId xmlns:a16="http://schemas.microsoft.com/office/drawing/2014/main" id="{0FE34CF6-29D0-459E-869B-31029C48010D}"/>
            </a:ext>
          </a:extLst>
        </xdr:cNvPr>
        <xdr:cNvSpPr/>
      </xdr:nvSpPr>
      <xdr:spPr>
        <a:xfrm>
          <a:off x="3343275" y="3052762"/>
          <a:ext cx="1000800" cy="62865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Traffic</a:t>
          </a:r>
          <a:r>
            <a:rPr lang="en-GB" sz="1100" baseline="0">
              <a:solidFill>
                <a:sysClr val="windowText" lastClr="000000"/>
              </a:solidFill>
            </a:rPr>
            <a:t> Management Act</a:t>
          </a:r>
          <a:endParaRPr lang="en-GB" sz="1100">
            <a:solidFill>
              <a:sysClr val="windowText" lastClr="000000"/>
            </a:solidFill>
          </a:endParaRPr>
        </a:p>
      </xdr:txBody>
    </xdr:sp>
    <xdr:clientData/>
  </xdr:twoCellAnchor>
  <xdr:twoCellAnchor>
    <xdr:from>
      <xdr:col>11</xdr:col>
      <xdr:colOff>1831181</xdr:colOff>
      <xdr:row>11</xdr:row>
      <xdr:rowOff>85725</xdr:rowOff>
    </xdr:from>
    <xdr:to>
      <xdr:col>12</xdr:col>
      <xdr:colOff>545981</xdr:colOff>
      <xdr:row>15</xdr:row>
      <xdr:rowOff>66675</xdr:rowOff>
    </xdr:to>
    <xdr:sp macro="" textlink="">
      <xdr:nvSpPr>
        <xdr:cNvPr id="9" name="Rectangle 8">
          <a:extLst>
            <a:ext uri="{FF2B5EF4-FFF2-40B4-BE49-F238E27FC236}">
              <a16:creationId xmlns:a16="http://schemas.microsoft.com/office/drawing/2014/main" id="{59D7B0ED-EED8-47A2-8CDB-4DE572DE0034}"/>
            </a:ext>
          </a:extLst>
        </xdr:cNvPr>
        <xdr:cNvSpPr/>
      </xdr:nvSpPr>
      <xdr:spPr>
        <a:xfrm>
          <a:off x="6331744" y="2145506"/>
          <a:ext cx="1167487" cy="64770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Analysis (LRS)</a:t>
          </a:r>
        </a:p>
      </xdr:txBody>
    </xdr:sp>
    <xdr:clientData/>
  </xdr:twoCellAnchor>
  <xdr:twoCellAnchor>
    <xdr:from>
      <xdr:col>11</xdr:col>
      <xdr:colOff>1828800</xdr:colOff>
      <xdr:row>17</xdr:row>
      <xdr:rowOff>61912</xdr:rowOff>
    </xdr:from>
    <xdr:to>
      <xdr:col>12</xdr:col>
      <xdr:colOff>543600</xdr:colOff>
      <xdr:row>21</xdr:row>
      <xdr:rowOff>42862</xdr:rowOff>
    </xdr:to>
    <xdr:sp macro="" textlink="">
      <xdr:nvSpPr>
        <xdr:cNvPr id="10" name="Rectangle 9">
          <a:extLst>
            <a:ext uri="{FF2B5EF4-FFF2-40B4-BE49-F238E27FC236}">
              <a16:creationId xmlns:a16="http://schemas.microsoft.com/office/drawing/2014/main" id="{0EE97233-409C-4A9B-B991-3B97D260E5AB}"/>
            </a:ext>
          </a:extLst>
        </xdr:cNvPr>
        <xdr:cNvSpPr/>
      </xdr:nvSpPr>
      <xdr:spPr>
        <a:xfrm>
          <a:off x="6000750" y="3052762"/>
          <a:ext cx="1000800" cy="62865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Analysis (TMA)</a:t>
          </a:r>
        </a:p>
      </xdr:txBody>
    </xdr:sp>
    <xdr:clientData/>
  </xdr:twoCellAnchor>
  <xdr:twoCellAnchor>
    <xdr:from>
      <xdr:col>7</xdr:col>
      <xdr:colOff>2171700</xdr:colOff>
      <xdr:row>24</xdr:row>
      <xdr:rowOff>38100</xdr:rowOff>
    </xdr:from>
    <xdr:to>
      <xdr:col>11</xdr:col>
      <xdr:colOff>172125</xdr:colOff>
      <xdr:row>28</xdr:row>
      <xdr:rowOff>19050</xdr:rowOff>
    </xdr:to>
    <xdr:sp macro="" textlink="">
      <xdr:nvSpPr>
        <xdr:cNvPr id="11" name="Rectangle 10">
          <a:extLst>
            <a:ext uri="{FF2B5EF4-FFF2-40B4-BE49-F238E27FC236}">
              <a16:creationId xmlns:a16="http://schemas.microsoft.com/office/drawing/2014/main" id="{C85D740D-4438-4C59-B0FD-97917CF236CA}"/>
            </a:ext>
          </a:extLst>
        </xdr:cNvPr>
        <xdr:cNvSpPr/>
      </xdr:nvSpPr>
      <xdr:spPr>
        <a:xfrm>
          <a:off x="3343275" y="4162425"/>
          <a:ext cx="1000800" cy="62865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TMA</a:t>
          </a:r>
          <a:r>
            <a:rPr lang="en-GB" sz="1100" baseline="0">
              <a:solidFill>
                <a:sysClr val="windowText" lastClr="000000"/>
              </a:solidFill>
            </a:rPr>
            <a:t> Projects</a:t>
          </a:r>
          <a:endParaRPr lang="en-GB" sz="1100">
            <a:solidFill>
              <a:sysClr val="windowText" lastClr="000000"/>
            </a:solidFill>
          </a:endParaRPr>
        </a:p>
      </xdr:txBody>
    </xdr:sp>
    <xdr:clientData/>
  </xdr:twoCellAnchor>
  <xdr:twoCellAnchor>
    <xdr:from>
      <xdr:col>11</xdr:col>
      <xdr:colOff>409574</xdr:colOff>
      <xdr:row>20</xdr:row>
      <xdr:rowOff>142875</xdr:rowOff>
    </xdr:from>
    <xdr:to>
      <xdr:col>11</xdr:col>
      <xdr:colOff>1410374</xdr:colOff>
      <xdr:row>24</xdr:row>
      <xdr:rowOff>123825</xdr:rowOff>
    </xdr:to>
    <xdr:sp macro="" textlink="">
      <xdr:nvSpPr>
        <xdr:cNvPr id="12" name="Rectangle 11">
          <a:extLst>
            <a:ext uri="{FF2B5EF4-FFF2-40B4-BE49-F238E27FC236}">
              <a16:creationId xmlns:a16="http://schemas.microsoft.com/office/drawing/2014/main" id="{E179603E-A683-452E-8CA3-89E34C85177E}"/>
            </a:ext>
          </a:extLst>
        </xdr:cNvPr>
        <xdr:cNvSpPr/>
      </xdr:nvSpPr>
      <xdr:spPr>
        <a:xfrm>
          <a:off x="4910137" y="3702844"/>
          <a:ext cx="1000800" cy="64770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Unit</a:t>
          </a:r>
          <a:r>
            <a:rPr lang="en-GB" sz="1100" baseline="0">
              <a:solidFill>
                <a:sysClr val="windowText" lastClr="000000"/>
              </a:solidFill>
            </a:rPr>
            <a:t> costs</a:t>
          </a:r>
          <a:endParaRPr lang="en-GB" sz="1100">
            <a:solidFill>
              <a:sysClr val="windowText" lastClr="000000"/>
            </a:solidFill>
          </a:endParaRPr>
        </a:p>
      </xdr:txBody>
    </xdr:sp>
    <xdr:clientData/>
  </xdr:twoCellAnchor>
  <xdr:twoCellAnchor>
    <xdr:from>
      <xdr:col>7</xdr:col>
      <xdr:colOff>67350</xdr:colOff>
      <xdr:row>13</xdr:row>
      <xdr:rowOff>76200</xdr:rowOff>
    </xdr:from>
    <xdr:to>
      <xdr:col>7</xdr:col>
      <xdr:colOff>495300</xdr:colOff>
      <xdr:row>16</xdr:row>
      <xdr:rowOff>61912</xdr:rowOff>
    </xdr:to>
    <xdr:cxnSp macro="">
      <xdr:nvCxnSpPr>
        <xdr:cNvPr id="14" name="Connector: Elbow 13">
          <a:extLst>
            <a:ext uri="{FF2B5EF4-FFF2-40B4-BE49-F238E27FC236}">
              <a16:creationId xmlns:a16="http://schemas.microsoft.com/office/drawing/2014/main" id="{B29D0E7B-786E-4F72-87C9-9F847BB8582D}"/>
            </a:ext>
          </a:extLst>
        </xdr:cNvPr>
        <xdr:cNvCxnSpPr>
          <a:stCxn id="6" idx="3"/>
          <a:endCxn id="5" idx="1"/>
        </xdr:cNvCxnSpPr>
      </xdr:nvCxnSpPr>
      <xdr:spPr>
        <a:xfrm flipV="1">
          <a:off x="1238925" y="2419350"/>
          <a:ext cx="427950" cy="47148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1496100</xdr:colOff>
      <xdr:row>13</xdr:row>
      <xdr:rowOff>76200</xdr:rowOff>
    </xdr:from>
    <xdr:to>
      <xdr:col>7</xdr:col>
      <xdr:colOff>2171700</xdr:colOff>
      <xdr:row>26</xdr:row>
      <xdr:rowOff>28575</xdr:rowOff>
    </xdr:to>
    <xdr:cxnSp macro="">
      <xdr:nvCxnSpPr>
        <xdr:cNvPr id="15" name="Connector: Elbow 14">
          <a:extLst>
            <a:ext uri="{FF2B5EF4-FFF2-40B4-BE49-F238E27FC236}">
              <a16:creationId xmlns:a16="http://schemas.microsoft.com/office/drawing/2014/main" id="{8DCEC59B-1314-481A-A13D-5F673CF57137}"/>
            </a:ext>
          </a:extLst>
        </xdr:cNvPr>
        <xdr:cNvCxnSpPr>
          <a:stCxn id="3" idx="3"/>
          <a:endCxn id="7" idx="1"/>
        </xdr:cNvCxnSpPr>
      </xdr:nvCxnSpPr>
      <xdr:spPr>
        <a:xfrm flipV="1">
          <a:off x="2667675" y="2419350"/>
          <a:ext cx="675600" cy="20574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1496100</xdr:colOff>
      <xdr:row>13</xdr:row>
      <xdr:rowOff>76200</xdr:rowOff>
    </xdr:from>
    <xdr:to>
      <xdr:col>7</xdr:col>
      <xdr:colOff>2171700</xdr:colOff>
      <xdr:row>26</xdr:row>
      <xdr:rowOff>28575</xdr:rowOff>
    </xdr:to>
    <xdr:cxnSp macro="">
      <xdr:nvCxnSpPr>
        <xdr:cNvPr id="19" name="Connector: Elbow 18">
          <a:extLst>
            <a:ext uri="{FF2B5EF4-FFF2-40B4-BE49-F238E27FC236}">
              <a16:creationId xmlns:a16="http://schemas.microsoft.com/office/drawing/2014/main" id="{D3D8ED00-3168-45EC-8D49-82126B44C054}"/>
            </a:ext>
          </a:extLst>
        </xdr:cNvPr>
        <xdr:cNvCxnSpPr>
          <a:stCxn id="5" idx="3"/>
          <a:endCxn id="11" idx="1"/>
        </xdr:cNvCxnSpPr>
      </xdr:nvCxnSpPr>
      <xdr:spPr>
        <a:xfrm>
          <a:off x="2667675" y="2419350"/>
          <a:ext cx="675600" cy="205740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124162</xdr:colOff>
      <xdr:row>21</xdr:row>
      <xdr:rowOff>47624</xdr:rowOff>
    </xdr:from>
    <xdr:to>
      <xdr:col>11</xdr:col>
      <xdr:colOff>409573</xdr:colOff>
      <xdr:row>22</xdr:row>
      <xdr:rowOff>133350</xdr:rowOff>
    </xdr:to>
    <xdr:cxnSp macro="">
      <xdr:nvCxnSpPr>
        <xdr:cNvPr id="23" name="Connector: Elbow 22">
          <a:extLst>
            <a:ext uri="{FF2B5EF4-FFF2-40B4-BE49-F238E27FC236}">
              <a16:creationId xmlns:a16="http://schemas.microsoft.com/office/drawing/2014/main" id="{51F74820-84FA-40C8-95BC-5AC5F71FC878}"/>
            </a:ext>
          </a:extLst>
        </xdr:cNvPr>
        <xdr:cNvCxnSpPr>
          <a:stCxn id="8" idx="2"/>
          <a:endCxn id="12" idx="1"/>
        </xdr:cNvCxnSpPr>
      </xdr:nvCxnSpPr>
      <xdr:spPr>
        <a:xfrm rot="16200000" flipH="1">
          <a:off x="4355474" y="3472031"/>
          <a:ext cx="252414" cy="85691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14</xdr:row>
      <xdr:rowOff>76199</xdr:rowOff>
    </xdr:from>
    <xdr:to>
      <xdr:col>16</xdr:col>
      <xdr:colOff>619800</xdr:colOff>
      <xdr:row>18</xdr:row>
      <xdr:rowOff>57149</xdr:rowOff>
    </xdr:to>
    <xdr:sp macro="" textlink="">
      <xdr:nvSpPr>
        <xdr:cNvPr id="72" name="Rectangle 71">
          <a:extLst>
            <a:ext uri="{FF2B5EF4-FFF2-40B4-BE49-F238E27FC236}">
              <a16:creationId xmlns:a16="http://schemas.microsoft.com/office/drawing/2014/main" id="{0E623CEE-5898-4D76-A75D-FD0298D957B7}"/>
            </a:ext>
          </a:extLst>
        </xdr:cNvPr>
        <xdr:cNvSpPr/>
      </xdr:nvSpPr>
      <xdr:spPr>
        <a:xfrm>
          <a:off x="7905750" y="2636043"/>
          <a:ext cx="1048425" cy="647700"/>
        </a:xfrm>
        <a:prstGeom prst="rect">
          <a:avLst/>
        </a:prstGeom>
        <a:solidFill>
          <a:srgbClr val="CCCCC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Allowance</a:t>
          </a:r>
        </a:p>
      </xdr:txBody>
    </xdr:sp>
    <xdr:clientData/>
  </xdr:twoCellAnchor>
  <xdr:twoCellAnchor>
    <xdr:from>
      <xdr:col>16</xdr:col>
      <xdr:colOff>1038225</xdr:colOff>
      <xdr:row>14</xdr:row>
      <xdr:rowOff>71437</xdr:rowOff>
    </xdr:from>
    <xdr:to>
      <xdr:col>16</xdr:col>
      <xdr:colOff>2039025</xdr:colOff>
      <xdr:row>18</xdr:row>
      <xdr:rowOff>52387</xdr:rowOff>
    </xdr:to>
    <xdr:sp macro="" textlink="">
      <xdr:nvSpPr>
        <xdr:cNvPr id="73" name="Rectangle 72">
          <a:extLst>
            <a:ext uri="{FF2B5EF4-FFF2-40B4-BE49-F238E27FC236}">
              <a16:creationId xmlns:a16="http://schemas.microsoft.com/office/drawing/2014/main" id="{83C74C29-29DD-4E3E-B909-D0FC49556A7B}"/>
            </a:ext>
          </a:extLst>
        </xdr:cNvPr>
        <xdr:cNvSpPr/>
      </xdr:nvSpPr>
      <xdr:spPr>
        <a:xfrm>
          <a:off x="8763000" y="2576512"/>
          <a:ext cx="1000800" cy="628650"/>
        </a:xfrm>
        <a:prstGeom prst="rect">
          <a:avLst/>
        </a:prstGeom>
        <a:solidFill>
          <a:srgbClr val="98C561"/>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F_Outputs</a:t>
          </a:r>
        </a:p>
      </xdr:txBody>
    </xdr:sp>
    <xdr:clientData/>
  </xdr:twoCellAnchor>
  <xdr:twoCellAnchor>
    <xdr:from>
      <xdr:col>7</xdr:col>
      <xdr:colOff>67350</xdr:colOff>
      <xdr:row>10</xdr:row>
      <xdr:rowOff>123825</xdr:rowOff>
    </xdr:from>
    <xdr:to>
      <xdr:col>7</xdr:col>
      <xdr:colOff>495300</xdr:colOff>
      <xdr:row>13</xdr:row>
      <xdr:rowOff>76200</xdr:rowOff>
    </xdr:to>
    <xdr:cxnSp macro="">
      <xdr:nvCxnSpPr>
        <xdr:cNvPr id="84" name="Connector: Elbow 83">
          <a:extLst>
            <a:ext uri="{FF2B5EF4-FFF2-40B4-BE49-F238E27FC236}">
              <a16:creationId xmlns:a16="http://schemas.microsoft.com/office/drawing/2014/main" id="{834346F6-097F-41BD-B573-2A601FEA7334}"/>
            </a:ext>
          </a:extLst>
        </xdr:cNvPr>
        <xdr:cNvCxnSpPr>
          <a:stCxn id="4" idx="3"/>
          <a:endCxn id="5" idx="1"/>
        </xdr:cNvCxnSpPr>
      </xdr:nvCxnSpPr>
      <xdr:spPr>
        <a:xfrm>
          <a:off x="1238925" y="1981200"/>
          <a:ext cx="427950" cy="438150"/>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1496100</xdr:colOff>
      <xdr:row>19</xdr:row>
      <xdr:rowOff>52387</xdr:rowOff>
    </xdr:from>
    <xdr:to>
      <xdr:col>7</xdr:col>
      <xdr:colOff>2171700</xdr:colOff>
      <xdr:row>19</xdr:row>
      <xdr:rowOff>52387</xdr:rowOff>
    </xdr:to>
    <xdr:cxnSp macro="">
      <xdr:nvCxnSpPr>
        <xdr:cNvPr id="93" name="Straight Arrow Connector 92">
          <a:extLst>
            <a:ext uri="{FF2B5EF4-FFF2-40B4-BE49-F238E27FC236}">
              <a16:creationId xmlns:a16="http://schemas.microsoft.com/office/drawing/2014/main" id="{48E7656A-2E2B-2AE4-8795-F94A98A03D6D}"/>
            </a:ext>
          </a:extLst>
        </xdr:cNvPr>
        <xdr:cNvCxnSpPr>
          <a:stCxn id="2" idx="3"/>
          <a:endCxn id="8" idx="1"/>
        </xdr:cNvCxnSpPr>
      </xdr:nvCxnSpPr>
      <xdr:spPr>
        <a:xfrm>
          <a:off x="2667675" y="3367087"/>
          <a:ext cx="6756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124163</xdr:colOff>
      <xdr:row>22</xdr:row>
      <xdr:rowOff>133351</xdr:rowOff>
    </xdr:from>
    <xdr:to>
      <xdr:col>11</xdr:col>
      <xdr:colOff>409574</xdr:colOff>
      <xdr:row>24</xdr:row>
      <xdr:rowOff>38101</xdr:rowOff>
    </xdr:to>
    <xdr:cxnSp macro="">
      <xdr:nvCxnSpPr>
        <xdr:cNvPr id="95" name="Connector: Elbow 94">
          <a:extLst>
            <a:ext uri="{FF2B5EF4-FFF2-40B4-BE49-F238E27FC236}">
              <a16:creationId xmlns:a16="http://schemas.microsoft.com/office/drawing/2014/main" id="{81BB6DCD-686B-4F6C-A727-6CCD932F22E4}"/>
            </a:ext>
          </a:extLst>
        </xdr:cNvPr>
        <xdr:cNvCxnSpPr>
          <a:stCxn id="11" idx="0"/>
          <a:endCxn id="12" idx="1"/>
        </xdr:cNvCxnSpPr>
      </xdr:nvCxnSpPr>
      <xdr:spPr>
        <a:xfrm rot="5400000" flipH="1" flipV="1">
          <a:off x="4362619" y="3717302"/>
          <a:ext cx="238125" cy="85691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172125</xdr:colOff>
      <xdr:row>19</xdr:row>
      <xdr:rowOff>52387</xdr:rowOff>
    </xdr:from>
    <xdr:to>
      <xdr:col>11</xdr:col>
      <xdr:colOff>1828800</xdr:colOff>
      <xdr:row>19</xdr:row>
      <xdr:rowOff>52387</xdr:rowOff>
    </xdr:to>
    <xdr:cxnSp macro="">
      <xdr:nvCxnSpPr>
        <xdr:cNvPr id="105" name="Straight Arrow Connector 104">
          <a:extLst>
            <a:ext uri="{FF2B5EF4-FFF2-40B4-BE49-F238E27FC236}">
              <a16:creationId xmlns:a16="http://schemas.microsoft.com/office/drawing/2014/main" id="{3D33C069-CE39-F125-C238-FD644DCF40D4}"/>
            </a:ext>
          </a:extLst>
        </xdr:cNvPr>
        <xdr:cNvCxnSpPr>
          <a:stCxn id="8" idx="3"/>
          <a:endCxn id="10" idx="1"/>
        </xdr:cNvCxnSpPr>
      </xdr:nvCxnSpPr>
      <xdr:spPr>
        <a:xfrm>
          <a:off x="4344075" y="3367087"/>
          <a:ext cx="16566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172125</xdr:colOff>
      <xdr:row>13</xdr:row>
      <xdr:rowOff>76200</xdr:rowOff>
    </xdr:from>
    <xdr:to>
      <xdr:col>11</xdr:col>
      <xdr:colOff>1831181</xdr:colOff>
      <xdr:row>13</xdr:row>
      <xdr:rowOff>76200</xdr:rowOff>
    </xdr:to>
    <xdr:cxnSp macro="">
      <xdr:nvCxnSpPr>
        <xdr:cNvPr id="106" name="Straight Arrow Connector 105">
          <a:extLst>
            <a:ext uri="{FF2B5EF4-FFF2-40B4-BE49-F238E27FC236}">
              <a16:creationId xmlns:a16="http://schemas.microsoft.com/office/drawing/2014/main" id="{089861E3-A140-4634-A047-85879F7DAFA4}"/>
            </a:ext>
          </a:extLst>
        </xdr:cNvPr>
        <xdr:cNvCxnSpPr>
          <a:stCxn id="7" idx="3"/>
          <a:endCxn id="9" idx="1"/>
        </xdr:cNvCxnSpPr>
      </xdr:nvCxnSpPr>
      <xdr:spPr>
        <a:xfrm>
          <a:off x="4672688" y="2469356"/>
          <a:ext cx="1659056"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550743</xdr:colOff>
      <xdr:row>13</xdr:row>
      <xdr:rowOff>76200</xdr:rowOff>
    </xdr:from>
    <xdr:to>
      <xdr:col>16</xdr:col>
      <xdr:colOff>95588</xdr:colOff>
      <xdr:row>14</xdr:row>
      <xdr:rowOff>76199</xdr:rowOff>
    </xdr:to>
    <xdr:cxnSp macro="">
      <xdr:nvCxnSpPr>
        <xdr:cNvPr id="109" name="Connector: Elbow 108">
          <a:extLst>
            <a:ext uri="{FF2B5EF4-FFF2-40B4-BE49-F238E27FC236}">
              <a16:creationId xmlns:a16="http://schemas.microsoft.com/office/drawing/2014/main" id="{A972B6EC-FF58-427D-81A2-E6228A28AA0E}"/>
            </a:ext>
          </a:extLst>
        </xdr:cNvPr>
        <xdr:cNvCxnSpPr>
          <a:cxnSpLocks/>
          <a:stCxn id="9" idx="3"/>
          <a:endCxn id="72" idx="0"/>
        </xdr:cNvCxnSpPr>
      </xdr:nvCxnSpPr>
      <xdr:spPr>
        <a:xfrm>
          <a:off x="7503993" y="2469356"/>
          <a:ext cx="925970" cy="16668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543600</xdr:colOff>
      <xdr:row>18</xdr:row>
      <xdr:rowOff>57149</xdr:rowOff>
    </xdr:from>
    <xdr:to>
      <xdr:col>16</xdr:col>
      <xdr:colOff>95588</xdr:colOff>
      <xdr:row>19</xdr:row>
      <xdr:rowOff>57149</xdr:rowOff>
    </xdr:to>
    <xdr:cxnSp macro="">
      <xdr:nvCxnSpPr>
        <xdr:cNvPr id="112" name="Connector: Elbow 111">
          <a:extLst>
            <a:ext uri="{FF2B5EF4-FFF2-40B4-BE49-F238E27FC236}">
              <a16:creationId xmlns:a16="http://schemas.microsoft.com/office/drawing/2014/main" id="{FD80733C-A66B-4781-BAD6-C9D7157B24E1}"/>
            </a:ext>
          </a:extLst>
        </xdr:cNvPr>
        <xdr:cNvCxnSpPr>
          <a:cxnSpLocks/>
          <a:stCxn id="10" idx="3"/>
          <a:endCxn id="72" idx="2"/>
        </xdr:cNvCxnSpPr>
      </xdr:nvCxnSpPr>
      <xdr:spPr>
        <a:xfrm flipV="1">
          <a:off x="7496850" y="3283743"/>
          <a:ext cx="933113" cy="16668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619800</xdr:colOff>
      <xdr:row>16</xdr:row>
      <xdr:rowOff>66674</xdr:rowOff>
    </xdr:from>
    <xdr:to>
      <xdr:col>16</xdr:col>
      <xdr:colOff>1038225</xdr:colOff>
      <xdr:row>16</xdr:row>
      <xdr:rowOff>66674</xdr:rowOff>
    </xdr:to>
    <xdr:cxnSp macro="">
      <xdr:nvCxnSpPr>
        <xdr:cNvPr id="119" name="Straight Arrow Connector 118">
          <a:extLst>
            <a:ext uri="{FF2B5EF4-FFF2-40B4-BE49-F238E27FC236}">
              <a16:creationId xmlns:a16="http://schemas.microsoft.com/office/drawing/2014/main" id="{F6E3E639-E2CF-4BE8-9136-E621DE36A842}"/>
            </a:ext>
          </a:extLst>
        </xdr:cNvPr>
        <xdr:cNvCxnSpPr>
          <a:stCxn id="72" idx="3"/>
          <a:endCxn id="73" idx="1"/>
        </xdr:cNvCxnSpPr>
      </xdr:nvCxnSpPr>
      <xdr:spPr>
        <a:xfrm>
          <a:off x="8954175" y="2959893"/>
          <a:ext cx="4184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409574</xdr:colOff>
      <xdr:row>14</xdr:row>
      <xdr:rowOff>76199</xdr:rowOff>
    </xdr:from>
    <xdr:to>
      <xdr:col>11</xdr:col>
      <xdr:colOff>1410374</xdr:colOff>
      <xdr:row>18</xdr:row>
      <xdr:rowOff>57149</xdr:rowOff>
    </xdr:to>
    <xdr:sp macro="" textlink="">
      <xdr:nvSpPr>
        <xdr:cNvPr id="123" name="Rectangle 122">
          <a:extLst>
            <a:ext uri="{FF2B5EF4-FFF2-40B4-BE49-F238E27FC236}">
              <a16:creationId xmlns:a16="http://schemas.microsoft.com/office/drawing/2014/main" id="{51740319-96D3-4566-8074-4B5E94363FFA}"/>
            </a:ext>
          </a:extLst>
        </xdr:cNvPr>
        <xdr:cNvSpPr/>
      </xdr:nvSpPr>
      <xdr:spPr>
        <a:xfrm>
          <a:off x="4910137" y="2636043"/>
          <a:ext cx="1000800" cy="647700"/>
        </a:xfrm>
        <a:prstGeom prst="rect">
          <a:avLst/>
        </a:prstGeom>
        <a:solidFill>
          <a:srgbClr val="FFDB8E"/>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100">
              <a:solidFill>
                <a:sysClr val="windowText" lastClr="000000"/>
              </a:solidFill>
            </a:rPr>
            <a:t>F_Inputs</a:t>
          </a:r>
          <a:r>
            <a:rPr lang="en-GB" sz="1100" baseline="0">
              <a:solidFill>
                <a:sysClr val="windowText" lastClr="000000"/>
              </a:solidFill>
            </a:rPr>
            <a:t> (EC)</a:t>
          </a:r>
          <a:endParaRPr lang="en-GB" sz="1100">
            <a:solidFill>
              <a:sysClr val="windowText" lastClr="000000"/>
            </a:solidFill>
          </a:endParaRPr>
        </a:p>
      </xdr:txBody>
    </xdr:sp>
    <xdr:clientData/>
  </xdr:twoCellAnchor>
  <xdr:twoCellAnchor>
    <xdr:from>
      <xdr:col>11</xdr:col>
      <xdr:colOff>1410374</xdr:colOff>
      <xdr:row>15</xdr:row>
      <xdr:rowOff>66675</xdr:rowOff>
    </xdr:from>
    <xdr:to>
      <xdr:col>11</xdr:col>
      <xdr:colOff>2417306</xdr:colOff>
      <xdr:row>16</xdr:row>
      <xdr:rowOff>66674</xdr:rowOff>
    </xdr:to>
    <xdr:cxnSp macro="">
      <xdr:nvCxnSpPr>
        <xdr:cNvPr id="22" name="Connector: Elbow 21">
          <a:extLst>
            <a:ext uri="{FF2B5EF4-FFF2-40B4-BE49-F238E27FC236}">
              <a16:creationId xmlns:a16="http://schemas.microsoft.com/office/drawing/2014/main" id="{11D6D557-73DE-4A3D-B856-FA92F4A9B328}"/>
            </a:ext>
          </a:extLst>
        </xdr:cNvPr>
        <xdr:cNvCxnSpPr>
          <a:cxnSpLocks/>
          <a:stCxn id="123" idx="3"/>
          <a:endCxn id="9" idx="2"/>
        </xdr:cNvCxnSpPr>
      </xdr:nvCxnSpPr>
      <xdr:spPr>
        <a:xfrm flipV="1">
          <a:off x="5910937" y="2793206"/>
          <a:ext cx="1006932" cy="16668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1410374</xdr:colOff>
      <xdr:row>16</xdr:row>
      <xdr:rowOff>66674</xdr:rowOff>
    </xdr:from>
    <xdr:to>
      <xdr:col>11</xdr:col>
      <xdr:colOff>2412544</xdr:colOff>
      <xdr:row>17</xdr:row>
      <xdr:rowOff>66674</xdr:rowOff>
    </xdr:to>
    <xdr:cxnSp macro="">
      <xdr:nvCxnSpPr>
        <xdr:cNvPr id="26" name="Connector: Elbow 25">
          <a:extLst>
            <a:ext uri="{FF2B5EF4-FFF2-40B4-BE49-F238E27FC236}">
              <a16:creationId xmlns:a16="http://schemas.microsoft.com/office/drawing/2014/main" id="{5D2BD3C0-EDC4-4C02-9B70-4987EFAB477E}"/>
            </a:ext>
          </a:extLst>
        </xdr:cNvPr>
        <xdr:cNvCxnSpPr>
          <a:cxnSpLocks/>
          <a:stCxn id="123" idx="3"/>
          <a:endCxn id="10" idx="0"/>
        </xdr:cNvCxnSpPr>
      </xdr:nvCxnSpPr>
      <xdr:spPr>
        <a:xfrm>
          <a:off x="5910937" y="2959893"/>
          <a:ext cx="1002170" cy="16668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977F24-47BB-4A29-8BCD-70BB91DDFBD4}" name="Table1" displayName="Table1" ref="A5:Z209" totalsRowShown="0" headerRowDxfId="235" dataDxfId="234" headerRowCellStyle="Normal 5" dataCellStyle="Normal 5">
  <autoFilter ref="A5:Z209" xr:uid="{42977F24-47BB-4A29-8BCD-70BB91DDFBD4}"/>
  <sortState xmlns:xlrd2="http://schemas.microsoft.com/office/spreadsheetml/2017/richdata2" ref="A6:Z209">
    <sortCondition ref="E5:E209"/>
  </sortState>
  <tableColumns count="26">
    <tableColumn id="1" xr3:uid="{FF1A62DC-2CF1-463F-B977-2E1BCBB9A8E6}" name="Acronym" dataCellStyle="Normal 5"/>
    <tableColumn id="2" xr3:uid="{E8B83C29-2D98-45A1-95B1-A93DFADC7E78}" name="Reference" dataCellStyle="Normal 5"/>
    <tableColumn id="3" xr3:uid="{A7BBCD59-437F-41D5-A673-8C4734D953B7}" name="Item description" dataCellStyle="Normal 5"/>
    <tableColumn id="4" xr3:uid="{40A1D556-06D7-4B41-9F92-01BB9E8352BA}" name="Unit" dataCellStyle="Normal 5"/>
    <tableColumn id="5" xr3:uid="{1E588055-8095-4813-A63F-0BAA6F27D400}" name="Model" dataCellStyle="Normal 5"/>
    <tableColumn id="6" xr3:uid="{5CB259D3-57A9-488B-9838-DB1827ECC034}" name="2020-21" dataDxfId="233" dataCellStyle="Normal 5"/>
    <tableColumn id="7" xr3:uid="{D4134BBD-7EF3-4876-AD6A-4596BBC2B15B}" name="2021-22" dataDxfId="232" dataCellStyle="Normal 5"/>
    <tableColumn id="8" xr3:uid="{3151C273-D071-4457-B954-9CD19DB21CA4}" name="2022-23" dataDxfId="231" dataCellStyle="Normal 5"/>
    <tableColumn id="9" xr3:uid="{99CC4DA3-B068-40DB-98BD-B1EF13A86E8D}" name="2023-24" dataDxfId="230" dataCellStyle="Normal 5"/>
    <tableColumn id="10" xr3:uid="{0D4044F7-DBBE-4539-BE2A-A1FECF3AF636}" name="2024-25" dataDxfId="229" dataCellStyle="Normal 5"/>
    <tableColumn id="11" xr3:uid="{BD548584-F15A-47F0-BC09-964241BE6D68}" name="2025-26" dataDxfId="228" dataCellStyle="Normal 5"/>
    <tableColumn id="12" xr3:uid="{DD034B38-62E1-469F-BE13-F34C49572CC5}" name="2026-27" dataDxfId="227" dataCellStyle="Normal 5"/>
    <tableColumn id="13" xr3:uid="{304E7708-31CB-48EF-985B-0BD7016D1D00}" name="2027-28" dataDxfId="226" dataCellStyle="Normal 5"/>
    <tableColumn id="14" xr3:uid="{9AC75971-EB9D-41B6-84FD-0C2B93C370FB}" name="2028-29" dataDxfId="225" dataCellStyle="Normal 5"/>
    <tableColumn id="15" xr3:uid="{AEB67CCF-80B9-4EA2-A57E-CBBEC94A5525}" name="2029-30" dataDxfId="224" dataCellStyle="Normal 5"/>
    <tableColumn id="16" xr3:uid="{050378DC-3E93-4303-A4CA-91AF96207934}" name="2020-212" dataDxfId="223" dataCellStyle="Normal 5"/>
    <tableColumn id="17" xr3:uid="{3D934F6B-FA09-4D11-9761-538398CA7ED6}" name="2021-223" dataDxfId="222" dataCellStyle="Normal 5"/>
    <tableColumn id="18" xr3:uid="{BCCDACF3-D8A5-430B-8762-AC2A8064213F}" name="2022-234" dataDxfId="221" dataCellStyle="Normal 5"/>
    <tableColumn id="19" xr3:uid="{F48DCC9C-C648-4762-B5B4-01FD8EEF263F}" name="2023-245" dataDxfId="220" dataCellStyle="Normal 5"/>
    <tableColumn id="20" xr3:uid="{356AB7E3-C0B1-4393-A1C3-3F13F88975DD}" name="2024-256" dataDxfId="219" dataCellStyle="Normal 5"/>
    <tableColumn id="21" xr3:uid="{8ECC9BD0-F04F-4F2F-B80D-7DCE72D00639}" name="2025-267" dataDxfId="218" dataCellStyle="Normal 5"/>
    <tableColumn id="22" xr3:uid="{C397DA4F-5195-4BB5-B35F-4FD28DB10C95}" name="2026-278" dataDxfId="217" dataCellStyle="Normal 5"/>
    <tableColumn id="23" xr3:uid="{30A36802-F72B-44D7-83A7-7B0F1B6902C3}" name="2027-289" dataDxfId="216" dataCellStyle="Normal 5"/>
    <tableColumn id="24" xr3:uid="{B2C4996D-F7DD-4A96-9847-21FCBAD906E6}" name="2028-2910" dataDxfId="215" dataCellStyle="Normal 5"/>
    <tableColumn id="25" xr3:uid="{71B6DC6A-FF72-486B-A42F-4C7D879AEBEB}" name="2029-3011" dataDxfId="214" dataCellStyle="Normal 5"/>
    <tableColumn id="26" xr3:uid="{B8688441-8890-4DE2-845A-7F01FFB67112}" name="Column12" dataCellStyle="Normal 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30A4F-E6E5-40D4-A0C0-6ECCF68D2F5A}">
  <sheetPr>
    <outlinePr summaryBelow="0" summaryRight="0"/>
  </sheetPr>
  <dimension ref="A1:J92"/>
  <sheetViews>
    <sheetView showGridLines="0" tabSelected="1" zoomScale="80" zoomScaleNormal="80" workbookViewId="0"/>
  </sheetViews>
  <sheetFormatPr defaultColWidth="0" defaultRowHeight="13.5" customHeight="1" zeroHeight="1" x14ac:dyDescent="0.35"/>
  <cols>
    <col min="1" max="1" width="10" style="224" customWidth="1"/>
    <col min="2" max="2" width="71.86328125" style="224" bestFit="1" customWidth="1"/>
    <col min="3" max="3" width="14.59765625" style="224" customWidth="1"/>
    <col min="4" max="10" width="10" style="224" customWidth="1"/>
    <col min="11" max="13" width="10" style="224" hidden="1" customWidth="1"/>
    <col min="14" max="16384" width="10" style="224" hidden="1"/>
  </cols>
  <sheetData>
    <row r="1" spans="1:10" ht="47.65" x14ac:dyDescent="0.35">
      <c r="A1" s="222" t="str">
        <f ca="1" xml:space="preserve"> RIGHT(CELL("filename", $A$1), LEN(CELL("filename", $A$1)) - SEARCH("]", CELL("filename", $A$1)))</f>
        <v>Cover</v>
      </c>
      <c r="B1" s="222"/>
      <c r="C1" s="223"/>
      <c r="D1" s="223"/>
      <c r="E1" s="223"/>
      <c r="F1" s="223"/>
      <c r="G1" s="223"/>
      <c r="H1" s="223"/>
      <c r="I1" s="223"/>
      <c r="J1" s="223"/>
    </row>
    <row r="2" spans="1:10" ht="20.25" x14ac:dyDescent="0.35"/>
    <row r="3" spans="1:10" s="225" customFormat="1" ht="35.65" x14ac:dyDescent="0.35">
      <c r="B3" s="226" t="s">
        <v>0</v>
      </c>
    </row>
    <row r="4" spans="1:10" ht="20.25" x14ac:dyDescent="0.35"/>
    <row r="5" spans="1:10" ht="20.25" x14ac:dyDescent="0.35">
      <c r="B5" s="224" t="s">
        <v>240</v>
      </c>
      <c r="C5" s="224" t="s">
        <v>241</v>
      </c>
    </row>
    <row r="6" spans="1:10" ht="20.25" x14ac:dyDescent="0.35">
      <c r="B6" s="224" t="s">
        <v>1</v>
      </c>
      <c r="C6" s="227">
        <v>1</v>
      </c>
    </row>
    <row r="7" spans="1:10" ht="20.25" x14ac:dyDescent="0.35">
      <c r="B7" s="224" t="s">
        <v>2</v>
      </c>
      <c r="C7" s="228" t="str">
        <f ca="1" xml:space="preserve"> MID(CELL("filename"), FIND("[", CELL("filename"), 1) + 1, FIND("]", CELL("filename"), 1) - FIND("[", CELL("filename"), 1) - 1)</f>
        <v>PR24CA27 - TMA and LRS.xlsx</v>
      </c>
    </row>
    <row r="8" spans="1:10" ht="20.25" x14ac:dyDescent="0.35">
      <c r="B8" s="224" t="s">
        <v>3</v>
      </c>
      <c r="C8" s="229">
        <v>45627</v>
      </c>
    </row>
    <row r="9" spans="1:10" ht="20.25" x14ac:dyDescent="0.35"/>
    <row r="10" spans="1:10" ht="20.25" x14ac:dyDescent="0.35">
      <c r="B10" s="224" t="s">
        <v>4</v>
      </c>
      <c r="C10" s="230" t="s">
        <v>5</v>
      </c>
    </row>
    <row r="11" spans="1:10" ht="20.25" x14ac:dyDescent="0.35"/>
    <row r="12" spans="1:10" ht="20.25" x14ac:dyDescent="1.05">
      <c r="B12" s="224" t="s">
        <v>6</v>
      </c>
      <c r="C12" s="231" t="s">
        <v>7</v>
      </c>
    </row>
    <row r="13" spans="1:10" ht="20.25" x14ac:dyDescent="0.35"/>
    <row r="14" spans="1:10" ht="20.25" x14ac:dyDescent="0.35"/>
    <row r="15" spans="1:10" ht="20.25" x14ac:dyDescent="0.35"/>
    <row r="16" spans="1:10" ht="20.25" x14ac:dyDescent="0.35"/>
    <row r="17" ht="20.25" x14ac:dyDescent="0.35"/>
    <row r="18" ht="20.25" x14ac:dyDescent="0.35"/>
    <row r="19" ht="20.25" x14ac:dyDescent="0.35"/>
    <row r="20" ht="20.25" x14ac:dyDescent="0.35"/>
    <row r="21" ht="20.25" x14ac:dyDescent="0.35"/>
    <row r="22" ht="20.25" x14ac:dyDescent="0.35"/>
    <row r="23" ht="20.25" x14ac:dyDescent="0.35"/>
    <row r="24" ht="20.25" x14ac:dyDescent="0.35"/>
    <row r="25" ht="20.25" x14ac:dyDescent="0.35"/>
    <row r="26" ht="20.25" x14ac:dyDescent="0.35"/>
    <row r="27" ht="20.25" x14ac:dyDescent="0.35"/>
    <row r="28" ht="20.25" x14ac:dyDescent="0.35"/>
    <row r="29" ht="20.25" x14ac:dyDescent="0.35"/>
    <row r="30" ht="20.25" x14ac:dyDescent="0.35"/>
    <row r="31" ht="20.25" x14ac:dyDescent="0.35"/>
    <row r="32" ht="20.25" x14ac:dyDescent="0.35"/>
    <row r="33" ht="20.25" x14ac:dyDescent="0.35"/>
    <row r="34" ht="20.25" x14ac:dyDescent="0.35"/>
    <row r="35" ht="20.25" x14ac:dyDescent="0.35"/>
    <row r="36" ht="20.25" x14ac:dyDescent="0.35"/>
    <row r="37" ht="20.25" x14ac:dyDescent="0.35"/>
    <row r="38" ht="20.25" x14ac:dyDescent="0.35"/>
    <row r="39" ht="20.25" x14ac:dyDescent="0.35"/>
    <row r="40" ht="13.5" customHeight="1" x14ac:dyDescent="0.35"/>
    <row r="41" ht="13.5" customHeight="1" x14ac:dyDescent="0.35"/>
    <row r="42" ht="13.5" customHeight="1"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sheetData>
  <hyperlinks>
    <hyperlink ref="C10" r:id="rId1" xr:uid="{15E87ACF-07DF-44E8-9526-7D1F8C44F117}"/>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EDB0D-2282-4064-A18B-B4D67AEC0935}">
  <sheetPr>
    <outlinePr summaryBelow="0" summaryRight="0"/>
  </sheetPr>
  <dimension ref="A1:AX31"/>
  <sheetViews>
    <sheetView showGridLines="0" zoomScale="80" zoomScaleNormal="80" workbookViewId="0"/>
  </sheetViews>
  <sheetFormatPr defaultColWidth="0" defaultRowHeight="12.75" customHeight="1" zeroHeight="1" x14ac:dyDescent="0.4"/>
  <cols>
    <col min="1" max="4" width="1.73046875" style="221" customWidth="1"/>
    <col min="5" max="5" width="2.86328125" style="221" customWidth="1"/>
    <col min="6" max="6" width="5" style="221" customWidth="1"/>
    <col min="7" max="7" width="2.86328125" style="221" customWidth="1"/>
    <col min="8" max="8" width="34.265625" style="221" customWidth="1"/>
    <col min="9" max="9" width="2.86328125" style="221" customWidth="1"/>
    <col min="10" max="10" width="5" style="221" customWidth="1"/>
    <col min="11" max="11" width="2.86328125" style="221" customWidth="1"/>
    <col min="12" max="12" width="34.265625" style="221" customWidth="1"/>
    <col min="13" max="13" width="8.265625" style="221" customWidth="1"/>
    <col min="14" max="14" width="5" style="221" customWidth="1"/>
    <col min="15" max="16" width="2.86328125" style="221" customWidth="1"/>
    <col min="17" max="17" width="34.265625" style="221" customWidth="1"/>
    <col min="18" max="20" width="2.86328125" style="221" hidden="1" customWidth="1"/>
    <col min="21" max="21" width="5" style="221" hidden="1" customWidth="1"/>
    <col min="22" max="22" width="2.86328125" style="221" hidden="1" customWidth="1"/>
    <col min="23" max="23" width="34.265625" style="221" hidden="1" customWidth="1"/>
    <col min="24" max="24" width="2.86328125" style="221" hidden="1" customWidth="1"/>
    <col min="25" max="25" width="5" style="221" hidden="1" customWidth="1"/>
    <col min="26" max="26" width="2.86328125" style="221" hidden="1" customWidth="1"/>
    <col min="27" max="27" width="34.265625" style="221" hidden="1" customWidth="1"/>
    <col min="28" max="28" width="2.86328125" style="221" hidden="1" customWidth="1"/>
    <col min="29" max="29" width="5" style="221" hidden="1" customWidth="1"/>
    <col min="30" max="30" width="6.265625" style="221" hidden="1" customWidth="1"/>
    <col min="31" max="32" width="2.86328125" style="221" hidden="1" customWidth="1"/>
    <col min="33" max="33" width="34.265625" style="221" hidden="1" customWidth="1"/>
    <col min="34" max="34" width="2.86328125" style="221" hidden="1" customWidth="1"/>
    <col min="35" max="35" width="6.265625" style="221" hidden="1" customWidth="1"/>
    <col min="36" max="36" width="2.86328125" style="221" hidden="1" customWidth="1"/>
    <col min="37" max="37" width="34.265625" style="221" hidden="1" customWidth="1"/>
    <col min="38" max="39" width="2.86328125" style="221" hidden="1" customWidth="1"/>
    <col min="40" max="40" width="7.73046875" style="204" hidden="1" customWidth="1"/>
    <col min="41" max="50" width="7.86328125" style="204" hidden="1" customWidth="1"/>
    <col min="51" max="51" width="7.73046875" style="204" hidden="1" customWidth="1"/>
    <col min="52" max="16384" width="7.73046875" style="204" hidden="1"/>
  </cols>
  <sheetData>
    <row r="1" spans="1:40" ht="30.75" x14ac:dyDescent="0.4">
      <c r="A1" s="203" t="str">
        <f ca="1" xml:space="preserve"> RIGHT(CELL("filename", A1), LEN(CELL("filename", A1)) - SEARCH("]", CELL("filename", A1)))</f>
        <v>Conceptual model</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row>
    <row r="2" spans="1:40" ht="13.15" x14ac:dyDescent="0.4">
      <c r="A2" s="205"/>
      <c r="B2" s="206"/>
      <c r="C2" s="206"/>
      <c r="D2" s="206"/>
      <c r="E2" s="206"/>
      <c r="F2" s="206"/>
      <c r="G2" s="206"/>
      <c r="H2" s="207"/>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row>
    <row r="3" spans="1:40" s="208" customFormat="1" ht="13.15" x14ac:dyDescent="0.35">
      <c r="A3" s="208" t="s">
        <v>8</v>
      </c>
    </row>
    <row r="4" spans="1:40" ht="13.15" x14ac:dyDescent="0.4">
      <c r="A4" s="205"/>
      <c r="B4" s="206"/>
      <c r="C4" s="206"/>
      <c r="D4" s="206"/>
      <c r="E4" s="206"/>
      <c r="F4" s="206"/>
      <c r="G4" s="206"/>
      <c r="H4" s="207"/>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row>
    <row r="5" spans="1:40" ht="13.15" x14ac:dyDescent="0.4">
      <c r="A5" s="209"/>
      <c r="B5" s="210"/>
      <c r="C5" s="210"/>
      <c r="D5" s="210"/>
      <c r="E5" s="210"/>
      <c r="F5" s="211"/>
      <c r="G5" s="212"/>
      <c r="H5" s="212"/>
      <c r="I5" s="212"/>
      <c r="J5" s="212"/>
      <c r="K5" s="213"/>
      <c r="L5" s="211"/>
      <c r="M5" s="213"/>
      <c r="N5" s="213"/>
      <c r="O5" s="213"/>
      <c r="P5" s="212"/>
      <c r="Q5" s="212"/>
      <c r="R5" s="212"/>
      <c r="S5" s="212"/>
      <c r="T5" s="212"/>
      <c r="U5" s="210"/>
      <c r="V5" s="210"/>
      <c r="W5" s="210"/>
      <c r="X5" s="210"/>
      <c r="Y5" s="210"/>
      <c r="Z5" s="210"/>
      <c r="AA5" s="210"/>
      <c r="AB5" s="210"/>
      <c r="AC5" s="210"/>
      <c r="AD5" s="210"/>
      <c r="AE5" s="210"/>
      <c r="AF5" s="210"/>
      <c r="AG5" s="210"/>
      <c r="AH5" s="210"/>
      <c r="AI5" s="210"/>
      <c r="AJ5" s="210"/>
      <c r="AK5" s="210"/>
      <c r="AL5" s="210"/>
      <c r="AM5" s="210"/>
    </row>
    <row r="6" spans="1:40" ht="13.15" x14ac:dyDescent="0.4">
      <c r="A6" s="205"/>
      <c r="B6" s="206"/>
      <c r="C6" s="206"/>
      <c r="D6" s="206"/>
      <c r="E6" s="206"/>
      <c r="F6" s="206"/>
      <c r="G6" s="206"/>
      <c r="H6" s="206"/>
      <c r="I6" s="206"/>
      <c r="J6" s="206"/>
      <c r="K6" s="206"/>
      <c r="L6" s="207"/>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row>
    <row r="7" spans="1:40" ht="13.15" x14ac:dyDescent="0.4">
      <c r="A7" s="205"/>
      <c r="B7" s="206"/>
      <c r="C7" s="206"/>
      <c r="D7" s="206"/>
      <c r="E7" s="206"/>
      <c r="F7" s="206"/>
      <c r="G7" s="206"/>
      <c r="H7" s="206"/>
      <c r="I7" s="206"/>
      <c r="J7" s="206"/>
      <c r="K7" s="206"/>
      <c r="L7" s="207"/>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row>
    <row r="8" spans="1:40" ht="13.15" x14ac:dyDescent="0.4">
      <c r="A8" s="205"/>
      <c r="B8" s="206"/>
      <c r="C8" s="206"/>
      <c r="D8" s="206"/>
      <c r="E8" s="206"/>
      <c r="F8" s="206"/>
      <c r="G8" s="206"/>
      <c r="H8" s="214"/>
      <c r="I8" s="206"/>
      <c r="J8" s="206"/>
      <c r="K8" s="206"/>
      <c r="L8" s="207"/>
      <c r="M8" s="206"/>
      <c r="N8" s="206"/>
      <c r="O8" s="206"/>
      <c r="P8" s="206"/>
      <c r="Q8" s="214"/>
      <c r="R8" s="206"/>
      <c r="S8" s="206"/>
      <c r="T8" s="206"/>
      <c r="U8" s="206"/>
      <c r="V8" s="206"/>
      <c r="W8" s="206"/>
      <c r="X8" s="206"/>
      <c r="Y8" s="206"/>
      <c r="Z8" s="206"/>
      <c r="AA8" s="206"/>
      <c r="AB8" s="206"/>
      <c r="AC8" s="206"/>
      <c r="AD8" s="206"/>
      <c r="AE8" s="206"/>
      <c r="AF8" s="206"/>
      <c r="AG8" s="206"/>
      <c r="AH8" s="206"/>
      <c r="AI8" s="206"/>
      <c r="AJ8" s="206"/>
      <c r="AK8" s="206"/>
      <c r="AL8" s="206"/>
      <c r="AM8" s="206"/>
    </row>
    <row r="9" spans="1:40" ht="13.15" x14ac:dyDescent="0.4">
      <c r="A9" s="205"/>
      <c r="B9" s="206"/>
      <c r="C9" s="206"/>
      <c r="D9" s="206"/>
      <c r="E9" s="206"/>
      <c r="F9" s="206"/>
      <c r="G9" s="206"/>
      <c r="H9" s="206"/>
      <c r="I9" s="206"/>
      <c r="J9" s="206"/>
      <c r="K9" s="206"/>
      <c r="L9" s="207"/>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row>
    <row r="10" spans="1:40" ht="13.15" x14ac:dyDescent="0.4">
      <c r="A10" s="205"/>
      <c r="B10" s="206"/>
      <c r="C10" s="206"/>
      <c r="D10" s="206"/>
      <c r="E10" s="206"/>
      <c r="F10" s="206"/>
      <c r="G10" s="206"/>
      <c r="H10" s="206"/>
      <c r="I10" s="206"/>
      <c r="J10" s="206"/>
      <c r="K10" s="206"/>
      <c r="L10" s="207"/>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row>
    <row r="11" spans="1:40" ht="13.15" x14ac:dyDescent="0.4">
      <c r="A11" s="205"/>
      <c r="B11" s="206"/>
      <c r="C11" s="206"/>
      <c r="D11" s="206"/>
      <c r="E11" s="206"/>
      <c r="F11" s="206"/>
      <c r="G11" s="206"/>
      <c r="H11" s="206"/>
      <c r="I11" s="206"/>
      <c r="J11" s="206"/>
      <c r="K11" s="206"/>
      <c r="L11" s="207"/>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row>
    <row r="12" spans="1:40" ht="13.15" x14ac:dyDescent="0.4">
      <c r="A12" s="205"/>
      <c r="B12" s="206"/>
      <c r="C12" s="206"/>
      <c r="D12" s="206"/>
      <c r="E12" s="206"/>
      <c r="F12" s="206"/>
      <c r="G12" s="206"/>
      <c r="H12" s="206"/>
      <c r="I12" s="206"/>
      <c r="J12" s="206"/>
      <c r="K12" s="206"/>
      <c r="L12" s="207"/>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row>
    <row r="13" spans="1:40" ht="13.15" x14ac:dyDescent="0.4">
      <c r="A13" s="209"/>
      <c r="B13" s="210"/>
      <c r="C13" s="210"/>
      <c r="D13" s="210"/>
      <c r="E13" s="210"/>
      <c r="F13" s="215"/>
      <c r="G13" s="216"/>
      <c r="H13" s="216"/>
      <c r="I13" s="216"/>
      <c r="J13" s="216"/>
      <c r="K13" s="216"/>
      <c r="L13" s="215"/>
      <c r="M13" s="216"/>
      <c r="N13" s="216"/>
      <c r="O13" s="216"/>
      <c r="P13" s="216"/>
      <c r="Q13" s="216"/>
      <c r="R13" s="216"/>
      <c r="S13" s="216"/>
      <c r="T13" s="216"/>
      <c r="U13" s="210"/>
      <c r="V13" s="210"/>
      <c r="W13" s="210"/>
      <c r="X13" s="210"/>
      <c r="Y13" s="210"/>
      <c r="Z13" s="210"/>
      <c r="AA13" s="210"/>
      <c r="AB13" s="210"/>
      <c r="AC13" s="210"/>
      <c r="AD13" s="210"/>
      <c r="AE13" s="210"/>
      <c r="AF13" s="210"/>
      <c r="AG13" s="210"/>
      <c r="AH13" s="210"/>
      <c r="AI13" s="210"/>
      <c r="AJ13" s="210"/>
      <c r="AK13" s="210"/>
      <c r="AL13" s="210"/>
      <c r="AM13" s="210"/>
    </row>
    <row r="14" spans="1:40" ht="13.15" x14ac:dyDescent="0.4">
      <c r="A14" s="205"/>
      <c r="B14" s="206"/>
      <c r="C14" s="206"/>
      <c r="D14" s="206"/>
      <c r="E14" s="206"/>
      <c r="F14" s="206"/>
      <c r="G14" s="206"/>
      <c r="H14" s="206"/>
      <c r="I14" s="206"/>
      <c r="J14" s="206"/>
      <c r="K14" s="206"/>
      <c r="L14" s="207"/>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row>
    <row r="15" spans="1:40" ht="13.15" x14ac:dyDescent="0.4">
      <c r="A15" s="205"/>
      <c r="B15" s="206"/>
      <c r="C15" s="206"/>
      <c r="D15" s="206"/>
      <c r="E15" s="206"/>
      <c r="F15" s="206"/>
      <c r="G15" s="206"/>
      <c r="H15" s="206"/>
      <c r="I15" s="206"/>
      <c r="J15" s="206"/>
      <c r="K15" s="206"/>
      <c r="L15" s="207"/>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row>
    <row r="16" spans="1:40" ht="13.15" x14ac:dyDescent="0.4">
      <c r="A16" s="205"/>
      <c r="B16" s="206"/>
      <c r="C16" s="206"/>
      <c r="D16" s="206"/>
      <c r="E16" s="206"/>
      <c r="F16" s="206"/>
      <c r="G16" s="206"/>
      <c r="H16" s="206"/>
      <c r="I16" s="206"/>
      <c r="J16" s="206"/>
      <c r="K16" s="206"/>
      <c r="L16" s="207"/>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row>
    <row r="17" spans="1:39" ht="13.15" x14ac:dyDescent="0.4">
      <c r="A17" s="205"/>
      <c r="B17" s="206"/>
      <c r="C17" s="206"/>
      <c r="D17" s="206"/>
      <c r="E17" s="206"/>
      <c r="F17" s="206"/>
      <c r="G17" s="206"/>
      <c r="H17" s="206"/>
      <c r="I17" s="206"/>
      <c r="J17" s="206"/>
      <c r="K17" s="206"/>
      <c r="L17" s="207"/>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row>
    <row r="18" spans="1:39" ht="13.15" x14ac:dyDescent="0.4">
      <c r="A18" s="205"/>
      <c r="B18" s="206"/>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row>
    <row r="19" spans="1:39" ht="13.15" x14ac:dyDescent="0.4">
      <c r="A19" s="205"/>
      <c r="B19" s="206"/>
      <c r="C19" s="206"/>
      <c r="D19" s="206"/>
      <c r="E19" s="206"/>
      <c r="F19" s="206"/>
      <c r="G19" s="206"/>
      <c r="H19" s="214"/>
      <c r="I19" s="206"/>
      <c r="J19" s="206"/>
      <c r="K19" s="206"/>
      <c r="L19" s="214"/>
      <c r="M19" s="206"/>
      <c r="N19" s="206"/>
      <c r="O19" s="206"/>
      <c r="P19" s="206"/>
      <c r="Q19" s="214"/>
      <c r="R19" s="206"/>
      <c r="S19" s="206"/>
      <c r="T19" s="206"/>
      <c r="U19" s="206"/>
      <c r="V19" s="206"/>
      <c r="W19" s="206"/>
      <c r="X19" s="206"/>
      <c r="Y19" s="206"/>
      <c r="Z19" s="206"/>
      <c r="AA19" s="206"/>
      <c r="AB19" s="206"/>
      <c r="AC19" s="206"/>
      <c r="AD19" s="206"/>
      <c r="AE19" s="206"/>
      <c r="AF19" s="206"/>
      <c r="AG19" s="206"/>
      <c r="AH19" s="206"/>
      <c r="AI19" s="206"/>
      <c r="AJ19" s="206"/>
      <c r="AK19" s="206"/>
      <c r="AL19" s="206"/>
      <c r="AM19" s="206"/>
    </row>
    <row r="20" spans="1:39" ht="13.15" x14ac:dyDescent="0.4">
      <c r="A20" s="205"/>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row>
    <row r="21" spans="1:39" ht="13.15" x14ac:dyDescent="0.4">
      <c r="A21" s="205"/>
      <c r="B21" s="206"/>
      <c r="C21" s="206"/>
      <c r="D21" s="206"/>
      <c r="E21" s="206"/>
      <c r="F21" s="206"/>
      <c r="G21" s="206"/>
      <c r="H21" s="206"/>
      <c r="I21" s="206"/>
      <c r="J21" s="206"/>
      <c r="K21" s="206"/>
      <c r="L21" s="207"/>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row>
    <row r="22" spans="1:39" ht="13.15" x14ac:dyDescent="0.4">
      <c r="A22" s="205"/>
      <c r="B22" s="206"/>
      <c r="C22" s="206"/>
      <c r="D22" s="206"/>
      <c r="E22" s="206"/>
      <c r="F22" s="206"/>
      <c r="G22" s="206"/>
      <c r="H22" s="206"/>
      <c r="I22" s="206"/>
      <c r="J22" s="206"/>
      <c r="K22" s="206"/>
      <c r="L22" s="207"/>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row>
    <row r="23" spans="1:39" ht="13.15" x14ac:dyDescent="0.4">
      <c r="A23" s="205"/>
      <c r="B23" s="206"/>
      <c r="C23" s="206"/>
      <c r="D23" s="206"/>
      <c r="E23" s="206"/>
      <c r="F23" s="206"/>
      <c r="G23" s="206"/>
      <c r="H23" s="206"/>
      <c r="I23" s="206"/>
      <c r="J23" s="206"/>
      <c r="K23" s="206"/>
      <c r="L23" s="207"/>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row>
    <row r="24" spans="1:39" ht="13.15" x14ac:dyDescent="0.4">
      <c r="A24" s="205"/>
      <c r="B24" s="206"/>
      <c r="C24" s="206"/>
      <c r="D24" s="206"/>
      <c r="E24" s="206"/>
      <c r="F24" s="206"/>
      <c r="G24" s="206"/>
      <c r="H24" s="206"/>
      <c r="I24" s="206"/>
      <c r="J24" s="206"/>
      <c r="K24" s="206"/>
      <c r="L24" s="207"/>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row>
    <row r="25" spans="1:39" ht="13.15" x14ac:dyDescent="0.4">
      <c r="A25" s="205"/>
      <c r="B25" s="206"/>
      <c r="C25" s="206"/>
      <c r="D25" s="206"/>
      <c r="E25" s="206"/>
      <c r="F25" s="206"/>
      <c r="G25" s="206"/>
      <c r="H25" s="206"/>
      <c r="I25" s="206"/>
      <c r="J25" s="206"/>
      <c r="K25" s="206"/>
      <c r="L25" s="207"/>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c r="AJ25" s="206"/>
      <c r="AK25" s="206"/>
      <c r="AL25" s="206"/>
      <c r="AM25" s="206"/>
    </row>
    <row r="26" spans="1:39" ht="13.15" x14ac:dyDescent="0.4">
      <c r="A26" s="205"/>
      <c r="B26" s="206"/>
      <c r="C26" s="206"/>
      <c r="D26" s="206"/>
      <c r="E26" s="206"/>
      <c r="F26" s="206"/>
      <c r="G26" s="206"/>
      <c r="H26" s="206"/>
      <c r="I26" s="206"/>
      <c r="J26" s="206"/>
      <c r="K26" s="206"/>
      <c r="L26" s="207"/>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row>
    <row r="27" spans="1:39" ht="13.15" x14ac:dyDescent="0.4">
      <c r="A27" s="205"/>
      <c r="B27" s="206"/>
      <c r="C27" s="206"/>
      <c r="D27" s="206"/>
      <c r="E27" s="206"/>
      <c r="F27" s="206"/>
      <c r="G27" s="206"/>
      <c r="H27" s="206"/>
      <c r="I27" s="206"/>
      <c r="J27" s="206"/>
      <c r="K27" s="206"/>
      <c r="L27" s="207"/>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row>
    <row r="28" spans="1:39" ht="13.15" x14ac:dyDescent="0.4">
      <c r="A28" s="205"/>
      <c r="B28" s="206"/>
      <c r="C28" s="206"/>
      <c r="D28" s="206"/>
      <c r="E28" s="206"/>
      <c r="F28" s="206"/>
      <c r="G28" s="206"/>
      <c r="H28" s="206"/>
      <c r="I28" s="206"/>
      <c r="J28" s="206"/>
      <c r="K28" s="206"/>
      <c r="L28" s="207"/>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row>
    <row r="29" spans="1:39" ht="13.15" x14ac:dyDescent="0.4">
      <c r="A29" s="205"/>
      <c r="B29" s="206"/>
      <c r="C29" s="206"/>
      <c r="D29" s="206"/>
      <c r="E29" s="206"/>
      <c r="F29" s="206"/>
      <c r="G29" s="206"/>
      <c r="H29" s="206"/>
      <c r="I29" s="206"/>
      <c r="J29" s="206"/>
      <c r="K29" s="206"/>
      <c r="L29" s="207"/>
      <c r="M29" s="206"/>
      <c r="N29" s="206"/>
      <c r="O29" s="206"/>
      <c r="P29" s="206"/>
      <c r="Q29" s="206"/>
      <c r="R29" s="206"/>
      <c r="S29" s="206"/>
      <c r="T29" s="206"/>
      <c r="U29" s="206"/>
      <c r="V29" s="206"/>
      <c r="W29" s="206"/>
      <c r="X29" s="206"/>
      <c r="Y29" s="206"/>
      <c r="Z29" s="206"/>
      <c r="AA29" s="206"/>
      <c r="AB29" s="206"/>
      <c r="AC29" s="206"/>
      <c r="AD29" s="206"/>
      <c r="AE29" s="206"/>
      <c r="AF29" s="206"/>
      <c r="AG29" s="206"/>
      <c r="AH29" s="206"/>
      <c r="AI29" s="206"/>
      <c r="AJ29" s="206"/>
      <c r="AK29" s="206"/>
      <c r="AL29" s="206"/>
      <c r="AM29" s="206"/>
    </row>
    <row r="30" spans="1:39" ht="13.15" x14ac:dyDescent="0.4">
      <c r="A30" s="205"/>
      <c r="B30" s="206"/>
      <c r="C30" s="206"/>
      <c r="D30" s="206"/>
      <c r="E30" s="206"/>
      <c r="F30" s="206"/>
      <c r="G30" s="206"/>
      <c r="H30" s="206"/>
      <c r="I30" s="206"/>
      <c r="J30" s="206"/>
      <c r="K30" s="206"/>
      <c r="L30" s="207"/>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M30" s="206"/>
    </row>
    <row r="31" spans="1:39" ht="13.15" x14ac:dyDescent="0.4">
      <c r="A31" s="217" t="s">
        <v>9</v>
      </c>
      <c r="B31" s="217"/>
      <c r="C31" s="218"/>
      <c r="D31" s="219"/>
      <c r="E31" s="218"/>
      <c r="F31" s="220"/>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7"/>
      <c r="AM31" s="217"/>
    </row>
  </sheetData>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06865-FB23-4F35-8909-27E90F4D594E}">
  <sheetPr>
    <tabColor rgb="FFFFDB8E"/>
  </sheetPr>
  <dimension ref="A1:O108"/>
  <sheetViews>
    <sheetView zoomScale="80" zoomScaleNormal="80" workbookViewId="0"/>
  </sheetViews>
  <sheetFormatPr defaultRowHeight="12.75" x14ac:dyDescent="0.35"/>
  <cols>
    <col min="1" max="1" width="6.59765625" customWidth="1"/>
    <col min="2" max="2" width="20.265625" bestFit="1" customWidth="1"/>
    <col min="3" max="3" width="73" customWidth="1"/>
    <col min="4" max="10" width="9.1328125" customWidth="1"/>
  </cols>
  <sheetData>
    <row r="1" spans="1:15" ht="14.25" x14ac:dyDescent="0.45">
      <c r="C1" s="232" t="s">
        <v>10</v>
      </c>
      <c r="E1" s="232" t="s">
        <v>11</v>
      </c>
    </row>
    <row r="2" spans="1:15" ht="14.25" x14ac:dyDescent="0.45">
      <c r="A2" s="233" t="s">
        <v>12</v>
      </c>
      <c r="B2" s="233" t="s">
        <v>13</v>
      </c>
      <c r="C2" s="233" t="s">
        <v>14</v>
      </c>
      <c r="D2" s="233" t="s">
        <v>15</v>
      </c>
      <c r="E2" s="233" t="s">
        <v>16</v>
      </c>
      <c r="F2" s="233" t="s">
        <v>17</v>
      </c>
      <c r="G2" s="233" t="s">
        <v>18</v>
      </c>
      <c r="H2" s="233" t="s">
        <v>18</v>
      </c>
      <c r="I2" s="233" t="s">
        <v>18</v>
      </c>
      <c r="J2" s="233" t="s">
        <v>18</v>
      </c>
      <c r="K2" s="233" t="s">
        <v>18</v>
      </c>
      <c r="L2" s="233" t="s">
        <v>18</v>
      </c>
      <c r="M2" s="233" t="s">
        <v>18</v>
      </c>
      <c r="N2" s="233" t="s">
        <v>18</v>
      </c>
      <c r="O2" s="233" t="s">
        <v>18</v>
      </c>
    </row>
    <row r="4" spans="1:15" ht="14.25" x14ac:dyDescent="0.45">
      <c r="F4" s="233" t="s">
        <v>19</v>
      </c>
    </row>
    <row r="5" spans="1:15" ht="14.25" x14ac:dyDescent="0.45">
      <c r="F5" s="233" t="s">
        <v>20</v>
      </c>
    </row>
    <row r="6" spans="1:15" ht="14.25" x14ac:dyDescent="0.45">
      <c r="F6" s="233" t="s">
        <v>21</v>
      </c>
      <c r="G6" s="233" t="s">
        <v>22</v>
      </c>
      <c r="H6" s="233" t="s">
        <v>23</v>
      </c>
      <c r="I6" s="233" t="s">
        <v>24</v>
      </c>
      <c r="J6" s="233" t="s">
        <v>25</v>
      </c>
      <c r="K6" s="233" t="s">
        <v>26</v>
      </c>
      <c r="L6" s="233" t="s">
        <v>27</v>
      </c>
      <c r="M6" s="233" t="s">
        <v>28</v>
      </c>
      <c r="N6" s="233" t="s">
        <v>29</v>
      </c>
      <c r="O6" s="233" t="s">
        <v>30</v>
      </c>
    </row>
    <row r="7" spans="1:15" x14ac:dyDescent="0.35">
      <c r="A7" s="183" t="s">
        <v>31</v>
      </c>
      <c r="B7" s="183" t="s">
        <v>32</v>
      </c>
      <c r="C7" s="183" t="s">
        <v>33</v>
      </c>
      <c r="D7" s="183" t="s">
        <v>34</v>
      </c>
      <c r="E7" s="183" t="s">
        <v>17</v>
      </c>
      <c r="F7" s="184" t="s">
        <v>18</v>
      </c>
      <c r="G7" s="184" t="s">
        <v>18</v>
      </c>
      <c r="H7" s="187">
        <v>0.94399999999999995</v>
      </c>
      <c r="I7" s="187">
        <v>0.69471010168891179</v>
      </c>
      <c r="J7" s="187">
        <v>0.88712999360201172</v>
      </c>
      <c r="K7" s="187">
        <v>1.4730689481860959</v>
      </c>
      <c r="L7" s="187">
        <v>1.4730689481860959</v>
      </c>
      <c r="M7" s="187">
        <v>1.4730689481860959</v>
      </c>
      <c r="N7" s="187">
        <v>1.4730689481860959</v>
      </c>
      <c r="O7" s="187">
        <v>1.4730689481860959</v>
      </c>
    </row>
    <row r="8" spans="1:15" x14ac:dyDescent="0.35">
      <c r="A8" s="183" t="s">
        <v>31</v>
      </c>
      <c r="B8" s="183" t="s">
        <v>35</v>
      </c>
      <c r="C8" s="183" t="s">
        <v>36</v>
      </c>
      <c r="D8" s="183" t="s">
        <v>34</v>
      </c>
      <c r="E8" s="183" t="s">
        <v>17</v>
      </c>
      <c r="F8" s="184" t="s">
        <v>18</v>
      </c>
      <c r="G8" s="184" t="s">
        <v>18</v>
      </c>
      <c r="H8" s="187">
        <v>0</v>
      </c>
      <c r="I8" s="187">
        <v>0</v>
      </c>
      <c r="J8" s="187">
        <v>0</v>
      </c>
      <c r="K8" s="187">
        <v>0</v>
      </c>
      <c r="L8" s="187">
        <v>0</v>
      </c>
      <c r="M8" s="187">
        <v>0</v>
      </c>
      <c r="N8" s="187">
        <v>0</v>
      </c>
      <c r="O8" s="187">
        <v>0</v>
      </c>
    </row>
    <row r="9" spans="1:15" x14ac:dyDescent="0.35">
      <c r="A9" s="183" t="s">
        <v>31</v>
      </c>
      <c r="B9" s="183" t="s">
        <v>37</v>
      </c>
      <c r="C9" s="183" t="s">
        <v>38</v>
      </c>
      <c r="D9" s="183" t="s">
        <v>39</v>
      </c>
      <c r="E9" s="183" t="s">
        <v>17</v>
      </c>
      <c r="F9" s="184" t="s">
        <v>18</v>
      </c>
      <c r="G9" s="184" t="s">
        <v>18</v>
      </c>
      <c r="H9" s="188">
        <v>18002</v>
      </c>
      <c r="I9" s="188">
        <v>12342</v>
      </c>
      <c r="J9" s="188">
        <v>19000</v>
      </c>
      <c r="K9" s="188">
        <v>19000</v>
      </c>
      <c r="L9" s="188">
        <v>19000</v>
      </c>
      <c r="M9" s="188">
        <v>19000</v>
      </c>
      <c r="N9" s="188">
        <v>19000</v>
      </c>
      <c r="O9" s="188">
        <v>19000</v>
      </c>
    </row>
    <row r="10" spans="1:15" x14ac:dyDescent="0.35">
      <c r="A10" s="183" t="s">
        <v>31</v>
      </c>
      <c r="B10" s="183" t="s">
        <v>40</v>
      </c>
      <c r="C10" s="183" t="s">
        <v>33</v>
      </c>
      <c r="D10" s="183" t="s">
        <v>34</v>
      </c>
      <c r="E10" s="183" t="s">
        <v>17</v>
      </c>
      <c r="F10" s="184" t="s">
        <v>18</v>
      </c>
      <c r="G10" s="184" t="s">
        <v>18</v>
      </c>
      <c r="H10" s="187">
        <v>8.2000000000000003E-2</v>
      </c>
      <c r="I10" s="187">
        <v>5.5899471252566738E-2</v>
      </c>
      <c r="J10" s="187">
        <v>8.0419551962904054E-2</v>
      </c>
      <c r="K10" s="187">
        <v>8.3699999999999997E-2</v>
      </c>
      <c r="L10" s="187">
        <v>8.3699999999999997E-2</v>
      </c>
      <c r="M10" s="187">
        <v>8.3699999999999997E-2</v>
      </c>
      <c r="N10" s="187">
        <v>8.3699999999999997E-2</v>
      </c>
      <c r="O10" s="187">
        <v>8.3699999999999997E-2</v>
      </c>
    </row>
    <row r="11" spans="1:15" x14ac:dyDescent="0.35">
      <c r="A11" s="183" t="s">
        <v>31</v>
      </c>
      <c r="B11" s="183" t="s">
        <v>41</v>
      </c>
      <c r="C11" s="183" t="s">
        <v>36</v>
      </c>
      <c r="D11" s="183" t="s">
        <v>34</v>
      </c>
      <c r="E11" s="183" t="s">
        <v>17</v>
      </c>
      <c r="F11" s="184" t="s">
        <v>18</v>
      </c>
      <c r="G11" s="184" t="s">
        <v>18</v>
      </c>
      <c r="H11" s="187">
        <v>0</v>
      </c>
      <c r="I11" s="187">
        <v>0</v>
      </c>
      <c r="J11" s="187">
        <v>0</v>
      </c>
      <c r="K11" s="187">
        <v>0</v>
      </c>
      <c r="L11" s="187">
        <v>0</v>
      </c>
      <c r="M11" s="187">
        <v>0</v>
      </c>
      <c r="N11" s="187">
        <v>0</v>
      </c>
      <c r="O11" s="187">
        <v>0</v>
      </c>
    </row>
    <row r="12" spans="1:15" x14ac:dyDescent="0.35">
      <c r="A12" s="183" t="s">
        <v>31</v>
      </c>
      <c r="B12" s="183" t="s">
        <v>42</v>
      </c>
      <c r="C12" s="183" t="s">
        <v>38</v>
      </c>
      <c r="D12" s="183" t="s">
        <v>39</v>
      </c>
      <c r="E12" s="183" t="s">
        <v>17</v>
      </c>
      <c r="F12" s="184" t="s">
        <v>18</v>
      </c>
      <c r="G12" s="184" t="s">
        <v>18</v>
      </c>
      <c r="H12" s="188">
        <v>870</v>
      </c>
      <c r="I12" s="188">
        <v>701</v>
      </c>
      <c r="J12" s="188">
        <v>900</v>
      </c>
      <c r="K12" s="188">
        <v>900</v>
      </c>
      <c r="L12" s="188">
        <v>900</v>
      </c>
      <c r="M12" s="188">
        <v>900</v>
      </c>
      <c r="N12" s="188">
        <v>900</v>
      </c>
      <c r="O12" s="188">
        <v>900</v>
      </c>
    </row>
    <row r="13" spans="1:15" x14ac:dyDescent="0.35">
      <c r="A13" s="183" t="s">
        <v>43</v>
      </c>
      <c r="B13" s="183" t="s">
        <v>32</v>
      </c>
      <c r="C13" s="183" t="s">
        <v>33</v>
      </c>
      <c r="D13" s="183" t="s">
        <v>34</v>
      </c>
      <c r="E13" s="183" t="s">
        <v>17</v>
      </c>
      <c r="F13" s="184" t="s">
        <v>18</v>
      </c>
      <c r="G13" s="184" t="s">
        <v>18</v>
      </c>
      <c r="H13" s="187">
        <v>9.2999999999999999E-2</v>
      </c>
      <c r="I13" s="187">
        <v>0.182</v>
      </c>
      <c r="J13" s="187">
        <v>5.1999999999999998E-2</v>
      </c>
      <c r="K13" s="187">
        <v>4.2000000000000003E-2</v>
      </c>
      <c r="L13" s="187">
        <v>0.04</v>
      </c>
      <c r="M13" s="187">
        <v>3.9E-2</v>
      </c>
      <c r="N13" s="187">
        <v>3.9E-2</v>
      </c>
      <c r="O13" s="187">
        <v>3.7999999999999999E-2</v>
      </c>
    </row>
    <row r="14" spans="1:15" x14ac:dyDescent="0.35">
      <c r="A14" s="183" t="s">
        <v>43</v>
      </c>
      <c r="B14" s="183" t="s">
        <v>35</v>
      </c>
      <c r="C14" s="183" t="s">
        <v>36</v>
      </c>
      <c r="D14" s="183" t="s">
        <v>34</v>
      </c>
      <c r="E14" s="183" t="s">
        <v>17</v>
      </c>
      <c r="F14" s="184" t="s">
        <v>18</v>
      </c>
      <c r="G14" s="184" t="s">
        <v>18</v>
      </c>
      <c r="H14" s="187">
        <v>0</v>
      </c>
      <c r="I14" s="187">
        <v>0</v>
      </c>
      <c r="J14" s="187">
        <v>0</v>
      </c>
      <c r="K14" s="187">
        <v>0</v>
      </c>
      <c r="L14" s="187">
        <v>0</v>
      </c>
      <c r="M14" s="187">
        <v>0</v>
      </c>
      <c r="N14" s="187">
        <v>0</v>
      </c>
      <c r="O14" s="187">
        <v>0</v>
      </c>
    </row>
    <row r="15" spans="1:15" x14ac:dyDescent="0.35">
      <c r="A15" s="183" t="s">
        <v>43</v>
      </c>
      <c r="B15" s="183" t="s">
        <v>37</v>
      </c>
      <c r="C15" s="183" t="s">
        <v>38</v>
      </c>
      <c r="D15" s="183" t="s">
        <v>39</v>
      </c>
      <c r="E15" s="183" t="s">
        <v>17</v>
      </c>
      <c r="F15" s="184" t="s">
        <v>18</v>
      </c>
      <c r="G15" s="184" t="s">
        <v>18</v>
      </c>
      <c r="H15" s="188">
        <v>1815</v>
      </c>
      <c r="I15" s="188">
        <v>3630</v>
      </c>
      <c r="J15" s="188">
        <v>1034</v>
      </c>
      <c r="K15" s="188">
        <v>839.19399999999996</v>
      </c>
      <c r="L15" s="188">
        <v>800.16099999999994</v>
      </c>
      <c r="M15" s="188">
        <v>780.64499999999998</v>
      </c>
      <c r="N15" s="188">
        <v>761.12900000000002</v>
      </c>
      <c r="O15" s="188">
        <v>761.12900000000002</v>
      </c>
    </row>
    <row r="16" spans="1:15" x14ac:dyDescent="0.35">
      <c r="A16" s="183" t="s">
        <v>43</v>
      </c>
      <c r="B16" s="183" t="s">
        <v>40</v>
      </c>
      <c r="C16" s="183" t="s">
        <v>33</v>
      </c>
      <c r="D16" s="183" t="s">
        <v>34</v>
      </c>
      <c r="E16" s="183" t="s">
        <v>17</v>
      </c>
      <c r="F16" s="184" t="s">
        <v>18</v>
      </c>
      <c r="G16" s="184" t="s">
        <v>18</v>
      </c>
      <c r="H16" s="187">
        <v>9.2999999999999999E-2</v>
      </c>
      <c r="I16" s="187">
        <v>2.1999999999999999E-2</v>
      </c>
      <c r="J16" s="187">
        <v>4.3999999999999997E-2</v>
      </c>
      <c r="K16" s="187">
        <v>2.7E-2</v>
      </c>
      <c r="L16" s="187">
        <v>2.5000000000000001E-2</v>
      </c>
      <c r="M16" s="187">
        <v>2.5000000000000001E-2</v>
      </c>
      <c r="N16" s="187">
        <v>2.4E-2</v>
      </c>
      <c r="O16" s="187">
        <v>2.4E-2</v>
      </c>
    </row>
    <row r="17" spans="1:15" x14ac:dyDescent="0.35">
      <c r="A17" s="183" t="s">
        <v>43</v>
      </c>
      <c r="B17" s="183" t="s">
        <v>41</v>
      </c>
      <c r="C17" s="183" t="s">
        <v>36</v>
      </c>
      <c r="D17" s="183" t="s">
        <v>34</v>
      </c>
      <c r="E17" s="183" t="s">
        <v>17</v>
      </c>
      <c r="F17" s="184" t="s">
        <v>18</v>
      </c>
      <c r="G17" s="184" t="s">
        <v>18</v>
      </c>
      <c r="H17" s="187">
        <v>0</v>
      </c>
      <c r="I17" s="187">
        <v>0</v>
      </c>
      <c r="J17" s="187">
        <v>0</v>
      </c>
      <c r="K17" s="187">
        <v>0</v>
      </c>
      <c r="L17" s="187">
        <v>0</v>
      </c>
      <c r="M17" s="187">
        <v>0</v>
      </c>
      <c r="N17" s="187">
        <v>0</v>
      </c>
      <c r="O17" s="187">
        <v>0</v>
      </c>
    </row>
    <row r="18" spans="1:15" x14ac:dyDescent="0.35">
      <c r="A18" s="183" t="s">
        <v>43</v>
      </c>
      <c r="B18" s="183" t="s">
        <v>42</v>
      </c>
      <c r="C18" s="183" t="s">
        <v>38</v>
      </c>
      <c r="D18" s="183" t="s">
        <v>39</v>
      </c>
      <c r="E18" s="183" t="s">
        <v>17</v>
      </c>
      <c r="F18" s="184" t="s">
        <v>18</v>
      </c>
      <c r="G18" s="184" t="s">
        <v>18</v>
      </c>
      <c r="H18" s="188">
        <v>323</v>
      </c>
      <c r="I18" s="188">
        <v>421</v>
      </c>
      <c r="J18" s="188">
        <v>152.81800000000001</v>
      </c>
      <c r="K18" s="188">
        <v>90.3</v>
      </c>
      <c r="L18" s="188">
        <v>86.826999999999998</v>
      </c>
      <c r="M18" s="188">
        <v>86.826999999999998</v>
      </c>
      <c r="N18" s="188">
        <v>83.353999999999999</v>
      </c>
      <c r="O18" s="188">
        <v>83.353999999999999</v>
      </c>
    </row>
    <row r="19" spans="1:15" x14ac:dyDescent="0.35">
      <c r="A19" s="183" t="s">
        <v>44</v>
      </c>
      <c r="B19" s="183" t="s">
        <v>32</v>
      </c>
      <c r="C19" s="183" t="s">
        <v>33</v>
      </c>
      <c r="D19" s="183" t="s">
        <v>34</v>
      </c>
      <c r="E19" s="183" t="s">
        <v>17</v>
      </c>
      <c r="F19" s="184" t="s">
        <v>18</v>
      </c>
      <c r="G19" s="184" t="s">
        <v>18</v>
      </c>
      <c r="H19" s="187">
        <v>0</v>
      </c>
      <c r="I19" s="187">
        <v>0</v>
      </c>
      <c r="J19" s="187">
        <v>0</v>
      </c>
      <c r="K19" s="187">
        <v>0</v>
      </c>
      <c r="L19" s="187">
        <v>0</v>
      </c>
      <c r="M19" s="187">
        <v>0</v>
      </c>
      <c r="N19" s="187">
        <v>0</v>
      </c>
      <c r="O19" s="187">
        <v>0</v>
      </c>
    </row>
    <row r="20" spans="1:15" x14ac:dyDescent="0.35">
      <c r="A20" s="183" t="s">
        <v>44</v>
      </c>
      <c r="B20" s="183" t="s">
        <v>35</v>
      </c>
      <c r="C20" s="183" t="s">
        <v>36</v>
      </c>
      <c r="D20" s="183" t="s">
        <v>34</v>
      </c>
      <c r="E20" s="183" t="s">
        <v>17</v>
      </c>
      <c r="F20" s="184" t="s">
        <v>18</v>
      </c>
      <c r="G20" s="184" t="s">
        <v>18</v>
      </c>
      <c r="H20" s="187">
        <v>0</v>
      </c>
      <c r="I20" s="187">
        <v>0</v>
      </c>
      <c r="J20" s="187">
        <v>0</v>
      </c>
      <c r="K20" s="187">
        <v>0</v>
      </c>
      <c r="L20" s="187">
        <v>0</v>
      </c>
      <c r="M20" s="187">
        <v>0</v>
      </c>
      <c r="N20" s="187">
        <v>0</v>
      </c>
      <c r="O20" s="187">
        <v>0</v>
      </c>
    </row>
    <row r="21" spans="1:15" x14ac:dyDescent="0.35">
      <c r="A21" s="183" t="s">
        <v>44</v>
      </c>
      <c r="B21" s="183" t="s">
        <v>37</v>
      </c>
      <c r="C21" s="183" t="s">
        <v>38</v>
      </c>
      <c r="D21" s="183" t="s">
        <v>39</v>
      </c>
      <c r="E21" s="183" t="s">
        <v>17</v>
      </c>
      <c r="F21" s="184" t="s">
        <v>18</v>
      </c>
      <c r="G21" s="184" t="s">
        <v>18</v>
      </c>
      <c r="H21" s="188">
        <v>0</v>
      </c>
      <c r="I21" s="188">
        <v>0</v>
      </c>
      <c r="J21" s="188">
        <v>0</v>
      </c>
      <c r="K21" s="188">
        <v>0</v>
      </c>
      <c r="L21" s="188">
        <v>0</v>
      </c>
      <c r="M21" s="188">
        <v>0</v>
      </c>
      <c r="N21" s="188">
        <v>0</v>
      </c>
      <c r="O21" s="188">
        <v>0</v>
      </c>
    </row>
    <row r="22" spans="1:15" x14ac:dyDescent="0.35">
      <c r="A22" s="183" t="s">
        <v>44</v>
      </c>
      <c r="B22" s="183" t="s">
        <v>40</v>
      </c>
      <c r="C22" s="183" t="s">
        <v>33</v>
      </c>
      <c r="D22" s="183" t="s">
        <v>34</v>
      </c>
      <c r="E22" s="183" t="s">
        <v>17</v>
      </c>
      <c r="F22" s="184" t="s">
        <v>18</v>
      </c>
      <c r="G22" s="184" t="s">
        <v>18</v>
      </c>
      <c r="H22" s="187">
        <v>0</v>
      </c>
      <c r="I22" s="187">
        <v>0</v>
      </c>
      <c r="J22" s="187">
        <v>0</v>
      </c>
      <c r="K22" s="187">
        <v>0</v>
      </c>
      <c r="L22" s="187">
        <v>0</v>
      </c>
      <c r="M22" s="187">
        <v>0</v>
      </c>
      <c r="N22" s="187">
        <v>0</v>
      </c>
      <c r="O22" s="187">
        <v>0</v>
      </c>
    </row>
    <row r="23" spans="1:15" x14ac:dyDescent="0.35">
      <c r="A23" s="183" t="s">
        <v>44</v>
      </c>
      <c r="B23" s="183" t="s">
        <v>41</v>
      </c>
      <c r="C23" s="183" t="s">
        <v>36</v>
      </c>
      <c r="D23" s="183" t="s">
        <v>34</v>
      </c>
      <c r="E23" s="183" t="s">
        <v>17</v>
      </c>
      <c r="F23" s="184" t="s">
        <v>18</v>
      </c>
      <c r="G23" s="184" t="s">
        <v>18</v>
      </c>
      <c r="H23" s="187">
        <v>0</v>
      </c>
      <c r="I23" s="187">
        <v>0</v>
      </c>
      <c r="J23" s="187">
        <v>0</v>
      </c>
      <c r="K23" s="187">
        <v>0</v>
      </c>
      <c r="L23" s="187">
        <v>0</v>
      </c>
      <c r="M23" s="187">
        <v>0</v>
      </c>
      <c r="N23" s="187">
        <v>0</v>
      </c>
      <c r="O23" s="187">
        <v>0</v>
      </c>
    </row>
    <row r="24" spans="1:15" x14ac:dyDescent="0.35">
      <c r="A24" s="183" t="s">
        <v>44</v>
      </c>
      <c r="B24" s="183" t="s">
        <v>42</v>
      </c>
      <c r="C24" s="183" t="s">
        <v>38</v>
      </c>
      <c r="D24" s="183" t="s">
        <v>39</v>
      </c>
      <c r="E24" s="183" t="s">
        <v>17</v>
      </c>
      <c r="F24" s="184" t="s">
        <v>18</v>
      </c>
      <c r="G24" s="184" t="s">
        <v>18</v>
      </c>
      <c r="H24" s="188">
        <v>0</v>
      </c>
      <c r="I24" s="188">
        <v>0</v>
      </c>
      <c r="J24" s="188">
        <v>0</v>
      </c>
      <c r="K24" s="188">
        <v>0</v>
      </c>
      <c r="L24" s="188">
        <v>0</v>
      </c>
      <c r="M24" s="188">
        <v>0</v>
      </c>
      <c r="N24" s="188">
        <v>0</v>
      </c>
      <c r="O24" s="188">
        <v>0</v>
      </c>
    </row>
    <row r="25" spans="1:15" x14ac:dyDescent="0.35">
      <c r="A25" s="183" t="s">
        <v>45</v>
      </c>
      <c r="B25" s="183" t="s">
        <v>32</v>
      </c>
      <c r="C25" s="183" t="s">
        <v>33</v>
      </c>
      <c r="D25" s="183" t="s">
        <v>34</v>
      </c>
      <c r="E25" s="183" t="s">
        <v>17</v>
      </c>
      <c r="F25" s="184" t="s">
        <v>18</v>
      </c>
      <c r="G25" s="184" t="s">
        <v>18</v>
      </c>
      <c r="H25" s="187">
        <v>0.40799999999999997</v>
      </c>
      <c r="I25" s="187">
        <v>0.43298287301664001</v>
      </c>
      <c r="J25" s="187">
        <v>0.44600000000000001</v>
      </c>
      <c r="K25" s="187">
        <v>0.46899999999999997</v>
      </c>
      <c r="L25" s="187">
        <v>0.49299999999999999</v>
      </c>
      <c r="M25" s="187">
        <v>0.51700000000000002</v>
      </c>
      <c r="N25" s="187">
        <v>0.54</v>
      </c>
      <c r="O25" s="187">
        <v>0.56399999999999995</v>
      </c>
    </row>
    <row r="26" spans="1:15" x14ac:dyDescent="0.35">
      <c r="A26" s="183" t="s">
        <v>45</v>
      </c>
      <c r="B26" s="183" t="s">
        <v>35</v>
      </c>
      <c r="C26" s="183" t="s">
        <v>36</v>
      </c>
      <c r="D26" s="183" t="s">
        <v>34</v>
      </c>
      <c r="E26" s="183" t="s">
        <v>17</v>
      </c>
      <c r="F26" s="184" t="s">
        <v>18</v>
      </c>
      <c r="G26" s="184" t="s">
        <v>18</v>
      </c>
      <c r="H26" s="187">
        <v>0</v>
      </c>
      <c r="I26" s="187">
        <v>0</v>
      </c>
      <c r="J26" s="187">
        <v>0</v>
      </c>
      <c r="K26" s="187">
        <v>0</v>
      </c>
      <c r="L26" s="187">
        <v>0</v>
      </c>
      <c r="M26" s="187">
        <v>0</v>
      </c>
      <c r="N26" s="187">
        <v>0</v>
      </c>
      <c r="O26" s="187">
        <v>0</v>
      </c>
    </row>
    <row r="27" spans="1:15" x14ac:dyDescent="0.35">
      <c r="A27" s="183" t="s">
        <v>45</v>
      </c>
      <c r="B27" s="183" t="s">
        <v>37</v>
      </c>
      <c r="C27" s="183" t="s">
        <v>38</v>
      </c>
      <c r="D27" s="183" t="s">
        <v>39</v>
      </c>
      <c r="E27" s="183" t="s">
        <v>17</v>
      </c>
      <c r="F27" s="184" t="s">
        <v>18</v>
      </c>
      <c r="G27" s="184" t="s">
        <v>18</v>
      </c>
      <c r="H27" s="188">
        <v>9165</v>
      </c>
      <c r="I27" s="188">
        <v>8276</v>
      </c>
      <c r="J27" s="188">
        <v>10016</v>
      </c>
      <c r="K27" s="188">
        <v>10535</v>
      </c>
      <c r="L27" s="188">
        <v>11074</v>
      </c>
      <c r="M27" s="188">
        <v>11613</v>
      </c>
      <c r="N27" s="188">
        <v>12130</v>
      </c>
      <c r="O27" s="188">
        <v>12669</v>
      </c>
    </row>
    <row r="28" spans="1:15" x14ac:dyDescent="0.35">
      <c r="A28" s="183" t="s">
        <v>45</v>
      </c>
      <c r="B28" s="183" t="s">
        <v>40</v>
      </c>
      <c r="C28" s="183" t="s">
        <v>33</v>
      </c>
      <c r="D28" s="183" t="s">
        <v>34</v>
      </c>
      <c r="E28" s="183" t="s">
        <v>17</v>
      </c>
      <c r="F28" s="184" t="s">
        <v>18</v>
      </c>
      <c r="G28" s="184" t="s">
        <v>18</v>
      </c>
      <c r="H28" s="187">
        <v>2.1000000000000001E-2</v>
      </c>
      <c r="I28" s="187">
        <v>1.4211691674506781E-2</v>
      </c>
      <c r="J28" s="187">
        <v>2.1000000000000001E-2</v>
      </c>
      <c r="K28" s="187">
        <v>2.1000000000000001E-2</v>
      </c>
      <c r="L28" s="187">
        <v>2.1000000000000001E-2</v>
      </c>
      <c r="M28" s="187">
        <v>2.1000000000000001E-2</v>
      </c>
      <c r="N28" s="187">
        <v>2.1000000000000001E-2</v>
      </c>
      <c r="O28" s="187">
        <v>2.1000000000000001E-2</v>
      </c>
    </row>
    <row r="29" spans="1:15" x14ac:dyDescent="0.35">
      <c r="A29" s="183" t="s">
        <v>45</v>
      </c>
      <c r="B29" s="183" t="s">
        <v>41</v>
      </c>
      <c r="C29" s="183" t="s">
        <v>36</v>
      </c>
      <c r="D29" s="183" t="s">
        <v>34</v>
      </c>
      <c r="E29" s="183" t="s">
        <v>17</v>
      </c>
      <c r="F29" s="184" t="s">
        <v>18</v>
      </c>
      <c r="G29" s="184" t="s">
        <v>18</v>
      </c>
      <c r="H29" s="187">
        <v>0</v>
      </c>
      <c r="I29" s="187">
        <v>0</v>
      </c>
      <c r="J29" s="187">
        <v>0</v>
      </c>
      <c r="K29" s="187">
        <v>0</v>
      </c>
      <c r="L29" s="187">
        <v>0</v>
      </c>
      <c r="M29" s="187">
        <v>0</v>
      </c>
      <c r="N29" s="187">
        <v>0</v>
      </c>
      <c r="O29" s="187">
        <v>0</v>
      </c>
    </row>
    <row r="30" spans="1:15" x14ac:dyDescent="0.35">
      <c r="A30" s="183" t="s">
        <v>45</v>
      </c>
      <c r="B30" s="183" t="s">
        <v>42</v>
      </c>
      <c r="C30" s="183" t="s">
        <v>38</v>
      </c>
      <c r="D30" s="183" t="s">
        <v>39</v>
      </c>
      <c r="E30" s="183" t="s">
        <v>17</v>
      </c>
      <c r="F30" s="184" t="s">
        <v>18</v>
      </c>
      <c r="G30" s="184" t="s">
        <v>18</v>
      </c>
      <c r="H30" s="188">
        <v>402</v>
      </c>
      <c r="I30" s="188">
        <v>209</v>
      </c>
      <c r="J30" s="188">
        <v>402</v>
      </c>
      <c r="K30" s="188">
        <v>402</v>
      </c>
      <c r="L30" s="188">
        <v>402</v>
      </c>
      <c r="M30" s="188">
        <v>402</v>
      </c>
      <c r="N30" s="188">
        <v>402</v>
      </c>
      <c r="O30" s="188">
        <v>402</v>
      </c>
    </row>
    <row r="31" spans="1:15" x14ac:dyDescent="0.35">
      <c r="A31" s="183" t="s">
        <v>46</v>
      </c>
      <c r="B31" s="183" t="s">
        <v>32</v>
      </c>
      <c r="C31" s="183" t="s">
        <v>33</v>
      </c>
      <c r="D31" s="183" t="s">
        <v>34</v>
      </c>
      <c r="E31" s="183" t="s">
        <v>17</v>
      </c>
      <c r="F31" s="184" t="s">
        <v>18</v>
      </c>
      <c r="G31" s="184" t="s">
        <v>18</v>
      </c>
      <c r="H31" s="187">
        <v>2.6629999999999998</v>
      </c>
      <c r="I31" s="187">
        <v>1.744</v>
      </c>
      <c r="J31" s="187">
        <v>1.714</v>
      </c>
      <c r="K31" s="187">
        <v>2.843</v>
      </c>
      <c r="L31" s="187">
        <v>2.867</v>
      </c>
      <c r="M31" s="187">
        <v>2.891</v>
      </c>
      <c r="N31" s="187">
        <v>2.9159999999999999</v>
      </c>
      <c r="O31" s="187">
        <v>2.94</v>
      </c>
    </row>
    <row r="32" spans="1:15" x14ac:dyDescent="0.35">
      <c r="A32" s="183" t="s">
        <v>46</v>
      </c>
      <c r="B32" s="183" t="s">
        <v>35</v>
      </c>
      <c r="C32" s="183" t="s">
        <v>36</v>
      </c>
      <c r="D32" s="183" t="s">
        <v>34</v>
      </c>
      <c r="E32" s="183" t="s">
        <v>17</v>
      </c>
      <c r="F32" s="184" t="s">
        <v>18</v>
      </c>
      <c r="G32" s="184" t="s">
        <v>18</v>
      </c>
      <c r="H32" s="187">
        <v>0</v>
      </c>
      <c r="I32" s="187">
        <v>0</v>
      </c>
      <c r="J32" s="187">
        <v>0</v>
      </c>
      <c r="K32" s="187">
        <v>0</v>
      </c>
      <c r="L32" s="187">
        <v>0</v>
      </c>
      <c r="M32" s="187">
        <v>0</v>
      </c>
      <c r="N32" s="187">
        <v>0</v>
      </c>
      <c r="O32" s="187">
        <v>0</v>
      </c>
    </row>
    <row r="33" spans="1:15" x14ac:dyDescent="0.35">
      <c r="A33" s="183" t="s">
        <v>46</v>
      </c>
      <c r="B33" s="183" t="s">
        <v>37</v>
      </c>
      <c r="C33" s="183" t="s">
        <v>38</v>
      </c>
      <c r="D33" s="183" t="s">
        <v>39</v>
      </c>
      <c r="E33" s="183" t="s">
        <v>17</v>
      </c>
      <c r="F33" s="184" t="s">
        <v>18</v>
      </c>
      <c r="G33" s="184" t="s">
        <v>18</v>
      </c>
      <c r="H33" s="188">
        <v>58066</v>
      </c>
      <c r="I33" s="188">
        <v>38039.19</v>
      </c>
      <c r="J33" s="188">
        <v>31956.05620140845</v>
      </c>
      <c r="K33" s="188">
        <v>53005.290420422542</v>
      </c>
      <c r="L33" s="188">
        <v>53452.749783802821</v>
      </c>
      <c r="M33" s="188">
        <v>53900.209147183108</v>
      </c>
      <c r="N33" s="188">
        <v>54366.312650704233</v>
      </c>
      <c r="O33" s="188">
        <v>54813.772014084512</v>
      </c>
    </row>
    <row r="34" spans="1:15" x14ac:dyDescent="0.35">
      <c r="A34" s="183" t="s">
        <v>46</v>
      </c>
      <c r="B34" s="183" t="s">
        <v>40</v>
      </c>
      <c r="C34" s="183" t="s">
        <v>33</v>
      </c>
      <c r="D34" s="183" t="s">
        <v>34</v>
      </c>
      <c r="E34" s="183" t="s">
        <v>17</v>
      </c>
      <c r="F34" s="184" t="s">
        <v>18</v>
      </c>
      <c r="G34" s="184" t="s">
        <v>18</v>
      </c>
      <c r="H34" s="187">
        <v>5.1999999999999998E-2</v>
      </c>
      <c r="I34" s="187">
        <v>0.21911625300000001</v>
      </c>
      <c r="J34" s="187">
        <v>0.22045041800000001</v>
      </c>
      <c r="K34" s="187">
        <v>0.22179270800000001</v>
      </c>
      <c r="L34" s="187">
        <v>0.223143169</v>
      </c>
      <c r="M34" s="187">
        <v>0.224501856</v>
      </c>
      <c r="N34" s="187">
        <v>0.225868813</v>
      </c>
      <c r="O34" s="187">
        <v>0.22724409600000001</v>
      </c>
    </row>
    <row r="35" spans="1:15" x14ac:dyDescent="0.35">
      <c r="A35" s="183" t="s">
        <v>46</v>
      </c>
      <c r="B35" s="183" t="s">
        <v>41</v>
      </c>
      <c r="C35" s="183" t="s">
        <v>36</v>
      </c>
      <c r="D35" s="183" t="s">
        <v>34</v>
      </c>
      <c r="E35" s="183" t="s">
        <v>17</v>
      </c>
      <c r="F35" s="184" t="s">
        <v>18</v>
      </c>
      <c r="G35" s="184" t="s">
        <v>18</v>
      </c>
      <c r="H35" s="187">
        <v>0</v>
      </c>
      <c r="I35" s="187">
        <v>0</v>
      </c>
      <c r="J35" s="187">
        <v>0</v>
      </c>
      <c r="K35" s="187">
        <v>0</v>
      </c>
      <c r="L35" s="187">
        <v>0</v>
      </c>
      <c r="M35" s="187">
        <v>0</v>
      </c>
      <c r="N35" s="187">
        <v>0</v>
      </c>
      <c r="O35" s="187">
        <v>0</v>
      </c>
    </row>
    <row r="36" spans="1:15" x14ac:dyDescent="0.35">
      <c r="A36" s="183" t="s">
        <v>46</v>
      </c>
      <c r="B36" s="183" t="s">
        <v>42</v>
      </c>
      <c r="C36" s="183" t="s">
        <v>38</v>
      </c>
      <c r="D36" s="183" t="s">
        <v>39</v>
      </c>
      <c r="E36" s="183" t="s">
        <v>17</v>
      </c>
      <c r="F36" s="184" t="s">
        <v>18</v>
      </c>
      <c r="G36" s="184" t="s">
        <v>18</v>
      </c>
      <c r="H36" s="188">
        <v>178</v>
      </c>
      <c r="I36" s="188">
        <v>750.05178911538451</v>
      </c>
      <c r="J36" s="188">
        <v>5407.268567163791</v>
      </c>
      <c r="K36" s="188">
        <v>5440.1926259542543</v>
      </c>
      <c r="L36" s="188">
        <v>5473.317105308538</v>
      </c>
      <c r="M36" s="188">
        <v>5506.6433542240193</v>
      </c>
      <c r="N36" s="188">
        <v>5540.172451964404</v>
      </c>
      <c r="O36" s="188">
        <v>5573.9057723024243</v>
      </c>
    </row>
    <row r="37" spans="1:15" x14ac:dyDescent="0.35">
      <c r="A37" s="183" t="s">
        <v>47</v>
      </c>
      <c r="B37" s="183" t="s">
        <v>32</v>
      </c>
      <c r="C37" s="183" t="s">
        <v>33</v>
      </c>
      <c r="D37" s="183" t="s">
        <v>34</v>
      </c>
      <c r="E37" s="183" t="s">
        <v>17</v>
      </c>
      <c r="F37" s="184" t="s">
        <v>18</v>
      </c>
      <c r="G37" s="184" t="s">
        <v>18</v>
      </c>
      <c r="H37" s="187">
        <v>0.20899999999999999</v>
      </c>
      <c r="I37" s="187">
        <v>0.79</v>
      </c>
      <c r="J37" s="187">
        <v>0.20899999999999999</v>
      </c>
      <c r="K37" s="187">
        <v>0.14199529599999999</v>
      </c>
      <c r="L37" s="187">
        <v>0.133004648</v>
      </c>
      <c r="M37" s="187">
        <v>0.123995114</v>
      </c>
      <c r="N37" s="187">
        <v>0.114998539</v>
      </c>
      <c r="O37" s="187">
        <v>0.107004223</v>
      </c>
    </row>
    <row r="38" spans="1:15" x14ac:dyDescent="0.35">
      <c r="A38" s="183" t="s">
        <v>47</v>
      </c>
      <c r="B38" s="183" t="s">
        <v>35</v>
      </c>
      <c r="C38" s="183" t="s">
        <v>36</v>
      </c>
      <c r="D38" s="183" t="s">
        <v>34</v>
      </c>
      <c r="E38" s="183" t="s">
        <v>17</v>
      </c>
      <c r="F38" s="184" t="s">
        <v>18</v>
      </c>
      <c r="G38" s="184" t="s">
        <v>18</v>
      </c>
      <c r="H38" s="187">
        <v>0</v>
      </c>
      <c r="I38" s="187">
        <v>0</v>
      </c>
      <c r="J38" s="187">
        <v>0</v>
      </c>
      <c r="K38" s="187">
        <v>0</v>
      </c>
      <c r="L38" s="187">
        <v>0</v>
      </c>
      <c r="M38" s="187">
        <v>0</v>
      </c>
      <c r="N38" s="187">
        <v>0</v>
      </c>
      <c r="O38" s="187">
        <v>0</v>
      </c>
    </row>
    <row r="39" spans="1:15" x14ac:dyDescent="0.35">
      <c r="A39" s="183" t="s">
        <v>47</v>
      </c>
      <c r="B39" s="183" t="s">
        <v>37</v>
      </c>
      <c r="C39" s="183" t="s">
        <v>38</v>
      </c>
      <c r="D39" s="183" t="s">
        <v>39</v>
      </c>
      <c r="E39" s="183" t="s">
        <v>17</v>
      </c>
      <c r="F39" s="184" t="s">
        <v>18</v>
      </c>
      <c r="G39" s="184" t="s">
        <v>18</v>
      </c>
      <c r="H39" s="188">
        <v>22695</v>
      </c>
      <c r="I39" s="188">
        <v>4597</v>
      </c>
      <c r="J39" s="188">
        <v>24250</v>
      </c>
      <c r="K39" s="188">
        <v>22523</v>
      </c>
      <c r="L39" s="188">
        <v>22523</v>
      </c>
      <c r="M39" s="188">
        <v>22523</v>
      </c>
      <c r="N39" s="188">
        <v>22523</v>
      </c>
      <c r="O39" s="188">
        <v>22523</v>
      </c>
    </row>
    <row r="40" spans="1:15" x14ac:dyDescent="0.35">
      <c r="A40" s="183" t="s">
        <v>47</v>
      </c>
      <c r="B40" s="183" t="s">
        <v>40</v>
      </c>
      <c r="C40" s="183" t="s">
        <v>33</v>
      </c>
      <c r="D40" s="183" t="s">
        <v>34</v>
      </c>
      <c r="E40" s="183" t="s">
        <v>17</v>
      </c>
      <c r="F40" s="184" t="s">
        <v>18</v>
      </c>
      <c r="G40" s="184" t="s">
        <v>18</v>
      </c>
      <c r="H40" s="187">
        <v>3.0000000000000001E-3</v>
      </c>
      <c r="I40" s="187">
        <v>0</v>
      </c>
      <c r="J40" s="187">
        <v>3.0000000000000001E-3</v>
      </c>
      <c r="K40" s="187">
        <v>0</v>
      </c>
      <c r="L40" s="187">
        <v>0</v>
      </c>
      <c r="M40" s="187">
        <v>0</v>
      </c>
      <c r="N40" s="187">
        <v>0</v>
      </c>
      <c r="O40" s="187">
        <v>0</v>
      </c>
    </row>
    <row r="41" spans="1:15" x14ac:dyDescent="0.35">
      <c r="A41" s="183" t="s">
        <v>47</v>
      </c>
      <c r="B41" s="183" t="s">
        <v>41</v>
      </c>
      <c r="C41" s="183" t="s">
        <v>36</v>
      </c>
      <c r="D41" s="183" t="s">
        <v>34</v>
      </c>
      <c r="E41" s="183" t="s">
        <v>17</v>
      </c>
      <c r="F41" s="184" t="s">
        <v>18</v>
      </c>
      <c r="G41" s="184" t="s">
        <v>18</v>
      </c>
      <c r="H41" s="187">
        <v>0</v>
      </c>
      <c r="I41" s="187">
        <v>0</v>
      </c>
      <c r="J41" s="187">
        <v>0</v>
      </c>
      <c r="K41" s="187">
        <v>0</v>
      </c>
      <c r="L41" s="187">
        <v>0</v>
      </c>
      <c r="M41" s="187">
        <v>0</v>
      </c>
      <c r="N41" s="187">
        <v>0</v>
      </c>
      <c r="O41" s="187">
        <v>0</v>
      </c>
    </row>
    <row r="42" spans="1:15" x14ac:dyDescent="0.35">
      <c r="A42" s="183" t="s">
        <v>47</v>
      </c>
      <c r="B42" s="183" t="s">
        <v>42</v>
      </c>
      <c r="C42" s="183" t="s">
        <v>38</v>
      </c>
      <c r="D42" s="183" t="s">
        <v>39</v>
      </c>
      <c r="E42" s="183" t="s">
        <v>17</v>
      </c>
      <c r="F42" s="184" t="s">
        <v>18</v>
      </c>
      <c r="G42" s="184" t="s">
        <v>18</v>
      </c>
      <c r="H42" s="188">
        <v>2877</v>
      </c>
      <c r="I42" s="188">
        <v>0</v>
      </c>
      <c r="J42" s="188">
        <v>2743</v>
      </c>
      <c r="K42" s="188">
        <v>2743</v>
      </c>
      <c r="L42" s="188">
        <v>2743</v>
      </c>
      <c r="M42" s="188">
        <v>2743</v>
      </c>
      <c r="N42" s="188">
        <v>2743</v>
      </c>
      <c r="O42" s="188">
        <v>2743</v>
      </c>
    </row>
    <row r="43" spans="1:15" x14ac:dyDescent="0.35">
      <c r="A43" s="183" t="s">
        <v>48</v>
      </c>
      <c r="B43" s="183" t="s">
        <v>32</v>
      </c>
      <c r="C43" s="183" t="s">
        <v>33</v>
      </c>
      <c r="D43" s="183" t="s">
        <v>34</v>
      </c>
      <c r="E43" s="183" t="s">
        <v>17</v>
      </c>
      <c r="F43" s="184" t="s">
        <v>18</v>
      </c>
      <c r="G43" s="184" t="s">
        <v>18</v>
      </c>
      <c r="H43" s="187">
        <v>1.4830000000000001</v>
      </c>
      <c r="I43" s="187">
        <v>1.5129999999999999</v>
      </c>
      <c r="J43" s="187">
        <v>2.335</v>
      </c>
      <c r="K43" s="187">
        <v>2.335</v>
      </c>
      <c r="L43" s="187">
        <v>2.335</v>
      </c>
      <c r="M43" s="187">
        <v>2.335</v>
      </c>
      <c r="N43" s="187">
        <v>2.335</v>
      </c>
      <c r="O43" s="187">
        <v>2.335</v>
      </c>
    </row>
    <row r="44" spans="1:15" x14ac:dyDescent="0.35">
      <c r="A44" s="183" t="s">
        <v>48</v>
      </c>
      <c r="B44" s="183" t="s">
        <v>35</v>
      </c>
      <c r="C44" s="183" t="s">
        <v>36</v>
      </c>
      <c r="D44" s="183" t="s">
        <v>34</v>
      </c>
      <c r="E44" s="183" t="s">
        <v>17</v>
      </c>
      <c r="F44" s="184" t="s">
        <v>18</v>
      </c>
      <c r="G44" s="184" t="s">
        <v>18</v>
      </c>
      <c r="H44" s="187">
        <v>0.29399999999999998</v>
      </c>
      <c r="I44" s="187">
        <v>0.74</v>
      </c>
      <c r="J44" s="187">
        <v>0.11</v>
      </c>
      <c r="K44" s="187">
        <v>0.7</v>
      </c>
      <c r="L44" s="187">
        <v>0.7</v>
      </c>
      <c r="M44" s="187">
        <v>0.7</v>
      </c>
      <c r="N44" s="187">
        <v>0.7</v>
      </c>
      <c r="O44" s="187">
        <v>0.7</v>
      </c>
    </row>
    <row r="45" spans="1:15" x14ac:dyDescent="0.35">
      <c r="A45" s="183" t="s">
        <v>48</v>
      </c>
      <c r="B45" s="183" t="s">
        <v>37</v>
      </c>
      <c r="C45" s="183" t="s">
        <v>38</v>
      </c>
      <c r="D45" s="183" t="s">
        <v>39</v>
      </c>
      <c r="E45" s="183" t="s">
        <v>17</v>
      </c>
      <c r="F45" s="184" t="s">
        <v>18</v>
      </c>
      <c r="G45" s="184" t="s">
        <v>18</v>
      </c>
      <c r="H45" s="188">
        <v>37760</v>
      </c>
      <c r="I45" s="188">
        <v>33567</v>
      </c>
      <c r="J45" s="188">
        <v>34000</v>
      </c>
      <c r="K45" s="188">
        <v>34000</v>
      </c>
      <c r="L45" s="188">
        <v>34000</v>
      </c>
      <c r="M45" s="188">
        <v>34000</v>
      </c>
      <c r="N45" s="188">
        <v>34000</v>
      </c>
      <c r="O45" s="188">
        <v>34000</v>
      </c>
    </row>
    <row r="46" spans="1:15" x14ac:dyDescent="0.35">
      <c r="A46" s="183" t="s">
        <v>48</v>
      </c>
      <c r="B46" s="183" t="s">
        <v>40</v>
      </c>
      <c r="C46" s="183" t="s">
        <v>33</v>
      </c>
      <c r="D46" s="183" t="s">
        <v>34</v>
      </c>
      <c r="E46" s="183" t="s">
        <v>17</v>
      </c>
      <c r="F46" s="184" t="s">
        <v>18</v>
      </c>
      <c r="G46" s="184" t="s">
        <v>18</v>
      </c>
      <c r="H46" s="187">
        <v>0.16500000000000001</v>
      </c>
      <c r="I46" s="187">
        <v>0.16900000000000001</v>
      </c>
      <c r="J46" s="187">
        <v>0.25900000000000001</v>
      </c>
      <c r="K46" s="187">
        <v>0.25952052086028288</v>
      </c>
      <c r="L46" s="187">
        <v>0.25952052086028288</v>
      </c>
      <c r="M46" s="187">
        <v>0.25952052086028288</v>
      </c>
      <c r="N46" s="187">
        <v>0.25952052086028288</v>
      </c>
      <c r="O46" s="187">
        <v>0.25952052086028288</v>
      </c>
    </row>
    <row r="47" spans="1:15" x14ac:dyDescent="0.35">
      <c r="A47" s="183" t="s">
        <v>48</v>
      </c>
      <c r="B47" s="183" t="s">
        <v>41</v>
      </c>
      <c r="C47" s="183" t="s">
        <v>36</v>
      </c>
      <c r="D47" s="183" t="s">
        <v>34</v>
      </c>
      <c r="E47" s="183" t="s">
        <v>17</v>
      </c>
      <c r="F47" s="184" t="s">
        <v>18</v>
      </c>
      <c r="G47" s="184" t="s">
        <v>18</v>
      </c>
      <c r="H47" s="187">
        <v>0.18</v>
      </c>
      <c r="I47" s="187">
        <v>0.376</v>
      </c>
      <c r="J47" s="187">
        <v>9.0999999999999998E-2</v>
      </c>
      <c r="K47" s="187">
        <v>0.35</v>
      </c>
      <c r="L47" s="187">
        <v>0.35</v>
      </c>
      <c r="M47" s="187">
        <v>0.35</v>
      </c>
      <c r="N47" s="187">
        <v>0.35</v>
      </c>
      <c r="O47" s="187">
        <v>0.35</v>
      </c>
    </row>
    <row r="48" spans="1:15" x14ac:dyDescent="0.35">
      <c r="A48" s="183" t="s">
        <v>48</v>
      </c>
      <c r="B48" s="183" t="s">
        <v>42</v>
      </c>
      <c r="C48" s="183" t="s">
        <v>38</v>
      </c>
      <c r="D48" s="183" t="s">
        <v>39</v>
      </c>
      <c r="E48" s="183" t="s">
        <v>17</v>
      </c>
      <c r="F48" s="184" t="s">
        <v>18</v>
      </c>
      <c r="G48" s="184" t="s">
        <v>18</v>
      </c>
      <c r="H48" s="188">
        <v>4196</v>
      </c>
      <c r="I48" s="188">
        <v>3729</v>
      </c>
      <c r="J48" s="188">
        <v>4000</v>
      </c>
      <c r="K48" s="188">
        <v>4000</v>
      </c>
      <c r="L48" s="188">
        <v>4000</v>
      </c>
      <c r="M48" s="188">
        <v>4000</v>
      </c>
      <c r="N48" s="188">
        <v>4000</v>
      </c>
      <c r="O48" s="188">
        <v>4000</v>
      </c>
    </row>
    <row r="49" spans="1:15" x14ac:dyDescent="0.35">
      <c r="A49" s="183" t="s">
        <v>49</v>
      </c>
      <c r="B49" s="183" t="s">
        <v>32</v>
      </c>
      <c r="C49" s="183" t="s">
        <v>33</v>
      </c>
      <c r="D49" s="183" t="s">
        <v>34</v>
      </c>
      <c r="E49" s="183" t="s">
        <v>17</v>
      </c>
      <c r="F49" s="184" t="s">
        <v>18</v>
      </c>
      <c r="G49" s="184" t="s">
        <v>18</v>
      </c>
      <c r="H49" s="187">
        <v>32.451000000000001</v>
      </c>
      <c r="I49" s="187">
        <v>26.219165085388969</v>
      </c>
      <c r="J49" s="187">
        <v>33.487000000000002</v>
      </c>
      <c r="K49" s="187">
        <v>34.353999999999999</v>
      </c>
      <c r="L49" s="187">
        <v>34.353999999999999</v>
      </c>
      <c r="M49" s="187">
        <v>34.353999999999999</v>
      </c>
      <c r="N49" s="187">
        <v>34.353999999999999</v>
      </c>
      <c r="O49" s="187">
        <v>34.353999999999999</v>
      </c>
    </row>
    <row r="50" spans="1:15" x14ac:dyDescent="0.35">
      <c r="A50" s="183" t="s">
        <v>49</v>
      </c>
      <c r="B50" s="183" t="s">
        <v>35</v>
      </c>
      <c r="C50" s="183" t="s">
        <v>36</v>
      </c>
      <c r="D50" s="183" t="s">
        <v>34</v>
      </c>
      <c r="E50" s="183" t="s">
        <v>17</v>
      </c>
      <c r="F50" s="184" t="s">
        <v>18</v>
      </c>
      <c r="G50" s="184" t="s">
        <v>18</v>
      </c>
      <c r="H50" s="187">
        <v>2.7120000000000002</v>
      </c>
      <c r="I50" s="187">
        <v>1.611954459203035</v>
      </c>
      <c r="J50" s="187">
        <v>1.081</v>
      </c>
      <c r="K50" s="187">
        <v>1.109</v>
      </c>
      <c r="L50" s="187">
        <v>1.109</v>
      </c>
      <c r="M50" s="187">
        <v>1.109</v>
      </c>
      <c r="N50" s="187">
        <v>1.109</v>
      </c>
      <c r="O50" s="187">
        <v>1.109</v>
      </c>
    </row>
    <row r="51" spans="1:15" x14ac:dyDescent="0.35">
      <c r="A51" s="183" t="s">
        <v>49</v>
      </c>
      <c r="B51" s="183" t="s">
        <v>37</v>
      </c>
      <c r="C51" s="183" t="s">
        <v>38</v>
      </c>
      <c r="D51" s="183" t="s">
        <v>39</v>
      </c>
      <c r="E51" s="183" t="s">
        <v>17</v>
      </c>
      <c r="F51" s="184" t="s">
        <v>18</v>
      </c>
      <c r="G51" s="184" t="s">
        <v>18</v>
      </c>
      <c r="H51" s="188">
        <v>89202</v>
      </c>
      <c r="I51" s="188">
        <v>67686</v>
      </c>
      <c r="J51" s="188">
        <v>92049</v>
      </c>
      <c r="K51" s="188">
        <v>94432</v>
      </c>
      <c r="L51" s="188">
        <v>94432</v>
      </c>
      <c r="M51" s="188">
        <v>94432.009000000005</v>
      </c>
      <c r="N51" s="188">
        <v>94432.009000000005</v>
      </c>
      <c r="O51" s="188">
        <v>94432</v>
      </c>
    </row>
    <row r="52" spans="1:15" x14ac:dyDescent="0.35">
      <c r="A52" s="183" t="s">
        <v>49</v>
      </c>
      <c r="B52" s="183" t="s">
        <v>40</v>
      </c>
      <c r="C52" s="183" t="s">
        <v>33</v>
      </c>
      <c r="D52" s="183" t="s">
        <v>34</v>
      </c>
      <c r="E52" s="183" t="s">
        <v>17</v>
      </c>
      <c r="F52" s="184" t="s">
        <v>18</v>
      </c>
      <c r="G52" s="184" t="s">
        <v>18</v>
      </c>
      <c r="H52" s="187">
        <v>0.64900000000000002</v>
      </c>
      <c r="I52" s="187">
        <v>0.96489563567362335</v>
      </c>
      <c r="J52" s="187">
        <v>0.55000000000000004</v>
      </c>
      <c r="K52" s="187">
        <v>0.56400000000000006</v>
      </c>
      <c r="L52" s="187">
        <v>0.56400000000000006</v>
      </c>
      <c r="M52" s="187">
        <v>0.56400000000000006</v>
      </c>
      <c r="N52" s="187">
        <v>0.55100000000000005</v>
      </c>
      <c r="O52" s="187">
        <v>0.55100000000000005</v>
      </c>
    </row>
    <row r="53" spans="1:15" x14ac:dyDescent="0.35">
      <c r="A53" s="183" t="s">
        <v>49</v>
      </c>
      <c r="B53" s="183" t="s">
        <v>41</v>
      </c>
      <c r="C53" s="183" t="s">
        <v>36</v>
      </c>
      <c r="D53" s="183" t="s">
        <v>34</v>
      </c>
      <c r="E53" s="183" t="s">
        <v>17</v>
      </c>
      <c r="F53" s="184" t="s">
        <v>18</v>
      </c>
      <c r="G53" s="184" t="s">
        <v>18</v>
      </c>
      <c r="H53" s="187">
        <v>0.35</v>
      </c>
      <c r="I53" s="187">
        <v>0.44402277039848159</v>
      </c>
      <c r="J53" s="187">
        <v>0.29599999999999999</v>
      </c>
      <c r="K53" s="187">
        <v>0.30399999999999999</v>
      </c>
      <c r="L53" s="187">
        <v>0.30399999999999999</v>
      </c>
      <c r="M53" s="187">
        <v>0.30399999999999999</v>
      </c>
      <c r="N53" s="187">
        <v>0.29699999999999999</v>
      </c>
      <c r="O53" s="187">
        <v>0.29699999999999999</v>
      </c>
    </row>
    <row r="54" spans="1:15" x14ac:dyDescent="0.35">
      <c r="A54" s="183" t="s">
        <v>49</v>
      </c>
      <c r="B54" s="183" t="s">
        <v>42</v>
      </c>
      <c r="C54" s="183" t="s">
        <v>38</v>
      </c>
      <c r="D54" s="183" t="s">
        <v>39</v>
      </c>
      <c r="E54" s="183" t="s">
        <v>17</v>
      </c>
      <c r="F54" s="184" t="s">
        <v>18</v>
      </c>
      <c r="G54" s="184" t="s">
        <v>18</v>
      </c>
      <c r="H54" s="188">
        <v>7130</v>
      </c>
      <c r="I54" s="188">
        <v>6725</v>
      </c>
      <c r="J54" s="188">
        <v>7091</v>
      </c>
      <c r="K54" s="188">
        <v>7143</v>
      </c>
      <c r="L54" s="188">
        <v>7163</v>
      </c>
      <c r="M54" s="188">
        <v>7184</v>
      </c>
      <c r="N54" s="188">
        <v>7206</v>
      </c>
      <c r="O54" s="188">
        <v>7227</v>
      </c>
    </row>
    <row r="55" spans="1:15" x14ac:dyDescent="0.35">
      <c r="A55" s="183" t="s">
        <v>50</v>
      </c>
      <c r="B55" s="183" t="s">
        <v>32</v>
      </c>
      <c r="C55" s="183" t="s">
        <v>33</v>
      </c>
      <c r="D55" s="183" t="s">
        <v>34</v>
      </c>
      <c r="E55" s="183" t="s">
        <v>17</v>
      </c>
      <c r="F55" s="184" t="s">
        <v>18</v>
      </c>
      <c r="G55" s="184" t="s">
        <v>18</v>
      </c>
      <c r="H55" s="187">
        <v>2.0464701721890868</v>
      </c>
      <c r="I55" s="187">
        <v>1.6817143322179799</v>
      </c>
      <c r="J55" s="187">
        <v>1.8641387491075021</v>
      </c>
      <c r="K55" s="187">
        <v>1.864022610627089</v>
      </c>
      <c r="L55" s="187">
        <v>1.864022610627089</v>
      </c>
      <c r="M55" s="187">
        <v>1.8640226106270901</v>
      </c>
      <c r="N55" s="187">
        <v>1.8640226106270901</v>
      </c>
      <c r="O55" s="187">
        <v>1.8640226106270901</v>
      </c>
    </row>
    <row r="56" spans="1:15" x14ac:dyDescent="0.35">
      <c r="A56" s="183" t="s">
        <v>50</v>
      </c>
      <c r="B56" s="183" t="s">
        <v>35</v>
      </c>
      <c r="C56" s="183" t="s">
        <v>36</v>
      </c>
      <c r="D56" s="183" t="s">
        <v>34</v>
      </c>
      <c r="E56" s="183" t="s">
        <v>17</v>
      </c>
      <c r="F56" s="184" t="s">
        <v>18</v>
      </c>
      <c r="G56" s="184" t="s">
        <v>18</v>
      </c>
      <c r="H56" s="187">
        <v>0</v>
      </c>
      <c r="I56" s="187">
        <v>0</v>
      </c>
      <c r="J56" s="187">
        <v>0</v>
      </c>
      <c r="K56" s="187">
        <v>0.40621507560380599</v>
      </c>
      <c r="L56" s="187">
        <v>0.41068102801783751</v>
      </c>
      <c r="M56" s="187">
        <v>0.40984943852449462</v>
      </c>
      <c r="N56" s="187">
        <v>0.41381468054647419</v>
      </c>
      <c r="O56" s="187">
        <v>0.41393201494067727</v>
      </c>
    </row>
    <row r="57" spans="1:15" x14ac:dyDescent="0.35">
      <c r="A57" s="183" t="s">
        <v>50</v>
      </c>
      <c r="B57" s="183" t="s">
        <v>37</v>
      </c>
      <c r="C57" s="183" t="s">
        <v>38</v>
      </c>
      <c r="D57" s="183" t="s">
        <v>39</v>
      </c>
      <c r="E57" s="183" t="s">
        <v>17</v>
      </c>
      <c r="F57" s="184" t="s">
        <v>18</v>
      </c>
      <c r="G57" s="184" t="s">
        <v>18</v>
      </c>
      <c r="H57" s="188">
        <v>33707</v>
      </c>
      <c r="I57" s="188">
        <v>25780.008341889119</v>
      </c>
      <c r="J57" s="188">
        <v>27808</v>
      </c>
      <c r="K57" s="188">
        <v>27808</v>
      </c>
      <c r="L57" s="188">
        <v>27808</v>
      </c>
      <c r="M57" s="188">
        <v>27808</v>
      </c>
      <c r="N57" s="188">
        <v>27808</v>
      </c>
      <c r="O57" s="188">
        <v>27808</v>
      </c>
    </row>
    <row r="58" spans="1:15" x14ac:dyDescent="0.35">
      <c r="A58" s="183" t="s">
        <v>50</v>
      </c>
      <c r="B58" s="183" t="s">
        <v>40</v>
      </c>
      <c r="C58" s="183" t="s">
        <v>33</v>
      </c>
      <c r="D58" s="183" t="s">
        <v>34</v>
      </c>
      <c r="E58" s="183" t="s">
        <v>17</v>
      </c>
      <c r="F58" s="184" t="s">
        <v>18</v>
      </c>
      <c r="G58" s="184" t="s">
        <v>18</v>
      </c>
      <c r="H58" s="187">
        <v>0.64722937905458588</v>
      </c>
      <c r="I58" s="187">
        <v>0.50096218745529963</v>
      </c>
      <c r="J58" s="187">
        <v>0.36829385253366581</v>
      </c>
      <c r="K58" s="187">
        <v>0.36827090730579631</v>
      </c>
      <c r="L58" s="187">
        <v>0.36827090730579631</v>
      </c>
      <c r="M58" s="187">
        <v>0.36827090730579631</v>
      </c>
      <c r="N58" s="187">
        <v>0.36827090730579631</v>
      </c>
      <c r="O58" s="187">
        <v>0.36827090730579631</v>
      </c>
    </row>
    <row r="59" spans="1:15" x14ac:dyDescent="0.35">
      <c r="A59" s="183" t="s">
        <v>50</v>
      </c>
      <c r="B59" s="183" t="s">
        <v>41</v>
      </c>
      <c r="C59" s="183" t="s">
        <v>36</v>
      </c>
      <c r="D59" s="183" t="s">
        <v>34</v>
      </c>
      <c r="E59" s="183" t="s">
        <v>17</v>
      </c>
      <c r="F59" s="184" t="s">
        <v>18</v>
      </c>
      <c r="G59" s="184" t="s">
        <v>18</v>
      </c>
      <c r="H59" s="187">
        <v>0</v>
      </c>
      <c r="I59" s="187">
        <v>0</v>
      </c>
      <c r="J59" s="187">
        <v>0</v>
      </c>
      <c r="K59" s="187">
        <v>4.1708182918053713E-2</v>
      </c>
      <c r="L59" s="187">
        <v>4.2160256588246632E-2</v>
      </c>
      <c r="M59" s="187">
        <v>4.2058886769113388E-2</v>
      </c>
      <c r="N59" s="187">
        <v>4.2484226429666379E-2</v>
      </c>
      <c r="O59" s="187">
        <v>4.2491635905242187E-2</v>
      </c>
    </row>
    <row r="60" spans="1:15" x14ac:dyDescent="0.35">
      <c r="A60" s="183" t="s">
        <v>50</v>
      </c>
      <c r="B60" s="183" t="s">
        <v>42</v>
      </c>
      <c r="C60" s="183" t="s">
        <v>38</v>
      </c>
      <c r="D60" s="183" t="s">
        <v>39</v>
      </c>
      <c r="E60" s="183" t="s">
        <v>17</v>
      </c>
      <c r="F60" s="184" t="s">
        <v>18</v>
      </c>
      <c r="G60" s="184" t="s">
        <v>18</v>
      </c>
      <c r="H60" s="188">
        <v>8236</v>
      </c>
      <c r="I60" s="188">
        <v>5660.9904389117037</v>
      </c>
      <c r="J60" s="188">
        <v>5051</v>
      </c>
      <c r="K60" s="188">
        <v>5088.1029506602217</v>
      </c>
      <c r="L60" s="188">
        <v>5088.1029506602217</v>
      </c>
      <c r="M60" s="188">
        <v>5088.1029506602217</v>
      </c>
      <c r="N60" s="188">
        <v>5088.1029506602217</v>
      </c>
      <c r="O60" s="188">
        <v>5088.1029506602217</v>
      </c>
    </row>
    <row r="61" spans="1:15" x14ac:dyDescent="0.35">
      <c r="A61" s="183" t="s">
        <v>51</v>
      </c>
      <c r="B61" s="183" t="s">
        <v>32</v>
      </c>
      <c r="C61" s="183" t="s">
        <v>33</v>
      </c>
      <c r="D61" s="183" t="s">
        <v>34</v>
      </c>
      <c r="E61" s="183" t="s">
        <v>17</v>
      </c>
      <c r="F61" s="184" t="s">
        <v>18</v>
      </c>
      <c r="G61" s="184" t="s">
        <v>18</v>
      </c>
      <c r="H61" s="187">
        <v>0.153</v>
      </c>
      <c r="I61" s="187">
        <v>0.11653587012320329</v>
      </c>
      <c r="J61" s="187">
        <v>0.113737443673724</v>
      </c>
      <c r="K61" s="187">
        <v>9.1269360515188233E-2</v>
      </c>
      <c r="L61" s="187">
        <v>9.6837609957494603E-2</v>
      </c>
      <c r="M61" s="187">
        <v>9.6132890631344448E-2</v>
      </c>
      <c r="N61" s="187">
        <v>9.5660761539398328E-2</v>
      </c>
      <c r="O61" s="187">
        <v>0.100264359925965</v>
      </c>
    </row>
    <row r="62" spans="1:15" x14ac:dyDescent="0.35">
      <c r="A62" s="183" t="s">
        <v>51</v>
      </c>
      <c r="B62" s="183" t="s">
        <v>35</v>
      </c>
      <c r="C62" s="183" t="s">
        <v>36</v>
      </c>
      <c r="D62" s="183" t="s">
        <v>34</v>
      </c>
      <c r="E62" s="183" t="s">
        <v>17</v>
      </c>
      <c r="F62" s="184" t="s">
        <v>18</v>
      </c>
      <c r="G62" s="184" t="s">
        <v>18</v>
      </c>
      <c r="H62" s="187">
        <v>0</v>
      </c>
      <c r="I62" s="187">
        <v>0</v>
      </c>
      <c r="J62" s="187">
        <v>0</v>
      </c>
      <c r="K62" s="187">
        <v>0</v>
      </c>
      <c r="L62" s="187">
        <v>0</v>
      </c>
      <c r="M62" s="187">
        <v>0</v>
      </c>
      <c r="N62" s="187">
        <v>0</v>
      </c>
      <c r="O62" s="187">
        <v>0</v>
      </c>
    </row>
    <row r="63" spans="1:15" x14ac:dyDescent="0.35">
      <c r="A63" s="183" t="s">
        <v>51</v>
      </c>
      <c r="B63" s="183" t="s">
        <v>37</v>
      </c>
      <c r="C63" s="183" t="s">
        <v>38</v>
      </c>
      <c r="D63" s="183" t="s">
        <v>39</v>
      </c>
      <c r="E63" s="183" t="s">
        <v>17</v>
      </c>
      <c r="F63" s="184" t="s">
        <v>18</v>
      </c>
      <c r="G63" s="184" t="s">
        <v>18</v>
      </c>
      <c r="H63" s="188">
        <v>4193</v>
      </c>
      <c r="I63" s="188">
        <v>2468</v>
      </c>
      <c r="J63" s="188">
        <v>3500</v>
      </c>
      <c r="K63" s="188">
        <v>3500</v>
      </c>
      <c r="L63" s="188">
        <v>3500</v>
      </c>
      <c r="M63" s="188">
        <v>3500</v>
      </c>
      <c r="N63" s="188">
        <v>3500</v>
      </c>
      <c r="O63" s="188">
        <v>3500</v>
      </c>
    </row>
    <row r="64" spans="1:15" x14ac:dyDescent="0.35">
      <c r="A64" s="183" t="s">
        <v>51</v>
      </c>
      <c r="B64" s="183" t="s">
        <v>40</v>
      </c>
      <c r="C64" s="183" t="s">
        <v>33</v>
      </c>
      <c r="D64" s="183" t="s">
        <v>34</v>
      </c>
      <c r="E64" s="183" t="s">
        <v>17</v>
      </c>
      <c r="F64" s="184" t="s">
        <v>18</v>
      </c>
      <c r="G64" s="184" t="s">
        <v>18</v>
      </c>
      <c r="H64" s="187">
        <v>2.5999999999999999E-2</v>
      </c>
      <c r="I64" s="187">
        <v>1.9896368069815189E-2</v>
      </c>
      <c r="J64" s="187">
        <v>0</v>
      </c>
      <c r="K64" s="187">
        <v>0</v>
      </c>
      <c r="L64" s="187">
        <v>0</v>
      </c>
      <c r="M64" s="187">
        <v>0</v>
      </c>
      <c r="N64" s="187">
        <v>0</v>
      </c>
      <c r="O64" s="187">
        <v>0</v>
      </c>
    </row>
    <row r="65" spans="1:15" x14ac:dyDescent="0.35">
      <c r="A65" s="183" t="s">
        <v>51</v>
      </c>
      <c r="B65" s="183" t="s">
        <v>41</v>
      </c>
      <c r="C65" s="183" t="s">
        <v>36</v>
      </c>
      <c r="D65" s="183" t="s">
        <v>34</v>
      </c>
      <c r="E65" s="183" t="s">
        <v>17</v>
      </c>
      <c r="F65" s="184" t="s">
        <v>18</v>
      </c>
      <c r="G65" s="184" t="s">
        <v>18</v>
      </c>
      <c r="H65" s="187">
        <v>0</v>
      </c>
      <c r="I65" s="187">
        <v>0</v>
      </c>
      <c r="J65" s="187">
        <v>0</v>
      </c>
      <c r="K65" s="187">
        <v>0</v>
      </c>
      <c r="L65" s="187">
        <v>0</v>
      </c>
      <c r="M65" s="187">
        <v>0</v>
      </c>
      <c r="N65" s="187">
        <v>0</v>
      </c>
      <c r="O65" s="187">
        <v>0</v>
      </c>
    </row>
    <row r="66" spans="1:15" x14ac:dyDescent="0.35">
      <c r="A66" s="183" t="s">
        <v>51</v>
      </c>
      <c r="B66" s="183" t="s">
        <v>42</v>
      </c>
      <c r="C66" s="183" t="s">
        <v>38</v>
      </c>
      <c r="D66" s="183" t="s">
        <v>39</v>
      </c>
      <c r="E66" s="183" t="s">
        <v>17</v>
      </c>
      <c r="F66" s="184" t="s">
        <v>18</v>
      </c>
      <c r="G66" s="184" t="s">
        <v>18</v>
      </c>
      <c r="H66" s="188">
        <v>390</v>
      </c>
      <c r="I66" s="188">
        <v>283</v>
      </c>
      <c r="J66" s="188">
        <v>350</v>
      </c>
      <c r="K66" s="188">
        <v>350</v>
      </c>
      <c r="L66" s="188">
        <v>350</v>
      </c>
      <c r="M66" s="188">
        <v>350</v>
      </c>
      <c r="N66" s="188">
        <v>350</v>
      </c>
      <c r="O66" s="188">
        <v>350</v>
      </c>
    </row>
    <row r="67" spans="1:15" x14ac:dyDescent="0.35">
      <c r="A67" s="183" t="s">
        <v>52</v>
      </c>
      <c r="B67" s="183" t="s">
        <v>32</v>
      </c>
      <c r="C67" s="183" t="s">
        <v>33</v>
      </c>
      <c r="D67" s="183" t="s">
        <v>34</v>
      </c>
      <c r="E67" s="183" t="s">
        <v>17</v>
      </c>
      <c r="F67" s="184" t="s">
        <v>18</v>
      </c>
      <c r="G67" s="184" t="s">
        <v>18</v>
      </c>
      <c r="H67" s="187">
        <v>3.706</v>
      </c>
      <c r="I67" s="187">
        <v>3.0313478434561851</v>
      </c>
      <c r="J67" s="187">
        <v>3.395046778847516</v>
      </c>
      <c r="K67" s="187">
        <v>4.0256264411990781</v>
      </c>
      <c r="L67" s="187">
        <v>4.0256264411990781</v>
      </c>
      <c r="M67" s="187">
        <v>4.0256264411990781</v>
      </c>
      <c r="N67" s="187">
        <v>4.0256264411990781</v>
      </c>
      <c r="O67" s="187">
        <v>4.0256264411990781</v>
      </c>
    </row>
    <row r="68" spans="1:15" x14ac:dyDescent="0.35">
      <c r="A68" s="183" t="s">
        <v>52</v>
      </c>
      <c r="B68" s="183" t="s">
        <v>35</v>
      </c>
      <c r="C68" s="183" t="s">
        <v>36</v>
      </c>
      <c r="D68" s="183" t="s">
        <v>34</v>
      </c>
      <c r="E68" s="183" t="s">
        <v>17</v>
      </c>
      <c r="F68" s="184" t="s">
        <v>18</v>
      </c>
      <c r="G68" s="184" t="s">
        <v>18</v>
      </c>
      <c r="H68" s="187">
        <v>0</v>
      </c>
      <c r="I68" s="187">
        <v>0</v>
      </c>
      <c r="J68" s="187">
        <v>0</v>
      </c>
      <c r="K68" s="187">
        <v>0.96099999999999997</v>
      </c>
      <c r="L68" s="187">
        <v>0.96099999999999997</v>
      </c>
      <c r="M68" s="187">
        <v>0.96099999999999997</v>
      </c>
      <c r="N68" s="187">
        <v>0.96099999999999997</v>
      </c>
      <c r="O68" s="187">
        <v>0.96099999999999997</v>
      </c>
    </row>
    <row r="69" spans="1:15" x14ac:dyDescent="0.35">
      <c r="A69" s="183" t="s">
        <v>52</v>
      </c>
      <c r="B69" s="183" t="s">
        <v>37</v>
      </c>
      <c r="C69" s="183" t="s">
        <v>38</v>
      </c>
      <c r="D69" s="183" t="s">
        <v>39</v>
      </c>
      <c r="E69" s="183" t="s">
        <v>17</v>
      </c>
      <c r="F69" s="184" t="s">
        <v>18</v>
      </c>
      <c r="G69" s="184" t="s">
        <v>18</v>
      </c>
      <c r="H69" s="188">
        <v>20800</v>
      </c>
      <c r="I69" s="188">
        <v>23607</v>
      </c>
      <c r="J69" s="188">
        <v>20927</v>
      </c>
      <c r="K69" s="188">
        <v>20927</v>
      </c>
      <c r="L69" s="188">
        <v>20927</v>
      </c>
      <c r="M69" s="188">
        <v>20927</v>
      </c>
      <c r="N69" s="188">
        <v>20927</v>
      </c>
      <c r="O69" s="188">
        <v>20927</v>
      </c>
    </row>
    <row r="70" spans="1:15" x14ac:dyDescent="0.35">
      <c r="A70" s="183" t="s">
        <v>52</v>
      </c>
      <c r="B70" s="183" t="s">
        <v>40</v>
      </c>
      <c r="C70" s="183" t="s">
        <v>33</v>
      </c>
      <c r="D70" s="183" t="s">
        <v>34</v>
      </c>
      <c r="E70" s="183" t="s">
        <v>17</v>
      </c>
      <c r="F70" s="184" t="s">
        <v>18</v>
      </c>
      <c r="G70" s="184" t="s">
        <v>18</v>
      </c>
      <c r="H70" s="187">
        <v>0.13200000000000001</v>
      </c>
      <c r="I70" s="187">
        <v>0.22518462756408841</v>
      </c>
      <c r="J70" s="187">
        <v>0.20161124306834519</v>
      </c>
      <c r="K70" s="187">
        <v>0.1437048424289008</v>
      </c>
      <c r="L70" s="187">
        <v>0.1437048424289008</v>
      </c>
      <c r="M70" s="187">
        <v>0.1437048424289008</v>
      </c>
      <c r="N70" s="187">
        <v>0.1437048424289008</v>
      </c>
      <c r="O70" s="187">
        <v>0.1437048424289008</v>
      </c>
    </row>
    <row r="71" spans="1:15" x14ac:dyDescent="0.35">
      <c r="A71" s="183" t="s">
        <v>52</v>
      </c>
      <c r="B71" s="183" t="s">
        <v>41</v>
      </c>
      <c r="C71" s="183" t="s">
        <v>36</v>
      </c>
      <c r="D71" s="183" t="s">
        <v>34</v>
      </c>
      <c r="E71" s="183" t="s">
        <v>17</v>
      </c>
      <c r="F71" s="184" t="s">
        <v>18</v>
      </c>
      <c r="G71" s="184" t="s">
        <v>18</v>
      </c>
      <c r="H71" s="187">
        <v>0</v>
      </c>
      <c r="I71" s="187">
        <v>0</v>
      </c>
      <c r="J71" s="187">
        <v>0</v>
      </c>
      <c r="K71" s="187">
        <v>0.107</v>
      </c>
      <c r="L71" s="187">
        <v>0.107</v>
      </c>
      <c r="M71" s="187">
        <v>0.107</v>
      </c>
      <c r="N71" s="187">
        <v>0.107</v>
      </c>
      <c r="O71" s="187">
        <v>0.107</v>
      </c>
    </row>
    <row r="72" spans="1:15" x14ac:dyDescent="0.35">
      <c r="A72" s="183" t="s">
        <v>52</v>
      </c>
      <c r="B72" s="183" t="s">
        <v>42</v>
      </c>
      <c r="C72" s="183" t="s">
        <v>38</v>
      </c>
      <c r="D72" s="183" t="s">
        <v>39</v>
      </c>
      <c r="E72" s="183" t="s">
        <v>17</v>
      </c>
      <c r="F72" s="184" t="s">
        <v>18</v>
      </c>
      <c r="G72" s="184" t="s">
        <v>18</v>
      </c>
      <c r="H72" s="188">
        <v>811</v>
      </c>
      <c r="I72" s="188">
        <v>1916</v>
      </c>
      <c r="J72" s="188">
        <v>815</v>
      </c>
      <c r="K72" s="188">
        <v>815</v>
      </c>
      <c r="L72" s="188">
        <v>815</v>
      </c>
      <c r="M72" s="188">
        <v>815</v>
      </c>
      <c r="N72" s="188">
        <v>815</v>
      </c>
      <c r="O72" s="188">
        <v>815</v>
      </c>
    </row>
    <row r="73" spans="1:15" x14ac:dyDescent="0.35">
      <c r="A73" s="183" t="s">
        <v>53</v>
      </c>
      <c r="B73" s="183" t="s">
        <v>32</v>
      </c>
      <c r="C73" s="183" t="s">
        <v>33</v>
      </c>
      <c r="D73" s="183" t="s">
        <v>34</v>
      </c>
      <c r="E73" s="183" t="s">
        <v>17</v>
      </c>
      <c r="F73" s="184" t="s">
        <v>18</v>
      </c>
      <c r="G73" s="184" t="s">
        <v>18</v>
      </c>
      <c r="H73" s="187">
        <v>0.61699999999999999</v>
      </c>
      <c r="I73" s="187">
        <v>0.48099999999999998</v>
      </c>
      <c r="J73" s="187">
        <v>0.623</v>
      </c>
      <c r="K73" s="187">
        <v>0.65</v>
      </c>
      <c r="L73" s="187">
        <v>0.65</v>
      </c>
      <c r="M73" s="187">
        <v>0.65100000000000002</v>
      </c>
      <c r="N73" s="187">
        <v>0.65100000000000002</v>
      </c>
      <c r="O73" s="187">
        <v>0.65100000000000002</v>
      </c>
    </row>
    <row r="74" spans="1:15" x14ac:dyDescent="0.35">
      <c r="A74" s="183" t="s">
        <v>53</v>
      </c>
      <c r="B74" s="183" t="s">
        <v>35</v>
      </c>
      <c r="C74" s="183" t="s">
        <v>36</v>
      </c>
      <c r="D74" s="183" t="s">
        <v>34</v>
      </c>
      <c r="E74" s="183" t="s">
        <v>17</v>
      </c>
      <c r="F74" s="184" t="s">
        <v>18</v>
      </c>
      <c r="G74" s="184" t="s">
        <v>18</v>
      </c>
      <c r="H74" s="187">
        <v>1.2999999999999999E-2</v>
      </c>
      <c r="I74" s="187">
        <v>7.0000000000000001E-3</v>
      </c>
      <c r="J74" s="187">
        <v>1.4999999999999999E-2</v>
      </c>
      <c r="K74" s="187">
        <v>1.4999999999999999E-2</v>
      </c>
      <c r="L74" s="187">
        <v>1.4999999999999999E-2</v>
      </c>
      <c r="M74" s="187">
        <v>1.4999999999999999E-2</v>
      </c>
      <c r="N74" s="187">
        <v>1.4999999999999999E-2</v>
      </c>
      <c r="O74" s="187">
        <v>1.4999999999999999E-2</v>
      </c>
    </row>
    <row r="75" spans="1:15" x14ac:dyDescent="0.35">
      <c r="A75" s="183" t="s">
        <v>53</v>
      </c>
      <c r="B75" s="183" t="s">
        <v>37</v>
      </c>
      <c r="C75" s="183" t="s">
        <v>38</v>
      </c>
      <c r="D75" s="183" t="s">
        <v>39</v>
      </c>
      <c r="E75" s="183" t="s">
        <v>17</v>
      </c>
      <c r="F75" s="184" t="s">
        <v>18</v>
      </c>
      <c r="G75" s="184" t="s">
        <v>18</v>
      </c>
      <c r="H75" s="188">
        <v>25354.19091949637</v>
      </c>
      <c r="I75" s="188">
        <v>23744.716</v>
      </c>
      <c r="J75" s="188">
        <v>25000</v>
      </c>
      <c r="K75" s="188">
        <v>25000</v>
      </c>
      <c r="L75" s="188">
        <v>25000</v>
      </c>
      <c r="M75" s="188">
        <v>25000</v>
      </c>
      <c r="N75" s="188">
        <v>25000</v>
      </c>
      <c r="O75" s="188">
        <v>25000</v>
      </c>
    </row>
    <row r="76" spans="1:15" x14ac:dyDescent="0.35">
      <c r="A76" s="183" t="s">
        <v>53</v>
      </c>
      <c r="B76" s="183" t="s">
        <v>40</v>
      </c>
      <c r="C76" s="183" t="s">
        <v>33</v>
      </c>
      <c r="D76" s="183" t="s">
        <v>34</v>
      </c>
      <c r="E76" s="183" t="s">
        <v>17</v>
      </c>
      <c r="F76" s="184" t="s">
        <v>18</v>
      </c>
      <c r="G76" s="184" t="s">
        <v>18</v>
      </c>
      <c r="H76" s="187">
        <v>0</v>
      </c>
      <c r="I76" s="187">
        <v>0</v>
      </c>
      <c r="J76" s="187">
        <v>0</v>
      </c>
      <c r="K76" s="187">
        <v>0</v>
      </c>
      <c r="L76" s="187">
        <v>0</v>
      </c>
      <c r="M76" s="187">
        <v>0</v>
      </c>
      <c r="N76" s="187">
        <v>0</v>
      </c>
      <c r="O76" s="187">
        <v>0</v>
      </c>
    </row>
    <row r="77" spans="1:15" x14ac:dyDescent="0.35">
      <c r="A77" s="183" t="s">
        <v>53</v>
      </c>
      <c r="B77" s="183" t="s">
        <v>41</v>
      </c>
      <c r="C77" s="183" t="s">
        <v>36</v>
      </c>
      <c r="D77" s="183" t="s">
        <v>34</v>
      </c>
      <c r="E77" s="183" t="s">
        <v>17</v>
      </c>
      <c r="F77" s="184" t="s">
        <v>18</v>
      </c>
      <c r="G77" s="184" t="s">
        <v>18</v>
      </c>
      <c r="H77" s="187">
        <v>0</v>
      </c>
      <c r="I77" s="187">
        <v>0</v>
      </c>
      <c r="J77" s="187">
        <v>0</v>
      </c>
      <c r="K77" s="187">
        <v>0</v>
      </c>
      <c r="L77" s="187">
        <v>0</v>
      </c>
      <c r="M77" s="187">
        <v>0</v>
      </c>
      <c r="N77" s="187">
        <v>0</v>
      </c>
      <c r="O77" s="187">
        <v>0</v>
      </c>
    </row>
    <row r="78" spans="1:15" x14ac:dyDescent="0.35">
      <c r="A78" s="183" t="s">
        <v>53</v>
      </c>
      <c r="B78" s="183" t="s">
        <v>42</v>
      </c>
      <c r="C78" s="183" t="s">
        <v>38</v>
      </c>
      <c r="D78" s="183" t="s">
        <v>39</v>
      </c>
      <c r="E78" s="183" t="s">
        <v>17</v>
      </c>
      <c r="F78" s="184" t="s">
        <v>18</v>
      </c>
      <c r="G78" s="184" t="s">
        <v>18</v>
      </c>
      <c r="H78" s="188">
        <v>0</v>
      </c>
      <c r="I78" s="188">
        <v>0</v>
      </c>
      <c r="J78" s="188">
        <v>0</v>
      </c>
      <c r="K78" s="188">
        <v>0</v>
      </c>
      <c r="L78" s="188">
        <v>0</v>
      </c>
      <c r="M78" s="188">
        <v>0</v>
      </c>
      <c r="N78" s="188">
        <v>0</v>
      </c>
      <c r="O78" s="188">
        <v>0</v>
      </c>
    </row>
    <row r="79" spans="1:15" x14ac:dyDescent="0.35">
      <c r="A79" s="183" t="s">
        <v>54</v>
      </c>
      <c r="B79" s="183" t="s">
        <v>32</v>
      </c>
      <c r="C79" s="183" t="s">
        <v>33</v>
      </c>
      <c r="D79" s="183" t="s">
        <v>34</v>
      </c>
      <c r="E79" s="183" t="s">
        <v>17</v>
      </c>
      <c r="F79" s="184" t="s">
        <v>18</v>
      </c>
      <c r="G79" s="184" t="s">
        <v>18</v>
      </c>
      <c r="H79" s="187">
        <v>0.20599999999999999</v>
      </c>
      <c r="I79" s="187">
        <v>0.44719455852156048</v>
      </c>
      <c r="J79" s="187">
        <v>0.47199999999999998</v>
      </c>
      <c r="K79" s="187">
        <v>0.18539385899999999</v>
      </c>
      <c r="L79" s="187">
        <v>0.18540647900000001</v>
      </c>
      <c r="M79" s="187">
        <v>0.185392694</v>
      </c>
      <c r="N79" s="187">
        <v>0.185397645</v>
      </c>
      <c r="O79" s="187">
        <v>0.18540731699999999</v>
      </c>
    </row>
    <row r="80" spans="1:15" x14ac:dyDescent="0.35">
      <c r="A80" s="183" t="s">
        <v>54</v>
      </c>
      <c r="B80" s="183" t="s">
        <v>35</v>
      </c>
      <c r="C80" s="183" t="s">
        <v>36</v>
      </c>
      <c r="D80" s="183" t="s">
        <v>34</v>
      </c>
      <c r="E80" s="183" t="s">
        <v>17</v>
      </c>
      <c r="F80" s="184" t="s">
        <v>18</v>
      </c>
      <c r="G80" s="184" t="s">
        <v>18</v>
      </c>
      <c r="H80" s="187">
        <v>0</v>
      </c>
      <c r="I80" s="187">
        <v>0</v>
      </c>
      <c r="J80" s="187">
        <v>0</v>
      </c>
      <c r="K80" s="187">
        <v>0</v>
      </c>
      <c r="L80" s="187">
        <v>0</v>
      </c>
      <c r="M80" s="187">
        <v>0</v>
      </c>
      <c r="N80" s="187">
        <v>0</v>
      </c>
      <c r="O80" s="187">
        <v>0</v>
      </c>
    </row>
    <row r="81" spans="1:15" x14ac:dyDescent="0.35">
      <c r="A81" s="183" t="s">
        <v>54</v>
      </c>
      <c r="B81" s="183" t="s">
        <v>37</v>
      </c>
      <c r="C81" s="183" t="s">
        <v>38</v>
      </c>
      <c r="D81" s="183" t="s">
        <v>39</v>
      </c>
      <c r="E81" s="183" t="s">
        <v>17</v>
      </c>
      <c r="F81" s="184" t="s">
        <v>18</v>
      </c>
      <c r="G81" s="184" t="s">
        <v>18</v>
      </c>
      <c r="H81" s="188">
        <v>13989</v>
      </c>
      <c r="I81" s="188">
        <v>14099</v>
      </c>
      <c r="J81" s="188">
        <v>13989</v>
      </c>
      <c r="K81" s="188">
        <v>22523</v>
      </c>
      <c r="L81" s="188">
        <v>22523</v>
      </c>
      <c r="M81" s="188">
        <v>22523</v>
      </c>
      <c r="N81" s="188">
        <v>22523</v>
      </c>
      <c r="O81" s="188">
        <v>22523</v>
      </c>
    </row>
    <row r="82" spans="1:15" x14ac:dyDescent="0.35">
      <c r="A82" s="183" t="s">
        <v>54</v>
      </c>
      <c r="B82" s="183" t="s">
        <v>40</v>
      </c>
      <c r="C82" s="183" t="s">
        <v>33</v>
      </c>
      <c r="D82" s="183" t="s">
        <v>34</v>
      </c>
      <c r="E82" s="183" t="s">
        <v>17</v>
      </c>
      <c r="F82" s="184" t="s">
        <v>18</v>
      </c>
      <c r="G82" s="184" t="s">
        <v>18</v>
      </c>
      <c r="H82" s="187">
        <v>0</v>
      </c>
      <c r="I82" s="187">
        <v>0</v>
      </c>
      <c r="J82" s="187">
        <v>0</v>
      </c>
      <c r="K82" s="187">
        <v>0</v>
      </c>
      <c r="L82" s="187">
        <v>0</v>
      </c>
      <c r="M82" s="187">
        <v>0</v>
      </c>
      <c r="N82" s="187">
        <v>0</v>
      </c>
      <c r="O82" s="187">
        <v>0</v>
      </c>
    </row>
    <row r="83" spans="1:15" x14ac:dyDescent="0.35">
      <c r="A83" s="183" t="s">
        <v>54</v>
      </c>
      <c r="B83" s="183" t="s">
        <v>41</v>
      </c>
      <c r="C83" s="183" t="s">
        <v>36</v>
      </c>
      <c r="D83" s="183" t="s">
        <v>34</v>
      </c>
      <c r="E83" s="183" t="s">
        <v>17</v>
      </c>
      <c r="F83" s="184" t="s">
        <v>18</v>
      </c>
      <c r="G83" s="184" t="s">
        <v>18</v>
      </c>
      <c r="H83" s="187">
        <v>0</v>
      </c>
      <c r="I83" s="187">
        <v>0</v>
      </c>
      <c r="J83" s="187">
        <v>0</v>
      </c>
      <c r="K83" s="187">
        <v>0</v>
      </c>
      <c r="L83" s="187">
        <v>0</v>
      </c>
      <c r="M83" s="187">
        <v>0</v>
      </c>
      <c r="N83" s="187">
        <v>0</v>
      </c>
      <c r="O83" s="187">
        <v>0</v>
      </c>
    </row>
    <row r="84" spans="1:15" x14ac:dyDescent="0.35">
      <c r="A84" s="183" t="s">
        <v>54</v>
      </c>
      <c r="B84" s="183" t="s">
        <v>42</v>
      </c>
      <c r="C84" s="183" t="s">
        <v>38</v>
      </c>
      <c r="D84" s="183" t="s">
        <v>39</v>
      </c>
      <c r="E84" s="183" t="s">
        <v>17</v>
      </c>
      <c r="F84" s="184" t="s">
        <v>18</v>
      </c>
      <c r="G84" s="184" t="s">
        <v>18</v>
      </c>
      <c r="H84" s="188">
        <v>0</v>
      </c>
      <c r="I84" s="188">
        <v>0</v>
      </c>
      <c r="J84" s="188">
        <v>0</v>
      </c>
      <c r="K84" s="188">
        <v>0</v>
      </c>
      <c r="L84" s="188">
        <v>0</v>
      </c>
      <c r="M84" s="188">
        <v>0</v>
      </c>
      <c r="N84" s="188">
        <v>0</v>
      </c>
      <c r="O84" s="188">
        <v>0</v>
      </c>
    </row>
    <row r="85" spans="1:15" x14ac:dyDescent="0.35">
      <c r="A85" s="183" t="s">
        <v>55</v>
      </c>
      <c r="B85" s="183" t="s">
        <v>32</v>
      </c>
      <c r="C85" s="183" t="s">
        <v>33</v>
      </c>
      <c r="D85" s="183" t="s">
        <v>34</v>
      </c>
      <c r="E85" s="183" t="s">
        <v>17</v>
      </c>
      <c r="F85" s="184" t="s">
        <v>18</v>
      </c>
      <c r="G85" s="184" t="s">
        <v>18</v>
      </c>
      <c r="H85" s="187">
        <v>0.22900000000000001</v>
      </c>
      <c r="I85" s="187">
        <v>0.1212731006160164</v>
      </c>
      <c r="J85" s="187">
        <v>0.41</v>
      </c>
      <c r="K85" s="187">
        <v>0.48699999999999999</v>
      </c>
      <c r="L85" s="187">
        <v>0.49164000000000002</v>
      </c>
      <c r="M85" s="187">
        <v>0.48681999999999997</v>
      </c>
      <c r="N85" s="187">
        <v>0.48681999999999997</v>
      </c>
      <c r="O85" s="187">
        <v>0.48681999999999997</v>
      </c>
    </row>
    <row r="86" spans="1:15" x14ac:dyDescent="0.35">
      <c r="A86" s="183" t="s">
        <v>55</v>
      </c>
      <c r="B86" s="183" t="s">
        <v>35</v>
      </c>
      <c r="C86" s="183" t="s">
        <v>36</v>
      </c>
      <c r="D86" s="183" t="s">
        <v>34</v>
      </c>
      <c r="E86" s="183" t="s">
        <v>17</v>
      </c>
      <c r="F86" s="184" t="s">
        <v>18</v>
      </c>
      <c r="G86" s="184" t="s">
        <v>18</v>
      </c>
      <c r="H86" s="187">
        <v>0</v>
      </c>
      <c r="I86" s="187">
        <v>0.15159137577002049</v>
      </c>
      <c r="J86" s="187">
        <v>0.15</v>
      </c>
      <c r="K86" s="187">
        <v>0.20200000000000001</v>
      </c>
      <c r="L86" s="187">
        <v>0.20399999999999999</v>
      </c>
      <c r="M86" s="187">
        <v>0.20200000000000001</v>
      </c>
      <c r="N86" s="187">
        <v>0.20200000000000001</v>
      </c>
      <c r="O86" s="187">
        <v>0.20200000000000001</v>
      </c>
    </row>
    <row r="87" spans="1:15" x14ac:dyDescent="0.35">
      <c r="A87" s="183" t="s">
        <v>55</v>
      </c>
      <c r="B87" s="183" t="s">
        <v>37</v>
      </c>
      <c r="C87" s="183" t="s">
        <v>38</v>
      </c>
      <c r="D87" s="183" t="s">
        <v>39</v>
      </c>
      <c r="E87" s="183" t="s">
        <v>17</v>
      </c>
      <c r="F87" s="184" t="s">
        <v>18</v>
      </c>
      <c r="G87" s="184" t="s">
        <v>18</v>
      </c>
      <c r="H87" s="188">
        <v>3523</v>
      </c>
      <c r="I87" s="188">
        <v>4120</v>
      </c>
      <c r="J87" s="188">
        <v>5857</v>
      </c>
      <c r="K87" s="188">
        <v>6957</v>
      </c>
      <c r="L87" s="188">
        <v>7569</v>
      </c>
      <c r="M87" s="188">
        <v>6957</v>
      </c>
      <c r="N87" s="188">
        <v>6957</v>
      </c>
      <c r="O87" s="188">
        <v>6957</v>
      </c>
    </row>
    <row r="88" spans="1:15" x14ac:dyDescent="0.35">
      <c r="A88" s="183" t="s">
        <v>55</v>
      </c>
      <c r="B88" s="183" t="s">
        <v>40</v>
      </c>
      <c r="C88" s="183" t="s">
        <v>33</v>
      </c>
      <c r="D88" s="183" t="s">
        <v>34</v>
      </c>
      <c r="E88" s="183" t="s">
        <v>17</v>
      </c>
      <c r="F88" s="184" t="s">
        <v>18</v>
      </c>
      <c r="G88" s="184" t="s">
        <v>18</v>
      </c>
      <c r="H88" s="187">
        <v>0</v>
      </c>
      <c r="I88" s="187">
        <v>0</v>
      </c>
      <c r="J88" s="187">
        <v>0</v>
      </c>
      <c r="K88" s="187">
        <v>0</v>
      </c>
      <c r="L88" s="187">
        <v>0</v>
      </c>
      <c r="M88" s="187">
        <v>0</v>
      </c>
      <c r="N88" s="187">
        <v>0</v>
      </c>
      <c r="O88" s="187">
        <v>0</v>
      </c>
    </row>
    <row r="89" spans="1:15" x14ac:dyDescent="0.35">
      <c r="A89" s="183" t="s">
        <v>55</v>
      </c>
      <c r="B89" s="183" t="s">
        <v>41</v>
      </c>
      <c r="C89" s="183" t="s">
        <v>36</v>
      </c>
      <c r="D89" s="183" t="s">
        <v>34</v>
      </c>
      <c r="E89" s="183" t="s">
        <v>17</v>
      </c>
      <c r="F89" s="184" t="s">
        <v>18</v>
      </c>
      <c r="G89" s="184" t="s">
        <v>18</v>
      </c>
      <c r="H89" s="187">
        <v>0</v>
      </c>
      <c r="I89" s="187">
        <v>0</v>
      </c>
      <c r="J89" s="187">
        <v>0</v>
      </c>
      <c r="K89" s="187">
        <v>0</v>
      </c>
      <c r="L89" s="187">
        <v>0</v>
      </c>
      <c r="M89" s="187">
        <v>0</v>
      </c>
      <c r="N89" s="187">
        <v>0</v>
      </c>
      <c r="O89" s="187">
        <v>0</v>
      </c>
    </row>
    <row r="90" spans="1:15" x14ac:dyDescent="0.35">
      <c r="A90" s="183" t="s">
        <v>55</v>
      </c>
      <c r="B90" s="183" t="s">
        <v>42</v>
      </c>
      <c r="C90" s="183" t="s">
        <v>38</v>
      </c>
      <c r="D90" s="183" t="s">
        <v>39</v>
      </c>
      <c r="E90" s="183" t="s">
        <v>17</v>
      </c>
      <c r="F90" s="184" t="s">
        <v>18</v>
      </c>
      <c r="G90" s="184" t="s">
        <v>18</v>
      </c>
      <c r="H90" s="188">
        <v>0</v>
      </c>
      <c r="I90" s="188">
        <v>0</v>
      </c>
      <c r="J90" s="188">
        <v>0</v>
      </c>
      <c r="K90" s="188">
        <v>0</v>
      </c>
      <c r="L90" s="188">
        <v>0</v>
      </c>
      <c r="M90" s="188">
        <v>0</v>
      </c>
      <c r="N90" s="188">
        <v>0</v>
      </c>
      <c r="O90" s="188">
        <v>0</v>
      </c>
    </row>
    <row r="91" spans="1:15" x14ac:dyDescent="0.35">
      <c r="A91" s="183" t="s">
        <v>56</v>
      </c>
      <c r="B91" s="183" t="s">
        <v>32</v>
      </c>
      <c r="C91" s="183" t="s">
        <v>33</v>
      </c>
      <c r="D91" s="183" t="s">
        <v>34</v>
      </c>
      <c r="E91" s="183" t="s">
        <v>17</v>
      </c>
      <c r="F91" s="184" t="s">
        <v>18</v>
      </c>
      <c r="G91" s="184" t="s">
        <v>18</v>
      </c>
      <c r="H91" s="187">
        <v>0.57299999999999995</v>
      </c>
      <c r="I91" s="187">
        <v>1.0507178729007369</v>
      </c>
      <c r="J91" s="187">
        <v>1.366560737738022</v>
      </c>
      <c r="K91" s="187">
        <v>1.367</v>
      </c>
      <c r="L91" s="187">
        <v>1.367</v>
      </c>
      <c r="M91" s="187">
        <v>1.367</v>
      </c>
      <c r="N91" s="187">
        <v>1.367</v>
      </c>
      <c r="O91" s="187">
        <v>1.367</v>
      </c>
    </row>
    <row r="92" spans="1:15" x14ac:dyDescent="0.35">
      <c r="A92" s="183" t="s">
        <v>56</v>
      </c>
      <c r="B92" s="183" t="s">
        <v>35</v>
      </c>
      <c r="C92" s="183" t="s">
        <v>36</v>
      </c>
      <c r="D92" s="183" t="s">
        <v>34</v>
      </c>
      <c r="E92" s="183" t="s">
        <v>17</v>
      </c>
      <c r="F92" s="184" t="s">
        <v>18</v>
      </c>
      <c r="G92" s="184" t="s">
        <v>18</v>
      </c>
      <c r="H92" s="187">
        <v>0.109</v>
      </c>
      <c r="I92" s="187">
        <v>0.3695040310471483</v>
      </c>
      <c r="J92" s="187">
        <v>0.48036680478063809</v>
      </c>
      <c r="K92" s="187">
        <v>0.48</v>
      </c>
      <c r="L92" s="187">
        <v>0.48</v>
      </c>
      <c r="M92" s="187">
        <v>0.48</v>
      </c>
      <c r="N92" s="187">
        <v>0.48</v>
      </c>
      <c r="O92" s="187">
        <v>0.48</v>
      </c>
    </row>
    <row r="93" spans="1:15" x14ac:dyDescent="0.35">
      <c r="A93" s="183" t="s">
        <v>56</v>
      </c>
      <c r="B93" s="183" t="s">
        <v>37</v>
      </c>
      <c r="C93" s="183" t="s">
        <v>38</v>
      </c>
      <c r="D93" s="183" t="s">
        <v>39</v>
      </c>
      <c r="E93" s="183" t="s">
        <v>17</v>
      </c>
      <c r="F93" s="184" t="s">
        <v>18</v>
      </c>
      <c r="G93" s="184" t="s">
        <v>18</v>
      </c>
      <c r="H93" s="188">
        <v>18931</v>
      </c>
      <c r="I93" s="188">
        <v>21517</v>
      </c>
      <c r="J93" s="188">
        <v>21662</v>
      </c>
      <c r="K93" s="188">
        <v>21749</v>
      </c>
      <c r="L93" s="188">
        <v>21827</v>
      </c>
      <c r="M93" s="188">
        <v>21936</v>
      </c>
      <c r="N93" s="188">
        <v>22070</v>
      </c>
      <c r="O93" s="188">
        <v>22253</v>
      </c>
    </row>
    <row r="94" spans="1:15" x14ac:dyDescent="0.35">
      <c r="A94" s="183" t="s">
        <v>56</v>
      </c>
      <c r="B94" s="183" t="s">
        <v>40</v>
      </c>
      <c r="C94" s="183" t="s">
        <v>33</v>
      </c>
      <c r="D94" s="183" t="s">
        <v>34</v>
      </c>
      <c r="E94" s="183" t="s">
        <v>17</v>
      </c>
      <c r="F94" s="184" t="s">
        <v>18</v>
      </c>
      <c r="G94" s="184" t="s">
        <v>18</v>
      </c>
      <c r="H94" s="187">
        <v>0</v>
      </c>
      <c r="I94" s="187">
        <v>0</v>
      </c>
      <c r="J94" s="187">
        <v>0</v>
      </c>
      <c r="K94" s="187">
        <v>0</v>
      </c>
      <c r="L94" s="187">
        <v>0</v>
      </c>
      <c r="M94" s="187">
        <v>0</v>
      </c>
      <c r="N94" s="187">
        <v>0</v>
      </c>
      <c r="O94" s="187">
        <v>0</v>
      </c>
    </row>
    <row r="95" spans="1:15" x14ac:dyDescent="0.35">
      <c r="A95" s="183" t="s">
        <v>56</v>
      </c>
      <c r="B95" s="183" t="s">
        <v>41</v>
      </c>
      <c r="C95" s="183" t="s">
        <v>36</v>
      </c>
      <c r="D95" s="183" t="s">
        <v>34</v>
      </c>
      <c r="E95" s="183" t="s">
        <v>17</v>
      </c>
      <c r="F95" s="184" t="s">
        <v>18</v>
      </c>
      <c r="G95" s="184" t="s">
        <v>18</v>
      </c>
      <c r="H95" s="187">
        <v>0</v>
      </c>
      <c r="I95" s="187">
        <v>0</v>
      </c>
      <c r="J95" s="187">
        <v>0</v>
      </c>
      <c r="K95" s="187">
        <v>0</v>
      </c>
      <c r="L95" s="187">
        <v>0</v>
      </c>
      <c r="M95" s="187">
        <v>0</v>
      </c>
      <c r="N95" s="187">
        <v>0</v>
      </c>
      <c r="O95" s="187">
        <v>0</v>
      </c>
    </row>
    <row r="96" spans="1:15" x14ac:dyDescent="0.35">
      <c r="A96" s="183" t="s">
        <v>56</v>
      </c>
      <c r="B96" s="183" t="s">
        <v>42</v>
      </c>
      <c r="C96" s="183" t="s">
        <v>38</v>
      </c>
      <c r="D96" s="183" t="s">
        <v>39</v>
      </c>
      <c r="E96" s="183" t="s">
        <v>17</v>
      </c>
      <c r="F96" s="184" t="s">
        <v>18</v>
      </c>
      <c r="G96" s="184" t="s">
        <v>18</v>
      </c>
      <c r="H96" s="188">
        <v>0</v>
      </c>
      <c r="I96" s="188">
        <v>0</v>
      </c>
      <c r="J96" s="188">
        <v>0</v>
      </c>
      <c r="K96" s="188">
        <v>0</v>
      </c>
      <c r="L96" s="188">
        <v>0</v>
      </c>
      <c r="M96" s="188">
        <v>0</v>
      </c>
      <c r="N96" s="188">
        <v>0</v>
      </c>
      <c r="O96" s="188">
        <v>0</v>
      </c>
    </row>
    <row r="97" spans="1:15" x14ac:dyDescent="0.35">
      <c r="A97" s="183" t="s">
        <v>57</v>
      </c>
      <c r="B97" s="183" t="s">
        <v>32</v>
      </c>
      <c r="C97" s="183" t="s">
        <v>33</v>
      </c>
      <c r="D97" s="183" t="s">
        <v>34</v>
      </c>
      <c r="E97" s="183" t="s">
        <v>17</v>
      </c>
      <c r="F97" s="184" t="s">
        <v>18</v>
      </c>
      <c r="G97" s="184" t="s">
        <v>18</v>
      </c>
      <c r="H97" s="187">
        <v>0.48899999999999999</v>
      </c>
      <c r="I97" s="187">
        <v>0.48899999999999999</v>
      </c>
      <c r="J97" s="187">
        <v>0.48899999999999999</v>
      </c>
      <c r="K97" s="187">
        <v>0.48899999999999999</v>
      </c>
      <c r="L97" s="187">
        <v>0.48899999999999999</v>
      </c>
      <c r="M97" s="187">
        <v>0.48899999999999999</v>
      </c>
      <c r="N97" s="187">
        <v>0.48899999999999999</v>
      </c>
      <c r="O97" s="187">
        <v>0.48899999999999999</v>
      </c>
    </row>
    <row r="98" spans="1:15" x14ac:dyDescent="0.35">
      <c r="A98" s="183" t="s">
        <v>57</v>
      </c>
      <c r="B98" s="183" t="s">
        <v>35</v>
      </c>
      <c r="C98" s="183" t="s">
        <v>36</v>
      </c>
      <c r="D98" s="183" t="s">
        <v>34</v>
      </c>
      <c r="E98" s="183" t="s">
        <v>17</v>
      </c>
      <c r="F98" s="184" t="s">
        <v>18</v>
      </c>
      <c r="G98" s="184" t="s">
        <v>18</v>
      </c>
      <c r="H98" s="187">
        <v>0.253</v>
      </c>
      <c r="I98" s="187">
        <v>0.253</v>
      </c>
      <c r="J98" s="187">
        <v>0.253</v>
      </c>
      <c r="K98" s="187">
        <v>0.253</v>
      </c>
      <c r="L98" s="187">
        <v>0.253</v>
      </c>
      <c r="M98" s="187">
        <v>0.253</v>
      </c>
      <c r="N98" s="187">
        <v>0.253</v>
      </c>
      <c r="O98" s="187">
        <v>0.253</v>
      </c>
    </row>
    <row r="99" spans="1:15" x14ac:dyDescent="0.35">
      <c r="A99" s="183" t="s">
        <v>57</v>
      </c>
      <c r="B99" s="183" t="s">
        <v>37</v>
      </c>
      <c r="C99" s="183" t="s">
        <v>38</v>
      </c>
      <c r="D99" s="183" t="s">
        <v>39</v>
      </c>
      <c r="E99" s="183" t="s">
        <v>17</v>
      </c>
      <c r="F99" s="184" t="s">
        <v>18</v>
      </c>
      <c r="G99" s="184" t="s">
        <v>18</v>
      </c>
      <c r="H99" s="188">
        <v>9974</v>
      </c>
      <c r="I99" s="188">
        <v>9974</v>
      </c>
      <c r="J99" s="188">
        <v>9974</v>
      </c>
      <c r="K99" s="188">
        <v>9974</v>
      </c>
      <c r="L99" s="188">
        <v>9974</v>
      </c>
      <c r="M99" s="188">
        <v>9974</v>
      </c>
      <c r="N99" s="188">
        <v>9974</v>
      </c>
      <c r="O99" s="188">
        <v>9974</v>
      </c>
    </row>
    <row r="100" spans="1:15" x14ac:dyDescent="0.35">
      <c r="A100" s="183" t="s">
        <v>57</v>
      </c>
      <c r="B100" s="183" t="s">
        <v>40</v>
      </c>
      <c r="C100" s="183" t="s">
        <v>33</v>
      </c>
      <c r="D100" s="183" t="s">
        <v>34</v>
      </c>
      <c r="E100" s="183" t="s">
        <v>17</v>
      </c>
      <c r="F100" s="184" t="s">
        <v>18</v>
      </c>
      <c r="G100" s="184" t="s">
        <v>18</v>
      </c>
      <c r="H100" s="187">
        <v>0</v>
      </c>
      <c r="I100" s="187">
        <v>0</v>
      </c>
      <c r="J100" s="187">
        <v>0</v>
      </c>
      <c r="K100" s="187">
        <v>0</v>
      </c>
      <c r="L100" s="187">
        <v>0</v>
      </c>
      <c r="M100" s="187">
        <v>0</v>
      </c>
      <c r="N100" s="187">
        <v>0</v>
      </c>
      <c r="O100" s="187">
        <v>0</v>
      </c>
    </row>
    <row r="101" spans="1:15" x14ac:dyDescent="0.35">
      <c r="A101" s="183" t="s">
        <v>57</v>
      </c>
      <c r="B101" s="183" t="s">
        <v>41</v>
      </c>
      <c r="C101" s="183" t="s">
        <v>36</v>
      </c>
      <c r="D101" s="183" t="s">
        <v>34</v>
      </c>
      <c r="E101" s="183" t="s">
        <v>17</v>
      </c>
      <c r="F101" s="184" t="s">
        <v>18</v>
      </c>
      <c r="G101" s="184" t="s">
        <v>18</v>
      </c>
      <c r="H101" s="187">
        <v>0</v>
      </c>
      <c r="I101" s="187">
        <v>0</v>
      </c>
      <c r="J101" s="187">
        <v>0</v>
      </c>
      <c r="K101" s="187">
        <v>0</v>
      </c>
      <c r="L101" s="187">
        <v>0</v>
      </c>
      <c r="M101" s="187">
        <v>0</v>
      </c>
      <c r="N101" s="187">
        <v>0</v>
      </c>
      <c r="O101" s="187">
        <v>0</v>
      </c>
    </row>
    <row r="102" spans="1:15" x14ac:dyDescent="0.35">
      <c r="A102" s="183" t="s">
        <v>57</v>
      </c>
      <c r="B102" s="183" t="s">
        <v>42</v>
      </c>
      <c r="C102" s="183" t="s">
        <v>38</v>
      </c>
      <c r="D102" s="183" t="s">
        <v>39</v>
      </c>
      <c r="E102" s="183" t="s">
        <v>17</v>
      </c>
      <c r="F102" s="184" t="s">
        <v>18</v>
      </c>
      <c r="G102" s="184" t="s">
        <v>18</v>
      </c>
      <c r="H102" s="188">
        <v>0</v>
      </c>
      <c r="I102" s="188">
        <v>0</v>
      </c>
      <c r="J102" s="188">
        <v>0</v>
      </c>
      <c r="K102" s="188">
        <v>0</v>
      </c>
      <c r="L102" s="188">
        <v>0</v>
      </c>
      <c r="M102" s="188">
        <v>0</v>
      </c>
      <c r="N102" s="188">
        <v>0</v>
      </c>
      <c r="O102" s="188">
        <v>0</v>
      </c>
    </row>
    <row r="103" spans="1:15" x14ac:dyDescent="0.35">
      <c r="A103" s="183" t="s">
        <v>58</v>
      </c>
      <c r="B103" s="183" t="s">
        <v>32</v>
      </c>
      <c r="C103" s="183" t="s">
        <v>33</v>
      </c>
      <c r="D103" s="183" t="s">
        <v>34</v>
      </c>
      <c r="E103" s="183" t="s">
        <v>17</v>
      </c>
      <c r="F103" s="184" t="s">
        <v>18</v>
      </c>
      <c r="G103" s="184" t="s">
        <v>18</v>
      </c>
      <c r="H103" s="187">
        <v>0.31</v>
      </c>
      <c r="I103" s="187">
        <v>0.34269271435338688</v>
      </c>
      <c r="J103" s="187">
        <v>0.33700000000000002</v>
      </c>
      <c r="K103" s="187">
        <v>0.34399999999999997</v>
      </c>
      <c r="L103" s="187">
        <v>0.34699999999999998</v>
      </c>
      <c r="M103" s="187">
        <v>0.34799999999999998</v>
      </c>
      <c r="N103" s="187">
        <v>0.35399999999999998</v>
      </c>
      <c r="O103" s="187">
        <v>0.35699999999999998</v>
      </c>
    </row>
    <row r="104" spans="1:15" x14ac:dyDescent="0.35">
      <c r="A104" s="183" t="s">
        <v>58</v>
      </c>
      <c r="B104" s="183" t="s">
        <v>35</v>
      </c>
      <c r="C104" s="183" t="s">
        <v>36</v>
      </c>
      <c r="D104" s="183" t="s">
        <v>34</v>
      </c>
      <c r="E104" s="183" t="s">
        <v>17</v>
      </c>
      <c r="F104" s="184" t="s">
        <v>18</v>
      </c>
      <c r="G104" s="184" t="s">
        <v>18</v>
      </c>
      <c r="H104" s="187">
        <v>0</v>
      </c>
      <c r="I104" s="187">
        <v>0</v>
      </c>
      <c r="J104" s="187">
        <v>0</v>
      </c>
      <c r="K104" s="187">
        <v>0</v>
      </c>
      <c r="L104" s="187">
        <v>0</v>
      </c>
      <c r="M104" s="187">
        <v>0</v>
      </c>
      <c r="N104" s="187">
        <v>0</v>
      </c>
      <c r="O104" s="187">
        <v>0</v>
      </c>
    </row>
    <row r="105" spans="1:15" x14ac:dyDescent="0.35">
      <c r="A105" s="183" t="s">
        <v>58</v>
      </c>
      <c r="B105" s="183" t="s">
        <v>37</v>
      </c>
      <c r="C105" s="183" t="s">
        <v>38</v>
      </c>
      <c r="D105" s="183" t="s">
        <v>39</v>
      </c>
      <c r="E105" s="183" t="s">
        <v>17</v>
      </c>
      <c r="F105" s="184" t="s">
        <v>18</v>
      </c>
      <c r="G105" s="184" t="s">
        <v>18</v>
      </c>
      <c r="H105" s="188">
        <v>6275</v>
      </c>
      <c r="I105" s="188">
        <v>248</v>
      </c>
      <c r="J105" s="188">
        <v>6650</v>
      </c>
      <c r="K105" s="188">
        <v>6650</v>
      </c>
      <c r="L105" s="188">
        <v>6650</v>
      </c>
      <c r="M105" s="188">
        <v>6650</v>
      </c>
      <c r="N105" s="188">
        <v>6650</v>
      </c>
      <c r="O105" s="188">
        <v>6650</v>
      </c>
    </row>
    <row r="106" spans="1:15" x14ac:dyDescent="0.35">
      <c r="A106" s="183" t="s">
        <v>58</v>
      </c>
      <c r="B106" s="183" t="s">
        <v>40</v>
      </c>
      <c r="C106" s="183" t="s">
        <v>33</v>
      </c>
      <c r="D106" s="183" t="s">
        <v>34</v>
      </c>
      <c r="E106" s="183" t="s">
        <v>17</v>
      </c>
      <c r="F106" s="184" t="s">
        <v>18</v>
      </c>
      <c r="G106" s="184" t="s">
        <v>18</v>
      </c>
      <c r="H106" s="187">
        <v>0</v>
      </c>
      <c r="I106" s="187">
        <v>0</v>
      </c>
      <c r="J106" s="187">
        <v>0</v>
      </c>
      <c r="K106" s="187">
        <v>0</v>
      </c>
      <c r="L106" s="187">
        <v>0</v>
      </c>
      <c r="M106" s="187">
        <v>0</v>
      </c>
      <c r="N106" s="187">
        <v>0</v>
      </c>
      <c r="O106" s="187">
        <v>0</v>
      </c>
    </row>
    <row r="107" spans="1:15" x14ac:dyDescent="0.35">
      <c r="A107" s="183" t="s">
        <v>58</v>
      </c>
      <c r="B107" s="183" t="s">
        <v>41</v>
      </c>
      <c r="C107" s="183" t="s">
        <v>36</v>
      </c>
      <c r="D107" s="183" t="s">
        <v>34</v>
      </c>
      <c r="E107" s="183" t="s">
        <v>17</v>
      </c>
      <c r="F107" s="184" t="s">
        <v>18</v>
      </c>
      <c r="G107" s="184" t="s">
        <v>18</v>
      </c>
      <c r="H107" s="187">
        <v>0</v>
      </c>
      <c r="I107" s="187">
        <v>0</v>
      </c>
      <c r="J107" s="187">
        <v>0</v>
      </c>
      <c r="K107" s="187">
        <v>0</v>
      </c>
      <c r="L107" s="187">
        <v>0</v>
      </c>
      <c r="M107" s="187">
        <v>0</v>
      </c>
      <c r="N107" s="187">
        <v>0</v>
      </c>
      <c r="O107" s="187">
        <v>0</v>
      </c>
    </row>
    <row r="108" spans="1:15" x14ac:dyDescent="0.35">
      <c r="A108" s="183" t="s">
        <v>58</v>
      </c>
      <c r="B108" s="183" t="s">
        <v>42</v>
      </c>
      <c r="C108" s="183" t="s">
        <v>38</v>
      </c>
      <c r="D108" s="183" t="s">
        <v>39</v>
      </c>
      <c r="E108" s="183" t="s">
        <v>17</v>
      </c>
      <c r="F108" s="184" t="s">
        <v>18</v>
      </c>
      <c r="G108" s="184" t="s">
        <v>18</v>
      </c>
      <c r="H108" s="188">
        <v>0</v>
      </c>
      <c r="I108" s="188">
        <v>0</v>
      </c>
      <c r="J108" s="188">
        <v>0</v>
      </c>
      <c r="K108" s="188">
        <v>0</v>
      </c>
      <c r="L108" s="188">
        <v>0</v>
      </c>
      <c r="M108" s="188">
        <v>0</v>
      </c>
      <c r="N108" s="188">
        <v>0</v>
      </c>
      <c r="O108" s="188">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DB8E"/>
  </sheetPr>
  <dimension ref="A1:I108"/>
  <sheetViews>
    <sheetView zoomScale="80" zoomScaleNormal="80" workbookViewId="0"/>
  </sheetViews>
  <sheetFormatPr defaultRowHeight="12.75" x14ac:dyDescent="0.35"/>
  <sheetData>
    <row r="1" spans="1:9" ht="14.25" x14ac:dyDescent="0.45">
      <c r="C1" s="232" t="s">
        <v>59</v>
      </c>
      <c r="E1" s="232" t="s">
        <v>60</v>
      </c>
    </row>
    <row r="2" spans="1:9" ht="14.25" x14ac:dyDescent="0.45">
      <c r="A2" s="233" t="s">
        <v>12</v>
      </c>
      <c r="B2" s="233" t="s">
        <v>13</v>
      </c>
      <c r="C2" s="233" t="s">
        <v>14</v>
      </c>
      <c r="D2" s="233" t="s">
        <v>15</v>
      </c>
      <c r="E2" s="233" t="s">
        <v>16</v>
      </c>
      <c r="F2" s="233" t="s">
        <v>61</v>
      </c>
      <c r="G2" s="233" t="s">
        <v>18</v>
      </c>
      <c r="H2" s="233" t="s">
        <v>18</v>
      </c>
      <c r="I2" s="233" t="s">
        <v>18</v>
      </c>
    </row>
    <row r="4" spans="1:9" ht="14.25" x14ac:dyDescent="0.45">
      <c r="F4" s="233" t="s">
        <v>62</v>
      </c>
    </row>
    <row r="5" spans="1:9" ht="14.25" x14ac:dyDescent="0.45">
      <c r="F5" s="233" t="s">
        <v>20</v>
      </c>
    </row>
    <row r="6" spans="1:9" ht="14.25" x14ac:dyDescent="0.45">
      <c r="F6" s="233" t="s">
        <v>21</v>
      </c>
      <c r="G6" s="233" t="s">
        <v>22</v>
      </c>
      <c r="H6" s="233" t="s">
        <v>23</v>
      </c>
      <c r="I6" s="233" t="s">
        <v>24</v>
      </c>
    </row>
    <row r="7" spans="1:9" x14ac:dyDescent="0.35">
      <c r="A7" s="183" t="s">
        <v>31</v>
      </c>
      <c r="B7" s="183" t="s">
        <v>63</v>
      </c>
      <c r="C7" s="183" t="s">
        <v>64</v>
      </c>
      <c r="D7" s="183" t="s">
        <v>34</v>
      </c>
      <c r="E7" s="183" t="s">
        <v>65</v>
      </c>
      <c r="F7" s="187">
        <v>1.89</v>
      </c>
      <c r="G7" s="187">
        <v>1.8084499999999999</v>
      </c>
      <c r="H7" s="187">
        <v>0.94399999999999995</v>
      </c>
      <c r="I7" s="187">
        <v>0.73324299999999998</v>
      </c>
    </row>
    <row r="8" spans="1:9" x14ac:dyDescent="0.35">
      <c r="A8" s="183" t="s">
        <v>31</v>
      </c>
      <c r="B8" s="183" t="s">
        <v>66</v>
      </c>
      <c r="C8" s="183" t="s">
        <v>67</v>
      </c>
      <c r="D8" s="183" t="s">
        <v>34</v>
      </c>
      <c r="E8" s="183" t="s">
        <v>65</v>
      </c>
      <c r="F8" s="187">
        <v>0</v>
      </c>
      <c r="G8" s="187">
        <v>0</v>
      </c>
      <c r="H8" s="187">
        <v>0</v>
      </c>
      <c r="I8" s="187">
        <v>0</v>
      </c>
    </row>
    <row r="9" spans="1:9" x14ac:dyDescent="0.35">
      <c r="A9" s="183" t="s">
        <v>31</v>
      </c>
      <c r="B9" s="183" t="s">
        <v>68</v>
      </c>
      <c r="C9" s="183" t="s">
        <v>38</v>
      </c>
      <c r="D9" s="183" t="s">
        <v>39</v>
      </c>
      <c r="E9" s="183" t="s">
        <v>65</v>
      </c>
      <c r="F9" s="188">
        <v>32514</v>
      </c>
      <c r="G9" s="188">
        <v>32516</v>
      </c>
      <c r="H9" s="188">
        <v>18002</v>
      </c>
      <c r="I9" s="188">
        <v>12342</v>
      </c>
    </row>
    <row r="10" spans="1:9" x14ac:dyDescent="0.35">
      <c r="A10" s="183" t="s">
        <v>31</v>
      </c>
      <c r="B10" s="183" t="s">
        <v>69</v>
      </c>
      <c r="C10" s="183" t="s">
        <v>70</v>
      </c>
      <c r="D10" s="183" t="s">
        <v>34</v>
      </c>
      <c r="E10" s="183" t="s">
        <v>65</v>
      </c>
      <c r="F10" s="187">
        <v>0.182</v>
      </c>
      <c r="G10" s="187">
        <v>4.2667686481027103E-2</v>
      </c>
      <c r="H10" s="187">
        <v>8.2000000000000003E-2</v>
      </c>
      <c r="I10" s="187">
        <v>5.8999999999999997E-2</v>
      </c>
    </row>
    <row r="11" spans="1:9" x14ac:dyDescent="0.35">
      <c r="A11" s="183" t="s">
        <v>31</v>
      </c>
      <c r="B11" s="183" t="s">
        <v>71</v>
      </c>
      <c r="C11" s="183" t="s">
        <v>72</v>
      </c>
      <c r="D11" s="183" t="s">
        <v>34</v>
      </c>
      <c r="E11" s="183" t="s">
        <v>65</v>
      </c>
      <c r="F11" s="187">
        <v>0</v>
      </c>
      <c r="G11" s="187">
        <v>0</v>
      </c>
      <c r="H11" s="187">
        <v>0</v>
      </c>
      <c r="I11" s="187">
        <v>0</v>
      </c>
    </row>
    <row r="12" spans="1:9" x14ac:dyDescent="0.35">
      <c r="A12" s="183" t="s">
        <v>31</v>
      </c>
      <c r="B12" s="183" t="s">
        <v>73</v>
      </c>
      <c r="C12" s="183" t="s">
        <v>38</v>
      </c>
      <c r="D12" s="183" t="s">
        <v>39</v>
      </c>
      <c r="E12" s="183" t="s">
        <v>65</v>
      </c>
      <c r="F12" s="188">
        <v>2322</v>
      </c>
      <c r="G12" s="188">
        <v>1734</v>
      </c>
      <c r="H12" s="188">
        <v>870</v>
      </c>
      <c r="I12" s="188">
        <v>701</v>
      </c>
    </row>
    <row r="13" spans="1:9" x14ac:dyDescent="0.35">
      <c r="A13" s="183" t="s">
        <v>43</v>
      </c>
      <c r="B13" s="183" t="s">
        <v>63</v>
      </c>
      <c r="C13" s="183" t="s">
        <v>64</v>
      </c>
      <c r="D13" s="183" t="s">
        <v>34</v>
      </c>
      <c r="E13" s="183" t="s">
        <v>65</v>
      </c>
      <c r="F13" s="187">
        <v>2E-3</v>
      </c>
      <c r="G13" s="187">
        <v>6.0000000000000001E-3</v>
      </c>
      <c r="H13" s="187">
        <v>9.2999999999999999E-2</v>
      </c>
      <c r="I13" s="187">
        <v>0.192</v>
      </c>
    </row>
    <row r="14" spans="1:9" x14ac:dyDescent="0.35">
      <c r="A14" s="183" t="s">
        <v>43</v>
      </c>
      <c r="B14" s="183" t="s">
        <v>66</v>
      </c>
      <c r="C14" s="183" t="s">
        <v>67</v>
      </c>
      <c r="D14" s="183" t="s">
        <v>34</v>
      </c>
      <c r="E14" s="183" t="s">
        <v>65</v>
      </c>
      <c r="F14" s="187">
        <v>0</v>
      </c>
      <c r="G14" s="187">
        <v>0</v>
      </c>
      <c r="H14" s="187">
        <v>0</v>
      </c>
      <c r="I14" s="187">
        <v>0</v>
      </c>
    </row>
    <row r="15" spans="1:9" x14ac:dyDescent="0.35">
      <c r="A15" s="183" t="s">
        <v>43</v>
      </c>
      <c r="B15" s="183" t="s">
        <v>68</v>
      </c>
      <c r="C15" s="183" t="s">
        <v>38</v>
      </c>
      <c r="D15" s="183" t="s">
        <v>39</v>
      </c>
      <c r="E15" s="183" t="s">
        <v>65</v>
      </c>
      <c r="F15" s="188">
        <v>45</v>
      </c>
      <c r="G15" s="188">
        <v>0</v>
      </c>
      <c r="H15" s="188">
        <v>1815</v>
      </c>
      <c r="I15" s="188">
        <v>3630</v>
      </c>
    </row>
    <row r="16" spans="1:9" x14ac:dyDescent="0.35">
      <c r="A16" s="183" t="s">
        <v>43</v>
      </c>
      <c r="B16" s="183" t="s">
        <v>69</v>
      </c>
      <c r="C16" s="183" t="s">
        <v>70</v>
      </c>
      <c r="D16" s="183" t="s">
        <v>34</v>
      </c>
      <c r="E16" s="183" t="s">
        <v>65</v>
      </c>
      <c r="F16" s="187">
        <v>3.5999999999999997E-2</v>
      </c>
      <c r="G16" s="187">
        <v>0</v>
      </c>
      <c r="H16" s="187">
        <v>9.2999999999999999E-2</v>
      </c>
      <c r="I16" s="187">
        <v>2.3E-2</v>
      </c>
    </row>
    <row r="17" spans="1:9" x14ac:dyDescent="0.35">
      <c r="A17" s="183" t="s">
        <v>43</v>
      </c>
      <c r="B17" s="183" t="s">
        <v>71</v>
      </c>
      <c r="C17" s="183" t="s">
        <v>72</v>
      </c>
      <c r="D17" s="183" t="s">
        <v>34</v>
      </c>
      <c r="E17" s="183" t="s">
        <v>65</v>
      </c>
      <c r="F17" s="187">
        <v>0</v>
      </c>
      <c r="G17" s="187">
        <v>0</v>
      </c>
      <c r="H17" s="187">
        <v>0</v>
      </c>
      <c r="I17" s="187">
        <v>0</v>
      </c>
    </row>
    <row r="18" spans="1:9" x14ac:dyDescent="0.35">
      <c r="A18" s="183" t="s">
        <v>43</v>
      </c>
      <c r="B18" s="183" t="s">
        <v>73</v>
      </c>
      <c r="C18" s="183" t="s">
        <v>38</v>
      </c>
      <c r="D18" s="183" t="s">
        <v>39</v>
      </c>
      <c r="E18" s="183" t="s">
        <v>65</v>
      </c>
      <c r="F18" s="188">
        <v>832</v>
      </c>
      <c r="G18" s="188">
        <v>0</v>
      </c>
      <c r="H18" s="188">
        <v>323</v>
      </c>
      <c r="I18" s="188">
        <v>421</v>
      </c>
    </row>
    <row r="19" spans="1:9" x14ac:dyDescent="0.35">
      <c r="A19" s="183" t="s">
        <v>44</v>
      </c>
      <c r="B19" s="183" t="s">
        <v>63</v>
      </c>
      <c r="C19" s="183" t="s">
        <v>64</v>
      </c>
      <c r="D19" s="183" t="s">
        <v>34</v>
      </c>
      <c r="E19" s="183" t="s">
        <v>65</v>
      </c>
      <c r="F19" s="187">
        <v>0</v>
      </c>
      <c r="G19" s="187">
        <v>0</v>
      </c>
      <c r="H19" s="187">
        <v>0</v>
      </c>
      <c r="I19" s="187">
        <v>0</v>
      </c>
    </row>
    <row r="20" spans="1:9" x14ac:dyDescent="0.35">
      <c r="A20" s="183" t="s">
        <v>44</v>
      </c>
      <c r="B20" s="183" t="s">
        <v>66</v>
      </c>
      <c r="C20" s="183" t="s">
        <v>67</v>
      </c>
      <c r="D20" s="183" t="s">
        <v>34</v>
      </c>
      <c r="E20" s="183" t="s">
        <v>65</v>
      </c>
      <c r="F20" s="187">
        <v>0</v>
      </c>
      <c r="G20" s="187">
        <v>0</v>
      </c>
      <c r="H20" s="187">
        <v>0</v>
      </c>
      <c r="I20" s="187">
        <v>0</v>
      </c>
    </row>
    <row r="21" spans="1:9" x14ac:dyDescent="0.35">
      <c r="A21" s="183" t="s">
        <v>44</v>
      </c>
      <c r="B21" s="183" t="s">
        <v>68</v>
      </c>
      <c r="C21" s="183" t="s">
        <v>38</v>
      </c>
      <c r="D21" s="183" t="s">
        <v>39</v>
      </c>
      <c r="E21" s="183" t="s">
        <v>65</v>
      </c>
      <c r="F21" s="188">
        <v>0</v>
      </c>
      <c r="G21" s="188">
        <v>0</v>
      </c>
      <c r="H21" s="188">
        <v>0</v>
      </c>
      <c r="I21" s="188">
        <v>0</v>
      </c>
    </row>
    <row r="22" spans="1:9" x14ac:dyDescent="0.35">
      <c r="A22" s="183" t="s">
        <v>44</v>
      </c>
      <c r="B22" s="183" t="s">
        <v>69</v>
      </c>
      <c r="C22" s="183" t="s">
        <v>70</v>
      </c>
      <c r="D22" s="183" t="s">
        <v>34</v>
      </c>
      <c r="E22" s="183" t="s">
        <v>65</v>
      </c>
      <c r="F22" s="187">
        <v>0</v>
      </c>
      <c r="G22" s="187">
        <v>0</v>
      </c>
      <c r="H22" s="187">
        <v>0</v>
      </c>
      <c r="I22" s="187">
        <v>0</v>
      </c>
    </row>
    <row r="23" spans="1:9" x14ac:dyDescent="0.35">
      <c r="A23" s="183" t="s">
        <v>44</v>
      </c>
      <c r="B23" s="183" t="s">
        <v>71</v>
      </c>
      <c r="C23" s="183" t="s">
        <v>72</v>
      </c>
      <c r="D23" s="183" t="s">
        <v>34</v>
      </c>
      <c r="E23" s="183" t="s">
        <v>65</v>
      </c>
      <c r="F23" s="187">
        <v>0</v>
      </c>
      <c r="G23" s="187">
        <v>0</v>
      </c>
      <c r="H23" s="187">
        <v>0</v>
      </c>
      <c r="I23" s="187">
        <v>0</v>
      </c>
    </row>
    <row r="24" spans="1:9" x14ac:dyDescent="0.35">
      <c r="A24" s="183" t="s">
        <v>44</v>
      </c>
      <c r="B24" s="183" t="s">
        <v>73</v>
      </c>
      <c r="C24" s="183" t="s">
        <v>38</v>
      </c>
      <c r="D24" s="183" t="s">
        <v>39</v>
      </c>
      <c r="E24" s="183" t="s">
        <v>65</v>
      </c>
      <c r="F24" s="188">
        <v>0</v>
      </c>
      <c r="G24" s="188">
        <v>0</v>
      </c>
      <c r="H24" s="188">
        <v>0</v>
      </c>
      <c r="I24" s="188">
        <v>0</v>
      </c>
    </row>
    <row r="25" spans="1:9" x14ac:dyDescent="0.35">
      <c r="A25" s="183" t="s">
        <v>45</v>
      </c>
      <c r="B25" s="183" t="s">
        <v>63</v>
      </c>
      <c r="C25" s="183" t="s">
        <v>64</v>
      </c>
      <c r="D25" s="183" t="s">
        <v>34</v>
      </c>
      <c r="E25" s="183" t="s">
        <v>65</v>
      </c>
      <c r="F25" s="187">
        <v>0.27600000000000002</v>
      </c>
      <c r="G25" s="187">
        <v>0.36799999999999999</v>
      </c>
      <c r="H25" s="187">
        <v>0.40799999999999997</v>
      </c>
      <c r="I25" s="187">
        <v>0.45700000000000002</v>
      </c>
    </row>
    <row r="26" spans="1:9" x14ac:dyDescent="0.35">
      <c r="A26" s="183" t="s">
        <v>45</v>
      </c>
      <c r="B26" s="183" t="s">
        <v>66</v>
      </c>
      <c r="C26" s="183" t="s">
        <v>67</v>
      </c>
      <c r="D26" s="183" t="s">
        <v>34</v>
      </c>
      <c r="E26" s="183" t="s">
        <v>65</v>
      </c>
      <c r="F26" s="187">
        <v>0</v>
      </c>
      <c r="G26" s="187">
        <v>0</v>
      </c>
      <c r="H26" s="187">
        <v>0</v>
      </c>
      <c r="I26" s="187">
        <v>0</v>
      </c>
    </row>
    <row r="27" spans="1:9" x14ac:dyDescent="0.35">
      <c r="A27" s="183" t="s">
        <v>45</v>
      </c>
      <c r="B27" s="183" t="s">
        <v>68</v>
      </c>
      <c r="C27" s="183" t="s">
        <v>38</v>
      </c>
      <c r="D27" s="183" t="s">
        <v>39</v>
      </c>
      <c r="E27" s="183" t="s">
        <v>65</v>
      </c>
      <c r="F27" s="188">
        <v>8098</v>
      </c>
      <c r="G27" s="188">
        <v>9115</v>
      </c>
      <c r="H27" s="188">
        <v>9165</v>
      </c>
      <c r="I27" s="188">
        <v>8276</v>
      </c>
    </row>
    <row r="28" spans="1:9" x14ac:dyDescent="0.35">
      <c r="A28" s="183" t="s">
        <v>45</v>
      </c>
      <c r="B28" s="183" t="s">
        <v>69</v>
      </c>
      <c r="C28" s="183" t="s">
        <v>70</v>
      </c>
      <c r="D28" s="183" t="s">
        <v>34</v>
      </c>
      <c r="E28" s="183" t="s">
        <v>65</v>
      </c>
      <c r="F28" s="187">
        <v>0.128</v>
      </c>
      <c r="G28" s="187">
        <v>3.4000000000000002E-2</v>
      </c>
      <c r="H28" s="187">
        <v>2.1000000000000001E-2</v>
      </c>
      <c r="I28" s="187">
        <v>1.4999999999999999E-2</v>
      </c>
    </row>
    <row r="29" spans="1:9" x14ac:dyDescent="0.35">
      <c r="A29" s="183" t="s">
        <v>45</v>
      </c>
      <c r="B29" s="183" t="s">
        <v>71</v>
      </c>
      <c r="C29" s="183" t="s">
        <v>72</v>
      </c>
      <c r="D29" s="183" t="s">
        <v>34</v>
      </c>
      <c r="E29" s="183" t="s">
        <v>65</v>
      </c>
      <c r="F29" s="187">
        <v>0</v>
      </c>
      <c r="G29" s="187">
        <v>0</v>
      </c>
      <c r="H29" s="187">
        <v>0</v>
      </c>
      <c r="I29" s="187">
        <v>0</v>
      </c>
    </row>
    <row r="30" spans="1:9" x14ac:dyDescent="0.35">
      <c r="A30" s="183" t="s">
        <v>45</v>
      </c>
      <c r="B30" s="183" t="s">
        <v>73</v>
      </c>
      <c r="C30" s="183" t="s">
        <v>38</v>
      </c>
      <c r="D30" s="183" t="s">
        <v>39</v>
      </c>
      <c r="E30" s="183" t="s">
        <v>65</v>
      </c>
      <c r="F30" s="188">
        <v>5957</v>
      </c>
      <c r="G30" s="188">
        <v>747</v>
      </c>
      <c r="H30" s="188">
        <v>402</v>
      </c>
      <c r="I30" s="188">
        <v>209</v>
      </c>
    </row>
    <row r="31" spans="1:9" x14ac:dyDescent="0.35">
      <c r="A31" s="183" t="s">
        <v>46</v>
      </c>
      <c r="B31" s="183" t="s">
        <v>63</v>
      </c>
      <c r="C31" s="183" t="s">
        <v>64</v>
      </c>
      <c r="D31" s="183" t="s">
        <v>34</v>
      </c>
      <c r="E31" s="183" t="s">
        <v>65</v>
      </c>
      <c r="F31" s="187">
        <v>2.3069999999999999</v>
      </c>
      <c r="G31" s="187">
        <v>2.2330000000000001</v>
      </c>
      <c r="H31" s="187">
        <v>2.6629999999999998</v>
      </c>
      <c r="I31" s="187">
        <v>2.84</v>
      </c>
    </row>
    <row r="32" spans="1:9" x14ac:dyDescent="0.35">
      <c r="A32" s="183" t="s">
        <v>46</v>
      </c>
      <c r="B32" s="183" t="s">
        <v>66</v>
      </c>
      <c r="C32" s="183" t="s">
        <v>67</v>
      </c>
      <c r="D32" s="183" t="s">
        <v>34</v>
      </c>
      <c r="E32" s="183" t="s">
        <v>65</v>
      </c>
      <c r="F32" s="187">
        <v>0</v>
      </c>
      <c r="G32" s="187">
        <v>0</v>
      </c>
      <c r="H32" s="187">
        <v>0</v>
      </c>
      <c r="I32" s="187">
        <v>0</v>
      </c>
    </row>
    <row r="33" spans="1:9" x14ac:dyDescent="0.35">
      <c r="A33" s="183" t="s">
        <v>46</v>
      </c>
      <c r="B33" s="183" t="s">
        <v>68</v>
      </c>
      <c r="C33" s="183" t="s">
        <v>38</v>
      </c>
      <c r="D33" s="183" t="s">
        <v>39</v>
      </c>
      <c r="E33" s="183" t="s">
        <v>65</v>
      </c>
      <c r="F33" s="188">
        <v>776</v>
      </c>
      <c r="G33" s="188">
        <v>38726.417334310201</v>
      </c>
      <c r="H33" s="188">
        <v>58066</v>
      </c>
      <c r="I33" s="188">
        <v>52949.358</v>
      </c>
    </row>
    <row r="34" spans="1:9" x14ac:dyDescent="0.35">
      <c r="A34" s="183" t="s">
        <v>46</v>
      </c>
      <c r="B34" s="183" t="s">
        <v>69</v>
      </c>
      <c r="C34" s="183" t="s">
        <v>70</v>
      </c>
      <c r="D34" s="183" t="s">
        <v>34</v>
      </c>
      <c r="E34" s="183" t="s">
        <v>65</v>
      </c>
      <c r="F34" s="187">
        <v>7.2999999999999995E-2</v>
      </c>
      <c r="G34" s="187">
        <v>0.191</v>
      </c>
      <c r="H34" s="187">
        <v>5.1999999999999998E-2</v>
      </c>
      <c r="I34" s="187">
        <v>0.32500000000000001</v>
      </c>
    </row>
    <row r="35" spans="1:9" x14ac:dyDescent="0.35">
      <c r="A35" s="183" t="s">
        <v>46</v>
      </c>
      <c r="B35" s="183" t="s">
        <v>71</v>
      </c>
      <c r="C35" s="183" t="s">
        <v>72</v>
      </c>
      <c r="D35" s="183" t="s">
        <v>34</v>
      </c>
      <c r="E35" s="183" t="s">
        <v>65</v>
      </c>
      <c r="F35" s="187">
        <v>0</v>
      </c>
      <c r="G35" s="187">
        <v>0</v>
      </c>
      <c r="H35" s="187">
        <v>0</v>
      </c>
      <c r="I35" s="187">
        <v>0</v>
      </c>
    </row>
    <row r="36" spans="1:9" x14ac:dyDescent="0.35">
      <c r="A36" s="183" t="s">
        <v>46</v>
      </c>
      <c r="B36" s="183" t="s">
        <v>73</v>
      </c>
      <c r="C36" s="183" t="s">
        <v>38</v>
      </c>
      <c r="D36" s="183" t="s">
        <v>39</v>
      </c>
      <c r="E36" s="183" t="s">
        <v>65</v>
      </c>
      <c r="F36" s="188">
        <v>24</v>
      </c>
      <c r="G36" s="188">
        <v>2142.5826656898398</v>
      </c>
      <c r="H36" s="188">
        <v>178</v>
      </c>
      <c r="I36" s="188">
        <v>7971.6419999999998</v>
      </c>
    </row>
    <row r="37" spans="1:9" x14ac:dyDescent="0.35">
      <c r="A37" s="183" t="s">
        <v>47</v>
      </c>
      <c r="B37" s="183" t="s">
        <v>63</v>
      </c>
      <c r="C37" s="183" t="s">
        <v>64</v>
      </c>
      <c r="D37" s="183" t="s">
        <v>34</v>
      </c>
      <c r="E37" s="183" t="s">
        <v>65</v>
      </c>
      <c r="F37" s="187">
        <v>0</v>
      </c>
      <c r="G37" s="187">
        <v>4.7E-2</v>
      </c>
      <c r="H37" s="187">
        <v>0.20899999999999999</v>
      </c>
      <c r="I37" s="187">
        <v>0.83399999999999996</v>
      </c>
    </row>
    <row r="38" spans="1:9" x14ac:dyDescent="0.35">
      <c r="A38" s="183" t="s">
        <v>47</v>
      </c>
      <c r="B38" s="183" t="s">
        <v>66</v>
      </c>
      <c r="C38" s="183" t="s">
        <v>67</v>
      </c>
      <c r="D38" s="183" t="s">
        <v>34</v>
      </c>
      <c r="E38" s="183" t="s">
        <v>65</v>
      </c>
      <c r="F38" s="187">
        <v>0</v>
      </c>
      <c r="G38" s="187">
        <v>0</v>
      </c>
      <c r="H38" s="187">
        <v>0</v>
      </c>
      <c r="I38" s="187">
        <v>0</v>
      </c>
    </row>
    <row r="39" spans="1:9" x14ac:dyDescent="0.35">
      <c r="A39" s="183" t="s">
        <v>47</v>
      </c>
      <c r="B39" s="183" t="s">
        <v>68</v>
      </c>
      <c r="C39" s="183" t="s">
        <v>38</v>
      </c>
      <c r="D39" s="183" t="s">
        <v>39</v>
      </c>
      <c r="E39" s="183" t="s">
        <v>65</v>
      </c>
      <c r="F39" s="188">
        <v>0</v>
      </c>
      <c r="G39" s="188">
        <v>0</v>
      </c>
      <c r="H39" s="188">
        <v>0</v>
      </c>
      <c r="I39" s="188">
        <v>4597</v>
      </c>
    </row>
    <row r="40" spans="1:9" x14ac:dyDescent="0.35">
      <c r="A40" s="183" t="s">
        <v>47</v>
      </c>
      <c r="B40" s="183" t="s">
        <v>69</v>
      </c>
      <c r="C40" s="183" t="s">
        <v>70</v>
      </c>
      <c r="D40" s="183" t="s">
        <v>34</v>
      </c>
      <c r="E40" s="183" t="s">
        <v>65</v>
      </c>
      <c r="F40" s="187">
        <v>0</v>
      </c>
      <c r="G40" s="187">
        <v>8.0000000000000002E-3</v>
      </c>
      <c r="H40" s="187">
        <v>3.0000000000000001E-3</v>
      </c>
      <c r="I40" s="187">
        <v>0</v>
      </c>
    </row>
    <row r="41" spans="1:9" x14ac:dyDescent="0.35">
      <c r="A41" s="183" t="s">
        <v>47</v>
      </c>
      <c r="B41" s="183" t="s">
        <v>71</v>
      </c>
      <c r="C41" s="183" t="s">
        <v>72</v>
      </c>
      <c r="D41" s="183" t="s">
        <v>34</v>
      </c>
      <c r="E41" s="183" t="s">
        <v>65</v>
      </c>
      <c r="F41" s="187">
        <v>0</v>
      </c>
      <c r="G41" s="187">
        <v>0</v>
      </c>
      <c r="H41" s="187">
        <v>0</v>
      </c>
      <c r="I41" s="187">
        <v>0</v>
      </c>
    </row>
    <row r="42" spans="1:9" x14ac:dyDescent="0.35">
      <c r="A42" s="183" t="s">
        <v>47</v>
      </c>
      <c r="B42" s="183" t="s">
        <v>73</v>
      </c>
      <c r="C42" s="183" t="s">
        <v>38</v>
      </c>
      <c r="D42" s="183" t="s">
        <v>39</v>
      </c>
      <c r="E42" s="183" t="s">
        <v>65</v>
      </c>
      <c r="F42" s="188">
        <v>0</v>
      </c>
      <c r="G42" s="188">
        <v>0</v>
      </c>
      <c r="H42" s="188">
        <v>0</v>
      </c>
      <c r="I42" s="188">
        <v>0</v>
      </c>
    </row>
    <row r="43" spans="1:9" x14ac:dyDescent="0.35">
      <c r="A43" s="183" t="s">
        <v>48</v>
      </c>
      <c r="B43" s="183" t="s">
        <v>63</v>
      </c>
      <c r="C43" s="183" t="s">
        <v>64</v>
      </c>
      <c r="D43" s="183" t="s">
        <v>34</v>
      </c>
      <c r="E43" s="183" t="s">
        <v>65</v>
      </c>
      <c r="F43" s="187">
        <v>1.1930000000000001</v>
      </c>
      <c r="G43" s="187">
        <v>1.113</v>
      </c>
      <c r="H43" s="187">
        <v>1.4830000000000001</v>
      </c>
      <c r="I43" s="187">
        <v>1.597</v>
      </c>
    </row>
    <row r="44" spans="1:9" x14ac:dyDescent="0.35">
      <c r="A44" s="183" t="s">
        <v>48</v>
      </c>
      <c r="B44" s="183" t="s">
        <v>66</v>
      </c>
      <c r="C44" s="183" t="s">
        <v>67</v>
      </c>
      <c r="D44" s="183" t="s">
        <v>34</v>
      </c>
      <c r="E44" s="183" t="s">
        <v>65</v>
      </c>
      <c r="F44" s="187">
        <v>0.14799999999999999</v>
      </c>
      <c r="G44" s="187">
        <v>0.109</v>
      </c>
      <c r="H44" s="187">
        <v>0.29399999999999998</v>
      </c>
      <c r="I44" s="187">
        <v>0.74</v>
      </c>
    </row>
    <row r="45" spans="1:9" x14ac:dyDescent="0.35">
      <c r="A45" s="183" t="s">
        <v>48</v>
      </c>
      <c r="B45" s="183" t="s">
        <v>68</v>
      </c>
      <c r="C45" s="183" t="s">
        <v>38</v>
      </c>
      <c r="D45" s="183" t="s">
        <v>39</v>
      </c>
      <c r="E45" s="183" t="s">
        <v>65</v>
      </c>
      <c r="F45" s="188">
        <v>33546</v>
      </c>
      <c r="G45" s="188">
        <v>33992</v>
      </c>
      <c r="H45" s="188">
        <v>37760</v>
      </c>
      <c r="I45" s="188">
        <v>33567</v>
      </c>
    </row>
    <row r="46" spans="1:9" x14ac:dyDescent="0.35">
      <c r="A46" s="183" t="s">
        <v>48</v>
      </c>
      <c r="B46" s="183" t="s">
        <v>69</v>
      </c>
      <c r="C46" s="183" t="s">
        <v>70</v>
      </c>
      <c r="D46" s="183" t="s">
        <v>34</v>
      </c>
      <c r="E46" s="183" t="s">
        <v>65</v>
      </c>
      <c r="F46" s="187">
        <v>0.13200000000000001</v>
      </c>
      <c r="G46" s="187">
        <v>0.124</v>
      </c>
      <c r="H46" s="187">
        <v>0.16500000000000001</v>
      </c>
      <c r="I46" s="187">
        <v>0.17799999999999999</v>
      </c>
    </row>
    <row r="47" spans="1:9" x14ac:dyDescent="0.35">
      <c r="A47" s="183" t="s">
        <v>48</v>
      </c>
      <c r="B47" s="183" t="s">
        <v>71</v>
      </c>
      <c r="C47" s="183" t="s">
        <v>72</v>
      </c>
      <c r="D47" s="183" t="s">
        <v>34</v>
      </c>
      <c r="E47" s="183" t="s">
        <v>65</v>
      </c>
      <c r="F47" s="187">
        <v>7.0999999999999994E-2</v>
      </c>
      <c r="G47" s="187">
        <v>8.6999999999999994E-2</v>
      </c>
      <c r="H47" s="187">
        <v>0.18</v>
      </c>
      <c r="I47" s="187">
        <v>0.376</v>
      </c>
    </row>
    <row r="48" spans="1:9" x14ac:dyDescent="0.35">
      <c r="A48" s="183" t="s">
        <v>48</v>
      </c>
      <c r="B48" s="183" t="s">
        <v>73</v>
      </c>
      <c r="C48" s="183" t="s">
        <v>38</v>
      </c>
      <c r="D48" s="183" t="s">
        <v>39</v>
      </c>
      <c r="E48" s="183" t="s">
        <v>65</v>
      </c>
      <c r="F48" s="188">
        <v>3728</v>
      </c>
      <c r="G48" s="188">
        <v>3776</v>
      </c>
      <c r="H48" s="188">
        <v>4196</v>
      </c>
      <c r="I48" s="188">
        <v>3729</v>
      </c>
    </row>
    <row r="49" spans="1:9" x14ac:dyDescent="0.35">
      <c r="A49" s="183" t="s">
        <v>49</v>
      </c>
      <c r="B49" s="183" t="s">
        <v>63</v>
      </c>
      <c r="C49" s="183" t="s">
        <v>64</v>
      </c>
      <c r="D49" s="183" t="s">
        <v>34</v>
      </c>
      <c r="E49" s="183" t="s">
        <v>65</v>
      </c>
      <c r="F49" s="187">
        <v>21.295999999999999</v>
      </c>
      <c r="G49" s="187">
        <v>25.114999999999998</v>
      </c>
      <c r="H49" s="187">
        <v>32.451000000000001</v>
      </c>
      <c r="I49" s="187">
        <v>27.635000000000002</v>
      </c>
    </row>
    <row r="50" spans="1:9" x14ac:dyDescent="0.35">
      <c r="A50" s="183" t="s">
        <v>49</v>
      </c>
      <c r="B50" s="183" t="s">
        <v>66</v>
      </c>
      <c r="C50" s="183" t="s">
        <v>67</v>
      </c>
      <c r="D50" s="183" t="s">
        <v>34</v>
      </c>
      <c r="E50" s="183" t="s">
        <v>65</v>
      </c>
      <c r="F50" s="187">
        <v>0.85899999999999999</v>
      </c>
      <c r="G50" s="187">
        <v>1.0820000000000001</v>
      </c>
      <c r="H50" s="187">
        <v>2.7120000000000002</v>
      </c>
      <c r="I50" s="187">
        <v>1.6990000000000001</v>
      </c>
    </row>
    <row r="51" spans="1:9" x14ac:dyDescent="0.35">
      <c r="A51" s="183" t="s">
        <v>49</v>
      </c>
      <c r="B51" s="183" t="s">
        <v>68</v>
      </c>
      <c r="C51" s="183" t="s">
        <v>38</v>
      </c>
      <c r="D51" s="183" t="s">
        <v>39</v>
      </c>
      <c r="E51" s="183" t="s">
        <v>65</v>
      </c>
      <c r="F51" s="188">
        <v>55039</v>
      </c>
      <c r="G51" s="188">
        <v>89202</v>
      </c>
      <c r="H51" s="188">
        <v>89202</v>
      </c>
      <c r="I51" s="188">
        <v>67686</v>
      </c>
    </row>
    <row r="52" spans="1:9" x14ac:dyDescent="0.35">
      <c r="A52" s="183" t="s">
        <v>49</v>
      </c>
      <c r="B52" s="183" t="s">
        <v>69</v>
      </c>
      <c r="C52" s="183" t="s">
        <v>70</v>
      </c>
      <c r="D52" s="183" t="s">
        <v>34</v>
      </c>
      <c r="E52" s="183" t="s">
        <v>65</v>
      </c>
      <c r="F52" s="187">
        <v>1.4159999999999999</v>
      </c>
      <c r="G52" s="187">
        <v>2.319</v>
      </c>
      <c r="H52" s="187">
        <v>0.64900000000000002</v>
      </c>
      <c r="I52" s="187">
        <v>1.0169999999999999</v>
      </c>
    </row>
    <row r="53" spans="1:9" x14ac:dyDescent="0.35">
      <c r="A53" s="183" t="s">
        <v>49</v>
      </c>
      <c r="B53" s="183" t="s">
        <v>71</v>
      </c>
      <c r="C53" s="183" t="s">
        <v>72</v>
      </c>
      <c r="D53" s="183" t="s">
        <v>34</v>
      </c>
      <c r="E53" s="183" t="s">
        <v>65</v>
      </c>
      <c r="F53" s="187">
        <v>0.19900000000000001</v>
      </c>
      <c r="G53" s="187">
        <v>0.55300000000000005</v>
      </c>
      <c r="H53" s="187">
        <v>0.35</v>
      </c>
      <c r="I53" s="187">
        <v>0.46800000000000003</v>
      </c>
    </row>
    <row r="54" spans="1:9" x14ac:dyDescent="0.35">
      <c r="A54" s="183" t="s">
        <v>49</v>
      </c>
      <c r="B54" s="183" t="s">
        <v>73</v>
      </c>
      <c r="C54" s="183" t="s">
        <v>38</v>
      </c>
      <c r="D54" s="183" t="s">
        <v>39</v>
      </c>
      <c r="E54" s="183" t="s">
        <v>65</v>
      </c>
      <c r="F54" s="188">
        <v>6751</v>
      </c>
      <c r="G54" s="188">
        <v>14011</v>
      </c>
      <c r="H54" s="188">
        <v>7130</v>
      </c>
      <c r="I54" s="188">
        <v>6725</v>
      </c>
    </row>
    <row r="55" spans="1:9" x14ac:dyDescent="0.35">
      <c r="A55" s="183" t="s">
        <v>50</v>
      </c>
      <c r="B55" s="183" t="s">
        <v>63</v>
      </c>
      <c r="C55" s="183" t="s">
        <v>64</v>
      </c>
      <c r="D55" s="183" t="s">
        <v>34</v>
      </c>
      <c r="E55" s="183" t="s">
        <v>65</v>
      </c>
      <c r="F55" s="187">
        <v>1.8054489877109701</v>
      </c>
      <c r="G55" s="187">
        <v>2.1200541706320899</v>
      </c>
      <c r="H55" s="187">
        <v>2.0464701721890868</v>
      </c>
      <c r="I55" s="187">
        <v>1.7749973689999998</v>
      </c>
    </row>
    <row r="56" spans="1:9" x14ac:dyDescent="0.35">
      <c r="A56" s="183" t="s">
        <v>50</v>
      </c>
      <c r="B56" s="183" t="s">
        <v>66</v>
      </c>
      <c r="C56" s="183" t="s">
        <v>67</v>
      </c>
      <c r="D56" s="183" t="s">
        <v>34</v>
      </c>
      <c r="E56" s="183" t="s">
        <v>65</v>
      </c>
      <c r="F56" s="187">
        <v>0</v>
      </c>
      <c r="G56" s="187">
        <v>0</v>
      </c>
      <c r="H56" s="187">
        <v>0</v>
      </c>
      <c r="I56" s="187">
        <v>0</v>
      </c>
    </row>
    <row r="57" spans="1:9" x14ac:dyDescent="0.35">
      <c r="A57" s="183" t="s">
        <v>50</v>
      </c>
      <c r="B57" s="183" t="s">
        <v>68</v>
      </c>
      <c r="C57" s="183" t="s">
        <v>38</v>
      </c>
      <c r="D57" s="183" t="s">
        <v>39</v>
      </c>
      <c r="E57" s="183" t="s">
        <v>65</v>
      </c>
      <c r="F57" s="188">
        <v>33652.673808174601</v>
      </c>
      <c r="G57" s="188">
        <v>37705</v>
      </c>
      <c r="H57" s="188">
        <v>33707</v>
      </c>
      <c r="I57" s="188">
        <v>27210</v>
      </c>
    </row>
    <row r="58" spans="1:9" x14ac:dyDescent="0.35">
      <c r="A58" s="183" t="s">
        <v>50</v>
      </c>
      <c r="B58" s="183" t="s">
        <v>69</v>
      </c>
      <c r="C58" s="183" t="s">
        <v>70</v>
      </c>
      <c r="D58" s="183" t="s">
        <v>34</v>
      </c>
      <c r="E58" s="183" t="s">
        <v>65</v>
      </c>
      <c r="F58" s="187">
        <v>0.27933662824398298</v>
      </c>
      <c r="G58" s="187">
        <v>0.48173985456739798</v>
      </c>
      <c r="H58" s="187">
        <v>0.64722937905458577</v>
      </c>
      <c r="I58" s="187">
        <v>0.52875006632599997</v>
      </c>
    </row>
    <row r="59" spans="1:9" x14ac:dyDescent="0.35">
      <c r="A59" s="183" t="s">
        <v>50</v>
      </c>
      <c r="B59" s="183" t="s">
        <v>71</v>
      </c>
      <c r="C59" s="183" t="s">
        <v>72</v>
      </c>
      <c r="D59" s="183" t="s">
        <v>34</v>
      </c>
      <c r="E59" s="183" t="s">
        <v>65</v>
      </c>
      <c r="F59" s="187">
        <v>0</v>
      </c>
      <c r="G59" s="187">
        <v>0</v>
      </c>
      <c r="H59" s="187">
        <v>0</v>
      </c>
      <c r="I59" s="187">
        <v>0</v>
      </c>
    </row>
    <row r="60" spans="1:9" x14ac:dyDescent="0.35">
      <c r="A60" s="183" t="s">
        <v>50</v>
      </c>
      <c r="B60" s="183" t="s">
        <v>73</v>
      </c>
      <c r="C60" s="183" t="s">
        <v>38</v>
      </c>
      <c r="D60" s="183" t="s">
        <v>39</v>
      </c>
      <c r="E60" s="183" t="s">
        <v>65</v>
      </c>
      <c r="F60" s="188">
        <v>3837.0067741360199</v>
      </c>
      <c r="G60" s="188">
        <v>7023</v>
      </c>
      <c r="H60" s="188">
        <v>8236</v>
      </c>
      <c r="I60" s="188">
        <v>5975</v>
      </c>
    </row>
    <row r="61" spans="1:9" x14ac:dyDescent="0.35">
      <c r="A61" s="183" t="s">
        <v>51</v>
      </c>
      <c r="B61" s="183" t="s">
        <v>63</v>
      </c>
      <c r="C61" s="183" t="s">
        <v>64</v>
      </c>
      <c r="D61" s="183" t="s">
        <v>34</v>
      </c>
      <c r="E61" s="183" t="s">
        <v>65</v>
      </c>
      <c r="F61" s="187">
        <v>9.8472400000000002E-2</v>
      </c>
      <c r="G61" s="187">
        <v>0.122</v>
      </c>
      <c r="H61" s="187">
        <v>0.153</v>
      </c>
      <c r="I61" s="187">
        <v>0.123</v>
      </c>
    </row>
    <row r="62" spans="1:9" x14ac:dyDescent="0.35">
      <c r="A62" s="183" t="s">
        <v>51</v>
      </c>
      <c r="B62" s="183" t="s">
        <v>66</v>
      </c>
      <c r="C62" s="183" t="s">
        <v>67</v>
      </c>
      <c r="D62" s="183" t="s">
        <v>34</v>
      </c>
      <c r="E62" s="183" t="s">
        <v>65</v>
      </c>
      <c r="F62" s="187">
        <v>0</v>
      </c>
      <c r="G62" s="187">
        <v>0</v>
      </c>
      <c r="H62" s="187">
        <v>0</v>
      </c>
      <c r="I62" s="187">
        <v>0</v>
      </c>
    </row>
    <row r="63" spans="1:9" x14ac:dyDescent="0.35">
      <c r="A63" s="183" t="s">
        <v>51</v>
      </c>
      <c r="B63" s="183" t="s">
        <v>68</v>
      </c>
      <c r="C63" s="183" t="s">
        <v>38</v>
      </c>
      <c r="D63" s="183" t="s">
        <v>39</v>
      </c>
      <c r="E63" s="183" t="s">
        <v>65</v>
      </c>
      <c r="F63" s="188">
        <v>2653</v>
      </c>
      <c r="G63" s="188">
        <v>3612</v>
      </c>
      <c r="H63" s="188">
        <v>4193</v>
      </c>
      <c r="I63" s="188">
        <v>2468</v>
      </c>
    </row>
    <row r="64" spans="1:9" x14ac:dyDescent="0.35">
      <c r="A64" s="183" t="s">
        <v>51</v>
      </c>
      <c r="B64" s="183" t="s">
        <v>69</v>
      </c>
      <c r="C64" s="183" t="s">
        <v>70</v>
      </c>
      <c r="D64" s="183" t="s">
        <v>34</v>
      </c>
      <c r="E64" s="183" t="s">
        <v>65</v>
      </c>
      <c r="F64" s="187">
        <v>9.6793000000000105E-3</v>
      </c>
      <c r="G64" s="187">
        <v>1.9E-2</v>
      </c>
      <c r="H64" s="187">
        <v>2.5999999999999999E-2</v>
      </c>
      <c r="I64" s="187">
        <v>2.1000000000000001E-2</v>
      </c>
    </row>
    <row r="65" spans="1:9" x14ac:dyDescent="0.35">
      <c r="A65" s="183" t="s">
        <v>51</v>
      </c>
      <c r="B65" s="183" t="s">
        <v>71</v>
      </c>
      <c r="C65" s="183" t="s">
        <v>72</v>
      </c>
      <c r="D65" s="183" t="s">
        <v>34</v>
      </c>
      <c r="E65" s="183" t="s">
        <v>65</v>
      </c>
      <c r="F65" s="187">
        <v>0</v>
      </c>
      <c r="G65" s="187">
        <v>0</v>
      </c>
      <c r="H65" s="187">
        <v>0</v>
      </c>
      <c r="I65" s="187">
        <v>0</v>
      </c>
    </row>
    <row r="66" spans="1:9" x14ac:dyDescent="0.35">
      <c r="A66" s="183" t="s">
        <v>51</v>
      </c>
      <c r="B66" s="183" t="s">
        <v>73</v>
      </c>
      <c r="C66" s="183" t="s">
        <v>38</v>
      </c>
      <c r="D66" s="183" t="s">
        <v>39</v>
      </c>
      <c r="E66" s="183" t="s">
        <v>65</v>
      </c>
      <c r="F66" s="188">
        <v>223</v>
      </c>
      <c r="G66" s="188">
        <v>461</v>
      </c>
      <c r="H66" s="188">
        <v>390</v>
      </c>
      <c r="I66" s="188">
        <v>299</v>
      </c>
    </row>
    <row r="67" spans="1:9" x14ac:dyDescent="0.35">
      <c r="A67" s="183" t="s">
        <v>52</v>
      </c>
      <c r="B67" s="183" t="s">
        <v>63</v>
      </c>
      <c r="C67" s="183" t="s">
        <v>64</v>
      </c>
      <c r="D67" s="183" t="s">
        <v>34</v>
      </c>
      <c r="E67" s="183" t="s">
        <v>65</v>
      </c>
      <c r="F67" s="187">
        <v>4.1989999999999998</v>
      </c>
      <c r="G67" s="187">
        <v>3.4485552127639498</v>
      </c>
      <c r="H67" s="187">
        <v>3.706</v>
      </c>
      <c r="I67" s="187">
        <v>3.1994937211257151</v>
      </c>
    </row>
    <row r="68" spans="1:9" x14ac:dyDescent="0.35">
      <c r="A68" s="183" t="s">
        <v>52</v>
      </c>
      <c r="B68" s="183" t="s">
        <v>66</v>
      </c>
      <c r="C68" s="183" t="s">
        <v>67</v>
      </c>
      <c r="D68" s="183" t="s">
        <v>34</v>
      </c>
      <c r="E68" s="183" t="s">
        <v>65</v>
      </c>
      <c r="F68" s="187">
        <v>0</v>
      </c>
      <c r="G68" s="187">
        <v>0</v>
      </c>
      <c r="H68" s="187">
        <v>0</v>
      </c>
      <c r="I68" s="187">
        <v>0</v>
      </c>
    </row>
    <row r="69" spans="1:9" x14ac:dyDescent="0.35">
      <c r="A69" s="183" t="s">
        <v>52</v>
      </c>
      <c r="B69" s="183" t="s">
        <v>68</v>
      </c>
      <c r="C69" s="183" t="s">
        <v>38</v>
      </c>
      <c r="D69" s="183" t="s">
        <v>39</v>
      </c>
      <c r="E69" s="183" t="s">
        <v>65</v>
      </c>
      <c r="F69" s="188">
        <v>27208</v>
      </c>
      <c r="G69" s="188">
        <v>21430.17</v>
      </c>
      <c r="H69" s="188">
        <v>20800</v>
      </c>
      <c r="I69" s="188">
        <v>23607.160577196886</v>
      </c>
    </row>
    <row r="70" spans="1:9" x14ac:dyDescent="0.35">
      <c r="A70" s="183" t="s">
        <v>52</v>
      </c>
      <c r="B70" s="183" t="s">
        <v>69</v>
      </c>
      <c r="C70" s="183" t="s">
        <v>70</v>
      </c>
      <c r="D70" s="183" t="s">
        <v>34</v>
      </c>
      <c r="E70" s="183" t="s">
        <v>65</v>
      </c>
      <c r="F70" s="187">
        <v>0.29799999999999999</v>
      </c>
      <c r="G70" s="187">
        <v>0.16600000000000001</v>
      </c>
      <c r="H70" s="187">
        <v>0.13171905116610619</v>
      </c>
      <c r="I70" s="187">
        <v>0.23767539694945838</v>
      </c>
    </row>
    <row r="71" spans="1:9" x14ac:dyDescent="0.35">
      <c r="A71" s="183" t="s">
        <v>52</v>
      </c>
      <c r="B71" s="183" t="s">
        <v>71</v>
      </c>
      <c r="C71" s="183" t="s">
        <v>72</v>
      </c>
      <c r="D71" s="183" t="s">
        <v>34</v>
      </c>
      <c r="E71" s="183" t="s">
        <v>65</v>
      </c>
      <c r="F71" s="187">
        <v>0</v>
      </c>
      <c r="G71" s="187">
        <v>0</v>
      </c>
      <c r="H71" s="187">
        <v>0</v>
      </c>
      <c r="I71" s="187">
        <v>0</v>
      </c>
    </row>
    <row r="72" spans="1:9" x14ac:dyDescent="0.35">
      <c r="A72" s="183" t="s">
        <v>52</v>
      </c>
      <c r="B72" s="183" t="s">
        <v>73</v>
      </c>
      <c r="C72" s="183" t="s">
        <v>38</v>
      </c>
      <c r="D72" s="183" t="s">
        <v>39</v>
      </c>
      <c r="E72" s="183" t="s">
        <v>65</v>
      </c>
      <c r="F72" s="188">
        <v>1500</v>
      </c>
      <c r="G72" s="188">
        <v>811.94</v>
      </c>
      <c r="H72" s="188">
        <v>811</v>
      </c>
      <c r="I72" s="188">
        <v>1915.8038969578993</v>
      </c>
    </row>
    <row r="73" spans="1:9" x14ac:dyDescent="0.35">
      <c r="A73" s="183" t="s">
        <v>53</v>
      </c>
      <c r="B73" s="183" t="s">
        <v>63</v>
      </c>
      <c r="C73" s="183" t="s">
        <v>64</v>
      </c>
      <c r="D73" s="183" t="s">
        <v>34</v>
      </c>
      <c r="E73" s="183" t="s">
        <v>65</v>
      </c>
      <c r="F73" s="187">
        <v>1.8660000000000001</v>
      </c>
      <c r="G73" s="187">
        <v>1.0509999999999999</v>
      </c>
      <c r="H73" s="187">
        <v>0.61699999999999999</v>
      </c>
      <c r="I73" s="187">
        <v>0.50800000000000001</v>
      </c>
    </row>
    <row r="74" spans="1:9" x14ac:dyDescent="0.35">
      <c r="A74" s="183" t="s">
        <v>53</v>
      </c>
      <c r="B74" s="183" t="s">
        <v>66</v>
      </c>
      <c r="C74" s="183" t="s">
        <v>67</v>
      </c>
      <c r="D74" s="183" t="s">
        <v>34</v>
      </c>
      <c r="E74" s="183" t="s">
        <v>65</v>
      </c>
      <c r="F74" s="187">
        <v>0</v>
      </c>
      <c r="G74" s="187">
        <v>0.03</v>
      </c>
      <c r="H74" s="187">
        <v>1.2999999999999999E-2</v>
      </c>
      <c r="I74" s="187">
        <v>7.0000000000000001E-3</v>
      </c>
    </row>
    <row r="75" spans="1:9" x14ac:dyDescent="0.35">
      <c r="A75" s="183" t="s">
        <v>53</v>
      </c>
      <c r="B75" s="183" t="s">
        <v>68</v>
      </c>
      <c r="C75" s="183" t="s">
        <v>38</v>
      </c>
      <c r="D75" s="183" t="s">
        <v>39</v>
      </c>
      <c r="E75" s="183" t="s">
        <v>65</v>
      </c>
      <c r="F75" s="188">
        <v>25.216000000000001</v>
      </c>
      <c r="G75" s="188">
        <v>24441.440867070502</v>
      </c>
      <c r="H75" s="188">
        <v>25354.19091949637</v>
      </c>
      <c r="I75" s="188">
        <v>23744.716</v>
      </c>
    </row>
    <row r="76" spans="1:9" x14ac:dyDescent="0.35">
      <c r="A76" s="183" t="s">
        <v>53</v>
      </c>
      <c r="B76" s="183" t="s">
        <v>69</v>
      </c>
      <c r="C76" s="183" t="s">
        <v>70</v>
      </c>
      <c r="D76" s="183" t="s">
        <v>34</v>
      </c>
      <c r="E76" s="183" t="s">
        <v>65</v>
      </c>
      <c r="F76" s="187">
        <v>0</v>
      </c>
      <c r="G76" s="187">
        <v>0</v>
      </c>
      <c r="H76" s="187">
        <v>0</v>
      </c>
      <c r="I76" s="187">
        <v>0</v>
      </c>
    </row>
    <row r="77" spans="1:9" x14ac:dyDescent="0.35">
      <c r="A77" s="183" t="s">
        <v>53</v>
      </c>
      <c r="B77" s="183" t="s">
        <v>71</v>
      </c>
      <c r="C77" s="183" t="s">
        <v>72</v>
      </c>
      <c r="D77" s="183" t="s">
        <v>34</v>
      </c>
      <c r="E77" s="183" t="s">
        <v>65</v>
      </c>
      <c r="F77" s="187">
        <v>0</v>
      </c>
      <c r="G77" s="187">
        <v>0</v>
      </c>
      <c r="H77" s="187">
        <v>0</v>
      </c>
      <c r="I77" s="187">
        <v>0</v>
      </c>
    </row>
    <row r="78" spans="1:9" x14ac:dyDescent="0.35">
      <c r="A78" s="183" t="s">
        <v>53</v>
      </c>
      <c r="B78" s="183" t="s">
        <v>73</v>
      </c>
      <c r="C78" s="183" t="s">
        <v>38</v>
      </c>
      <c r="D78" s="183" t="s">
        <v>39</v>
      </c>
      <c r="E78" s="183" t="s">
        <v>65</v>
      </c>
      <c r="F78" s="188">
        <v>0</v>
      </c>
      <c r="G78" s="188">
        <v>0</v>
      </c>
      <c r="H78" s="188">
        <v>0</v>
      </c>
      <c r="I78" s="188">
        <v>0</v>
      </c>
    </row>
    <row r="79" spans="1:9" x14ac:dyDescent="0.35">
      <c r="A79" s="183" t="s">
        <v>54</v>
      </c>
      <c r="B79" s="183" t="s">
        <v>63</v>
      </c>
      <c r="C79" s="183" t="s">
        <v>64</v>
      </c>
      <c r="D79" s="183" t="s">
        <v>34</v>
      </c>
      <c r="E79" s="183" t="s">
        <v>65</v>
      </c>
      <c r="F79" s="187">
        <v>0.33600000000000002</v>
      </c>
      <c r="G79" s="187">
        <v>0.36899999999999999</v>
      </c>
      <c r="H79" s="187">
        <v>0.20599999999999999</v>
      </c>
      <c r="I79" s="187">
        <v>0.47199999999999998</v>
      </c>
    </row>
    <row r="80" spans="1:9" x14ac:dyDescent="0.35">
      <c r="A80" s="183" t="s">
        <v>54</v>
      </c>
      <c r="B80" s="183" t="s">
        <v>66</v>
      </c>
      <c r="C80" s="183" t="s">
        <v>67</v>
      </c>
      <c r="D80" s="183" t="s">
        <v>34</v>
      </c>
      <c r="E80" s="183" t="s">
        <v>65</v>
      </c>
      <c r="F80" s="187">
        <v>0</v>
      </c>
      <c r="G80" s="187">
        <v>0</v>
      </c>
      <c r="H80" s="187">
        <v>0</v>
      </c>
      <c r="I80" s="187">
        <v>0</v>
      </c>
    </row>
    <row r="81" spans="1:9" x14ac:dyDescent="0.35">
      <c r="A81" s="183" t="s">
        <v>54</v>
      </c>
      <c r="B81" s="183" t="s">
        <v>68</v>
      </c>
      <c r="C81" s="183" t="s">
        <v>38</v>
      </c>
      <c r="D81" s="183" t="s">
        <v>39</v>
      </c>
      <c r="E81" s="183" t="s">
        <v>65</v>
      </c>
      <c r="F81" s="188">
        <v>181</v>
      </c>
      <c r="G81" s="188">
        <v>11681</v>
      </c>
      <c r="H81" s="188">
        <v>13989</v>
      </c>
      <c r="I81" s="188">
        <v>14099</v>
      </c>
    </row>
    <row r="82" spans="1:9" x14ac:dyDescent="0.35">
      <c r="A82" s="183" t="s">
        <v>54</v>
      </c>
      <c r="B82" s="183" t="s">
        <v>69</v>
      </c>
      <c r="C82" s="183" t="s">
        <v>70</v>
      </c>
      <c r="D82" s="183" t="s">
        <v>34</v>
      </c>
      <c r="E82" s="183" t="s">
        <v>65</v>
      </c>
      <c r="F82" s="187">
        <v>0</v>
      </c>
      <c r="G82" s="187">
        <v>0</v>
      </c>
      <c r="H82" s="187">
        <v>0</v>
      </c>
      <c r="I82" s="187">
        <v>0</v>
      </c>
    </row>
    <row r="83" spans="1:9" x14ac:dyDescent="0.35">
      <c r="A83" s="183" t="s">
        <v>54</v>
      </c>
      <c r="B83" s="183" t="s">
        <v>71</v>
      </c>
      <c r="C83" s="183" t="s">
        <v>72</v>
      </c>
      <c r="D83" s="183" t="s">
        <v>34</v>
      </c>
      <c r="E83" s="183" t="s">
        <v>65</v>
      </c>
      <c r="F83" s="187">
        <v>0</v>
      </c>
      <c r="G83" s="187">
        <v>0</v>
      </c>
      <c r="H83" s="187">
        <v>0</v>
      </c>
      <c r="I83" s="187">
        <v>0</v>
      </c>
    </row>
    <row r="84" spans="1:9" x14ac:dyDescent="0.35">
      <c r="A84" s="183" t="s">
        <v>54</v>
      </c>
      <c r="B84" s="183" t="s">
        <v>73</v>
      </c>
      <c r="C84" s="183" t="s">
        <v>38</v>
      </c>
      <c r="D84" s="183" t="s">
        <v>39</v>
      </c>
      <c r="E84" s="183" t="s">
        <v>65</v>
      </c>
      <c r="F84" s="188">
        <v>0</v>
      </c>
      <c r="G84" s="188">
        <v>0</v>
      </c>
      <c r="H84" s="188">
        <v>0</v>
      </c>
      <c r="I84" s="188">
        <v>0</v>
      </c>
    </row>
    <row r="85" spans="1:9" x14ac:dyDescent="0.35">
      <c r="A85" s="183" t="s">
        <v>55</v>
      </c>
      <c r="B85" s="183" t="s">
        <v>63</v>
      </c>
      <c r="C85" s="183" t="s">
        <v>64</v>
      </c>
      <c r="D85" s="183" t="s">
        <v>34</v>
      </c>
      <c r="E85" s="183" t="s">
        <v>65</v>
      </c>
      <c r="F85" s="187">
        <v>0.245</v>
      </c>
      <c r="G85" s="187">
        <v>0.28100000000000003</v>
      </c>
      <c r="H85" s="187">
        <v>0.22900000000000001</v>
      </c>
      <c r="I85" s="187">
        <v>0.128</v>
      </c>
    </row>
    <row r="86" spans="1:9" x14ac:dyDescent="0.35">
      <c r="A86" s="183" t="s">
        <v>55</v>
      </c>
      <c r="B86" s="183" t="s">
        <v>66</v>
      </c>
      <c r="C86" s="183" t="s">
        <v>67</v>
      </c>
      <c r="D86" s="183" t="s">
        <v>34</v>
      </c>
      <c r="E86" s="183" t="s">
        <v>65</v>
      </c>
      <c r="F86" s="187">
        <v>0</v>
      </c>
      <c r="G86" s="187">
        <v>0</v>
      </c>
      <c r="H86" s="187">
        <v>0</v>
      </c>
      <c r="I86" s="187">
        <v>0.16</v>
      </c>
    </row>
    <row r="87" spans="1:9" x14ac:dyDescent="0.35">
      <c r="A87" s="183" t="s">
        <v>55</v>
      </c>
      <c r="B87" s="183" t="s">
        <v>68</v>
      </c>
      <c r="C87" s="183" t="s">
        <v>38</v>
      </c>
      <c r="D87" s="183" t="s">
        <v>39</v>
      </c>
      <c r="E87" s="183" t="s">
        <v>65</v>
      </c>
      <c r="F87" s="188">
        <v>0</v>
      </c>
      <c r="G87" s="188">
        <v>0</v>
      </c>
      <c r="H87" s="188">
        <v>0</v>
      </c>
      <c r="I87" s="188">
        <v>0</v>
      </c>
    </row>
    <row r="88" spans="1:9" x14ac:dyDescent="0.35">
      <c r="A88" s="183" t="s">
        <v>55</v>
      </c>
      <c r="B88" s="183" t="s">
        <v>69</v>
      </c>
      <c r="C88" s="183" t="s">
        <v>70</v>
      </c>
      <c r="D88" s="183" t="s">
        <v>34</v>
      </c>
      <c r="E88" s="183" t="s">
        <v>65</v>
      </c>
      <c r="F88" s="187">
        <v>0</v>
      </c>
      <c r="G88" s="187">
        <v>0</v>
      </c>
      <c r="H88" s="187">
        <v>0</v>
      </c>
      <c r="I88" s="187">
        <v>0</v>
      </c>
    </row>
    <row r="89" spans="1:9" x14ac:dyDescent="0.35">
      <c r="A89" s="183" t="s">
        <v>55</v>
      </c>
      <c r="B89" s="183" t="s">
        <v>71</v>
      </c>
      <c r="C89" s="183" t="s">
        <v>72</v>
      </c>
      <c r="D89" s="183" t="s">
        <v>34</v>
      </c>
      <c r="E89" s="183" t="s">
        <v>65</v>
      </c>
      <c r="F89" s="187">
        <v>0</v>
      </c>
      <c r="G89" s="187">
        <v>0</v>
      </c>
      <c r="H89" s="187">
        <v>0</v>
      </c>
      <c r="I89" s="187">
        <v>0</v>
      </c>
    </row>
    <row r="90" spans="1:9" x14ac:dyDescent="0.35">
      <c r="A90" s="183" t="s">
        <v>55</v>
      </c>
      <c r="B90" s="183" t="s">
        <v>73</v>
      </c>
      <c r="C90" s="183" t="s">
        <v>38</v>
      </c>
      <c r="D90" s="183" t="s">
        <v>39</v>
      </c>
      <c r="E90" s="183" t="s">
        <v>65</v>
      </c>
      <c r="F90" s="188">
        <v>0</v>
      </c>
      <c r="G90" s="188">
        <v>0</v>
      </c>
      <c r="H90" s="188">
        <v>0</v>
      </c>
      <c r="I90" s="188">
        <v>0</v>
      </c>
    </row>
    <row r="91" spans="1:9" x14ac:dyDescent="0.35">
      <c r="A91" s="183" t="s">
        <v>56</v>
      </c>
      <c r="B91" s="183" t="s">
        <v>63</v>
      </c>
      <c r="C91" s="183" t="s">
        <v>64</v>
      </c>
      <c r="D91" s="183" t="s">
        <v>34</v>
      </c>
      <c r="E91" s="183" t="s">
        <v>65</v>
      </c>
      <c r="F91" s="187">
        <v>0.64300000000000002</v>
      </c>
      <c r="G91" s="187">
        <v>0.72</v>
      </c>
      <c r="H91" s="187">
        <v>0.57299999999999995</v>
      </c>
      <c r="I91" s="187">
        <v>1.109</v>
      </c>
    </row>
    <row r="92" spans="1:9" x14ac:dyDescent="0.35">
      <c r="A92" s="183" t="s">
        <v>56</v>
      </c>
      <c r="B92" s="183" t="s">
        <v>66</v>
      </c>
      <c r="C92" s="183" t="s">
        <v>67</v>
      </c>
      <c r="D92" s="183" t="s">
        <v>34</v>
      </c>
      <c r="E92" s="183" t="s">
        <v>65</v>
      </c>
      <c r="F92" s="187">
        <v>7.0999999999999994E-2</v>
      </c>
      <c r="G92" s="187">
        <v>0.192</v>
      </c>
      <c r="H92" s="187">
        <v>0.109</v>
      </c>
      <c r="I92" s="187">
        <v>0.39</v>
      </c>
    </row>
    <row r="93" spans="1:9" x14ac:dyDescent="0.35">
      <c r="A93" s="183" t="s">
        <v>56</v>
      </c>
      <c r="B93" s="183" t="s">
        <v>68</v>
      </c>
      <c r="C93" s="183" t="s">
        <v>38</v>
      </c>
      <c r="D93" s="183" t="s">
        <v>39</v>
      </c>
      <c r="E93" s="183" t="s">
        <v>65</v>
      </c>
      <c r="F93" s="188">
        <v>24470</v>
      </c>
      <c r="G93" s="188">
        <v>22888</v>
      </c>
      <c r="H93" s="188">
        <v>18931</v>
      </c>
      <c r="I93" s="188">
        <v>20399</v>
      </c>
    </row>
    <row r="94" spans="1:9" x14ac:dyDescent="0.35">
      <c r="A94" s="183" t="s">
        <v>56</v>
      </c>
      <c r="B94" s="183" t="s">
        <v>69</v>
      </c>
      <c r="C94" s="183" t="s">
        <v>70</v>
      </c>
      <c r="D94" s="183" t="s">
        <v>34</v>
      </c>
      <c r="E94" s="183" t="s">
        <v>65</v>
      </c>
      <c r="F94" s="187">
        <v>0</v>
      </c>
      <c r="G94" s="187">
        <v>0</v>
      </c>
      <c r="H94" s="187">
        <v>0</v>
      </c>
      <c r="I94" s="187">
        <v>0</v>
      </c>
    </row>
    <row r="95" spans="1:9" x14ac:dyDescent="0.35">
      <c r="A95" s="183" t="s">
        <v>56</v>
      </c>
      <c r="B95" s="183" t="s">
        <v>71</v>
      </c>
      <c r="C95" s="183" t="s">
        <v>72</v>
      </c>
      <c r="D95" s="183" t="s">
        <v>34</v>
      </c>
      <c r="E95" s="183" t="s">
        <v>65</v>
      </c>
      <c r="F95" s="187">
        <v>0</v>
      </c>
      <c r="G95" s="187">
        <v>0</v>
      </c>
      <c r="H95" s="187">
        <v>0</v>
      </c>
      <c r="I95" s="187">
        <v>0</v>
      </c>
    </row>
    <row r="96" spans="1:9" x14ac:dyDescent="0.35">
      <c r="A96" s="183" t="s">
        <v>56</v>
      </c>
      <c r="B96" s="183" t="s">
        <v>73</v>
      </c>
      <c r="C96" s="183" t="s">
        <v>38</v>
      </c>
      <c r="D96" s="183" t="s">
        <v>39</v>
      </c>
      <c r="E96" s="183" t="s">
        <v>65</v>
      </c>
      <c r="F96" s="188">
        <v>0</v>
      </c>
      <c r="G96" s="188">
        <v>0</v>
      </c>
      <c r="H96" s="188">
        <v>0</v>
      </c>
      <c r="I96" s="188">
        <v>0</v>
      </c>
    </row>
    <row r="97" spans="1:9" x14ac:dyDescent="0.35">
      <c r="A97" s="183" t="s">
        <v>57</v>
      </c>
      <c r="B97" s="183" t="s">
        <v>63</v>
      </c>
      <c r="C97" s="183" t="s">
        <v>64</v>
      </c>
      <c r="D97" s="183" t="s">
        <v>34</v>
      </c>
      <c r="E97" s="183" t="s">
        <v>65</v>
      </c>
      <c r="F97" s="187">
        <v>0.32500000000000001</v>
      </c>
      <c r="G97" s="187">
        <v>0.45900000000000002</v>
      </c>
      <c r="H97" s="187">
        <v>0.48899999999999999</v>
      </c>
      <c r="I97" s="187">
        <v>0.66271648999999999</v>
      </c>
    </row>
    <row r="98" spans="1:9" x14ac:dyDescent="0.35">
      <c r="A98" s="183" t="s">
        <v>57</v>
      </c>
      <c r="B98" s="183" t="s">
        <v>66</v>
      </c>
      <c r="C98" s="183" t="s">
        <v>67</v>
      </c>
      <c r="D98" s="183" t="s">
        <v>34</v>
      </c>
      <c r="E98" s="183" t="s">
        <v>65</v>
      </c>
      <c r="F98" s="187">
        <v>0.224</v>
      </c>
      <c r="G98" s="187">
        <v>0.27100000000000002</v>
      </c>
      <c r="H98" s="187">
        <v>0.253</v>
      </c>
      <c r="I98" s="187">
        <v>0.37846044000000012</v>
      </c>
    </row>
    <row r="99" spans="1:9" x14ac:dyDescent="0.35">
      <c r="A99" s="183" t="s">
        <v>57</v>
      </c>
      <c r="B99" s="183" t="s">
        <v>68</v>
      </c>
      <c r="C99" s="183" t="s">
        <v>38</v>
      </c>
      <c r="D99" s="183" t="s">
        <v>39</v>
      </c>
      <c r="E99" s="183" t="s">
        <v>65</v>
      </c>
      <c r="F99" s="188">
        <v>6108</v>
      </c>
      <c r="G99" s="188">
        <v>4117</v>
      </c>
      <c r="H99" s="188">
        <v>9974</v>
      </c>
      <c r="I99" s="188">
        <v>13162</v>
      </c>
    </row>
    <row r="100" spans="1:9" x14ac:dyDescent="0.35">
      <c r="A100" s="183" t="s">
        <v>57</v>
      </c>
      <c r="B100" s="183" t="s">
        <v>69</v>
      </c>
      <c r="C100" s="183" t="s">
        <v>70</v>
      </c>
      <c r="D100" s="183" t="s">
        <v>34</v>
      </c>
      <c r="E100" s="183" t="s">
        <v>65</v>
      </c>
      <c r="F100" s="187">
        <v>0</v>
      </c>
      <c r="G100" s="187">
        <v>0</v>
      </c>
      <c r="H100" s="187">
        <v>0</v>
      </c>
      <c r="I100" s="187">
        <v>0</v>
      </c>
    </row>
    <row r="101" spans="1:9" x14ac:dyDescent="0.35">
      <c r="A101" s="183" t="s">
        <v>57</v>
      </c>
      <c r="B101" s="183" t="s">
        <v>71</v>
      </c>
      <c r="C101" s="183" t="s">
        <v>72</v>
      </c>
      <c r="D101" s="183" t="s">
        <v>34</v>
      </c>
      <c r="E101" s="183" t="s">
        <v>65</v>
      </c>
      <c r="F101" s="187">
        <v>0</v>
      </c>
      <c r="G101" s="187">
        <v>0</v>
      </c>
      <c r="H101" s="187">
        <v>0</v>
      </c>
      <c r="I101" s="187">
        <v>0</v>
      </c>
    </row>
    <row r="102" spans="1:9" x14ac:dyDescent="0.35">
      <c r="A102" s="183" t="s">
        <v>57</v>
      </c>
      <c r="B102" s="183" t="s">
        <v>73</v>
      </c>
      <c r="C102" s="183" t="s">
        <v>38</v>
      </c>
      <c r="D102" s="183" t="s">
        <v>39</v>
      </c>
      <c r="E102" s="183" t="s">
        <v>65</v>
      </c>
      <c r="F102" s="188">
        <v>0</v>
      </c>
      <c r="G102" s="188">
        <v>0</v>
      </c>
      <c r="H102" s="188">
        <v>0</v>
      </c>
      <c r="I102" s="188">
        <v>0</v>
      </c>
    </row>
    <row r="103" spans="1:9" x14ac:dyDescent="0.35">
      <c r="A103" s="183" t="s">
        <v>58</v>
      </c>
      <c r="B103" s="183" t="s">
        <v>63</v>
      </c>
      <c r="C103" s="183" t="s">
        <v>64</v>
      </c>
      <c r="D103" s="183" t="s">
        <v>34</v>
      </c>
      <c r="E103" s="183" t="s">
        <v>65</v>
      </c>
      <c r="F103" s="187">
        <v>0.17836995999999999</v>
      </c>
      <c r="G103" s="187">
        <v>0.12624754999999999</v>
      </c>
      <c r="H103" s="187">
        <v>0.31</v>
      </c>
      <c r="I103" s="187">
        <v>0.36171215999999995</v>
      </c>
    </row>
    <row r="104" spans="1:9" x14ac:dyDescent="0.35">
      <c r="A104" s="183" t="s">
        <v>58</v>
      </c>
      <c r="B104" s="183" t="s">
        <v>66</v>
      </c>
      <c r="C104" s="183" t="s">
        <v>67</v>
      </c>
      <c r="D104" s="183" t="s">
        <v>34</v>
      </c>
      <c r="E104" s="183" t="s">
        <v>65</v>
      </c>
      <c r="F104" s="187">
        <v>0</v>
      </c>
      <c r="G104" s="187">
        <v>0</v>
      </c>
      <c r="H104" s="187">
        <v>0</v>
      </c>
      <c r="I104" s="187">
        <v>0</v>
      </c>
    </row>
    <row r="105" spans="1:9" x14ac:dyDescent="0.35">
      <c r="A105" s="183" t="s">
        <v>58</v>
      </c>
      <c r="B105" s="183" t="s">
        <v>68</v>
      </c>
      <c r="C105" s="183" t="s">
        <v>38</v>
      </c>
      <c r="D105" s="183" t="s">
        <v>39</v>
      </c>
      <c r="E105" s="183" t="s">
        <v>65</v>
      </c>
      <c r="F105" s="188">
        <v>3538</v>
      </c>
      <c r="G105" s="188">
        <v>7606</v>
      </c>
      <c r="H105" s="188">
        <v>6275</v>
      </c>
      <c r="I105" s="188">
        <v>248</v>
      </c>
    </row>
    <row r="106" spans="1:9" x14ac:dyDescent="0.35">
      <c r="A106" s="183" t="s">
        <v>58</v>
      </c>
      <c r="B106" s="183" t="s">
        <v>69</v>
      </c>
      <c r="C106" s="183" t="s">
        <v>70</v>
      </c>
      <c r="D106" s="183" t="s">
        <v>34</v>
      </c>
      <c r="E106" s="183" t="s">
        <v>65</v>
      </c>
      <c r="F106" s="187">
        <v>0</v>
      </c>
      <c r="G106" s="187">
        <v>0</v>
      </c>
      <c r="H106" s="187">
        <v>0</v>
      </c>
      <c r="I106" s="187">
        <v>0</v>
      </c>
    </row>
    <row r="107" spans="1:9" x14ac:dyDescent="0.35">
      <c r="A107" s="183" t="s">
        <v>58</v>
      </c>
      <c r="B107" s="183" t="s">
        <v>71</v>
      </c>
      <c r="C107" s="183" t="s">
        <v>72</v>
      </c>
      <c r="D107" s="183" t="s">
        <v>34</v>
      </c>
      <c r="E107" s="183" t="s">
        <v>65</v>
      </c>
      <c r="F107" s="187">
        <v>0</v>
      </c>
      <c r="G107" s="187">
        <v>0</v>
      </c>
      <c r="H107" s="187">
        <v>0</v>
      </c>
      <c r="I107" s="187">
        <v>0</v>
      </c>
    </row>
    <row r="108" spans="1:9" x14ac:dyDescent="0.35">
      <c r="A108" s="183" t="s">
        <v>58</v>
      </c>
      <c r="B108" s="183" t="s">
        <v>73</v>
      </c>
      <c r="C108" s="183" t="s">
        <v>38</v>
      </c>
      <c r="D108" s="183" t="s">
        <v>39</v>
      </c>
      <c r="E108" s="183" t="s">
        <v>65</v>
      </c>
      <c r="F108" s="188">
        <v>0</v>
      </c>
      <c r="G108" s="188">
        <v>0</v>
      </c>
      <c r="H108" s="188">
        <v>0</v>
      </c>
      <c r="I108" s="188">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8EDB-0068-42FD-B6BC-FAB18F41293C}">
  <sheetPr>
    <tabColor rgb="FFFFDB8E"/>
  </sheetPr>
  <dimension ref="A2:J41"/>
  <sheetViews>
    <sheetView zoomScale="80" zoomScaleNormal="80" workbookViewId="0"/>
  </sheetViews>
  <sheetFormatPr defaultRowHeight="12.75" x14ac:dyDescent="0.35"/>
  <cols>
    <col min="2" max="2" width="29.86328125" bestFit="1" customWidth="1"/>
    <col min="3" max="3" width="49.265625" bestFit="1" customWidth="1"/>
    <col min="4" max="4" width="10" bestFit="1" customWidth="1"/>
  </cols>
  <sheetData>
    <row r="2" spans="1:10" ht="14.25" x14ac:dyDescent="0.45">
      <c r="A2" s="181"/>
      <c r="B2" s="181"/>
      <c r="C2" s="235" t="s">
        <v>74</v>
      </c>
      <c r="D2" s="181"/>
      <c r="E2" s="235" t="s">
        <v>75</v>
      </c>
      <c r="F2" s="181"/>
      <c r="G2" s="181"/>
      <c r="H2" s="181"/>
      <c r="I2" s="181"/>
      <c r="J2" s="181"/>
    </row>
    <row r="3" spans="1:10" x14ac:dyDescent="0.35">
      <c r="A3" s="181"/>
      <c r="B3" s="181"/>
      <c r="C3" s="181"/>
      <c r="D3" s="181"/>
      <c r="E3" s="181"/>
      <c r="F3" s="181"/>
      <c r="G3" s="181"/>
      <c r="H3" s="181"/>
      <c r="I3" s="181"/>
      <c r="J3" s="181"/>
    </row>
    <row r="4" spans="1:10" ht="14.25" x14ac:dyDescent="0.45">
      <c r="A4" s="236" t="s">
        <v>76</v>
      </c>
      <c r="B4" s="236" t="s">
        <v>77</v>
      </c>
      <c r="C4" s="236" t="s">
        <v>78</v>
      </c>
      <c r="D4" s="236" t="s">
        <v>79</v>
      </c>
      <c r="E4" s="236" t="s">
        <v>80</v>
      </c>
      <c r="F4" s="236" t="s">
        <v>26</v>
      </c>
      <c r="G4" s="236" t="s">
        <v>27</v>
      </c>
      <c r="H4" s="236" t="s">
        <v>28</v>
      </c>
      <c r="I4" s="236" t="s">
        <v>29</v>
      </c>
      <c r="J4" s="236" t="s">
        <v>30</v>
      </c>
    </row>
    <row r="5" spans="1:10" ht="14.25" x14ac:dyDescent="0.45">
      <c r="A5" s="236" t="s">
        <v>76</v>
      </c>
      <c r="B5" s="236" t="s">
        <v>77</v>
      </c>
      <c r="C5" s="236" t="s">
        <v>78</v>
      </c>
      <c r="D5" s="236" t="s">
        <v>79</v>
      </c>
      <c r="E5" s="236" t="s">
        <v>80</v>
      </c>
      <c r="F5" s="236" t="s">
        <v>17</v>
      </c>
      <c r="G5" s="236" t="s">
        <v>17</v>
      </c>
      <c r="H5" s="236" t="s">
        <v>17</v>
      </c>
      <c r="I5" s="236" t="s">
        <v>17</v>
      </c>
      <c r="J5" s="236" t="s">
        <v>17</v>
      </c>
    </row>
    <row r="6" spans="1:10" ht="14.25" x14ac:dyDescent="0.45">
      <c r="A6" s="236" t="s">
        <v>76</v>
      </c>
      <c r="B6" s="236" t="s">
        <v>77</v>
      </c>
      <c r="C6" s="236" t="s">
        <v>78</v>
      </c>
      <c r="D6" s="236" t="s">
        <v>79</v>
      </c>
      <c r="E6" s="236" t="s">
        <v>80</v>
      </c>
      <c r="F6" s="236" t="s">
        <v>19</v>
      </c>
      <c r="G6" s="236" t="s">
        <v>19</v>
      </c>
      <c r="H6" s="236" t="s">
        <v>19</v>
      </c>
      <c r="I6" s="236" t="s">
        <v>19</v>
      </c>
      <c r="J6" s="236" t="s">
        <v>19</v>
      </c>
    </row>
    <row r="7" spans="1:10" ht="14.25" x14ac:dyDescent="0.45">
      <c r="A7" s="236" t="s">
        <v>76</v>
      </c>
      <c r="B7" s="236" t="s">
        <v>77</v>
      </c>
      <c r="C7" s="236" t="s">
        <v>78</v>
      </c>
      <c r="D7" s="236" t="s">
        <v>79</v>
      </c>
      <c r="E7" s="236" t="s">
        <v>80</v>
      </c>
      <c r="F7" s="236" t="s">
        <v>20</v>
      </c>
      <c r="G7" s="236" t="s">
        <v>20</v>
      </c>
      <c r="H7" s="236" t="s">
        <v>20</v>
      </c>
      <c r="I7" s="236" t="s">
        <v>20</v>
      </c>
      <c r="J7" s="236" t="s">
        <v>20</v>
      </c>
    </row>
    <row r="8" spans="1:10" x14ac:dyDescent="0.35">
      <c r="A8" s="181" t="s">
        <v>31</v>
      </c>
      <c r="B8" s="181" t="s">
        <v>81</v>
      </c>
      <c r="C8" s="181" t="s">
        <v>82</v>
      </c>
      <c r="D8" s="181" t="s">
        <v>83</v>
      </c>
      <c r="E8" s="181" t="s">
        <v>17</v>
      </c>
      <c r="F8" s="185">
        <v>0.1</v>
      </c>
      <c r="G8" s="185">
        <v>0.1</v>
      </c>
      <c r="H8" s="185">
        <v>0.1</v>
      </c>
      <c r="I8" s="185">
        <v>0.1</v>
      </c>
      <c r="J8" s="185">
        <v>0.1</v>
      </c>
    </row>
    <row r="9" spans="1:10" x14ac:dyDescent="0.35">
      <c r="A9" s="181" t="s">
        <v>31</v>
      </c>
      <c r="B9" s="181" t="s">
        <v>84</v>
      </c>
      <c r="C9" s="181" t="s">
        <v>85</v>
      </c>
      <c r="D9" s="181" t="s">
        <v>83</v>
      </c>
      <c r="E9" s="181" t="s">
        <v>17</v>
      </c>
      <c r="F9" s="185">
        <v>5.8528894660225775E-2</v>
      </c>
      <c r="G9" s="185">
        <v>5.8528894660225775E-2</v>
      </c>
      <c r="H9" s="185">
        <v>5.8528894660225775E-2</v>
      </c>
      <c r="I9" s="185">
        <v>5.8528894660225775E-2</v>
      </c>
      <c r="J9" s="185">
        <v>5.8528894660225775E-2</v>
      </c>
    </row>
    <row r="10" spans="1:10" x14ac:dyDescent="0.35">
      <c r="A10" s="181" t="s">
        <v>43</v>
      </c>
      <c r="B10" s="181" t="s">
        <v>81</v>
      </c>
      <c r="C10" s="181" t="s">
        <v>82</v>
      </c>
      <c r="D10" s="181" t="s">
        <v>83</v>
      </c>
      <c r="E10" s="181" t="s">
        <v>17</v>
      </c>
      <c r="F10" s="185">
        <v>7.3588877505634835E-3</v>
      </c>
      <c r="G10" s="185">
        <v>7.3588877505634835E-3</v>
      </c>
      <c r="H10" s="185">
        <v>7.3588877505634835E-3</v>
      </c>
      <c r="I10" s="185">
        <v>7.3588877505634835E-3</v>
      </c>
      <c r="J10" s="185">
        <v>7.3588877505634835E-3</v>
      </c>
    </row>
    <row r="11" spans="1:10" x14ac:dyDescent="0.35">
      <c r="A11" s="181" t="s">
        <v>43</v>
      </c>
      <c r="B11" s="181" t="s">
        <v>84</v>
      </c>
      <c r="C11" s="181" t="s">
        <v>85</v>
      </c>
      <c r="D11" s="181" t="s">
        <v>83</v>
      </c>
      <c r="E11" s="181" t="s">
        <v>17</v>
      </c>
      <c r="F11" s="185">
        <v>0</v>
      </c>
      <c r="G11" s="185">
        <v>0</v>
      </c>
      <c r="H11" s="185">
        <v>0</v>
      </c>
      <c r="I11" s="185">
        <v>0</v>
      </c>
      <c r="J11" s="185">
        <v>0</v>
      </c>
    </row>
    <row r="12" spans="1:10" x14ac:dyDescent="0.35">
      <c r="A12" s="181" t="s">
        <v>44</v>
      </c>
      <c r="B12" s="181" t="s">
        <v>81</v>
      </c>
      <c r="C12" s="181" t="s">
        <v>82</v>
      </c>
      <c r="D12" s="181" t="s">
        <v>83</v>
      </c>
      <c r="E12" s="181" t="s">
        <v>17</v>
      </c>
      <c r="F12" s="185">
        <v>6.8726762251672541E-2</v>
      </c>
      <c r="G12" s="185">
        <v>6.8726762251672541E-2</v>
      </c>
      <c r="H12" s="185">
        <v>6.8726762251672541E-2</v>
      </c>
      <c r="I12" s="185">
        <v>6.8726762251672541E-2</v>
      </c>
      <c r="J12" s="185">
        <v>6.8726762251672541E-2</v>
      </c>
    </row>
    <row r="13" spans="1:10" x14ac:dyDescent="0.35">
      <c r="A13" s="181" t="s">
        <v>44</v>
      </c>
      <c r="B13" s="181" t="s">
        <v>84</v>
      </c>
      <c r="C13" s="181" t="s">
        <v>85</v>
      </c>
      <c r="D13" s="181" t="s">
        <v>83</v>
      </c>
      <c r="E13" s="181" t="s">
        <v>17</v>
      </c>
      <c r="F13" s="185">
        <v>0.1</v>
      </c>
      <c r="G13" s="185">
        <v>0.1</v>
      </c>
      <c r="H13" s="185">
        <v>0.1</v>
      </c>
      <c r="I13" s="185">
        <v>0.1</v>
      </c>
      <c r="J13" s="185">
        <v>0.1</v>
      </c>
    </row>
    <row r="14" spans="1:10" x14ac:dyDescent="0.35">
      <c r="A14" s="181" t="s">
        <v>45</v>
      </c>
      <c r="B14" s="181" t="s">
        <v>81</v>
      </c>
      <c r="C14" s="181" t="s">
        <v>82</v>
      </c>
      <c r="D14" s="181" t="s">
        <v>83</v>
      </c>
      <c r="E14" s="181" t="s">
        <v>17</v>
      </c>
      <c r="F14" s="185">
        <v>5.7853892210834118E-2</v>
      </c>
      <c r="G14" s="185">
        <v>5.7853892210834118E-2</v>
      </c>
      <c r="H14" s="185">
        <v>5.7853892210834118E-2</v>
      </c>
      <c r="I14" s="185">
        <v>5.7853892210834118E-2</v>
      </c>
      <c r="J14" s="185">
        <v>5.7853892210834118E-2</v>
      </c>
    </row>
    <row r="15" spans="1:10" x14ac:dyDescent="0.35">
      <c r="A15" s="181" t="s">
        <v>45</v>
      </c>
      <c r="B15" s="181" t="s">
        <v>84</v>
      </c>
      <c r="C15" s="181" t="s">
        <v>85</v>
      </c>
      <c r="D15" s="181" t="s">
        <v>83</v>
      </c>
      <c r="E15" s="181" t="s">
        <v>17</v>
      </c>
      <c r="F15" s="185">
        <v>0.1</v>
      </c>
      <c r="G15" s="185">
        <v>0.1</v>
      </c>
      <c r="H15" s="185">
        <v>0.1</v>
      </c>
      <c r="I15" s="185">
        <v>0.1</v>
      </c>
      <c r="J15" s="185">
        <v>0.1</v>
      </c>
    </row>
    <row r="16" spans="1:10" x14ac:dyDescent="0.35">
      <c r="A16" s="181" t="s">
        <v>46</v>
      </c>
      <c r="B16" s="181" t="s">
        <v>81</v>
      </c>
      <c r="C16" s="181" t="s">
        <v>82</v>
      </c>
      <c r="D16" s="181" t="s">
        <v>83</v>
      </c>
      <c r="E16" s="181" t="s">
        <v>17</v>
      </c>
      <c r="F16" s="185">
        <v>3.4724658922497778E-2</v>
      </c>
      <c r="G16" s="185">
        <v>3.4724658922497778E-2</v>
      </c>
      <c r="H16" s="185">
        <v>3.4724658922497778E-2</v>
      </c>
      <c r="I16" s="185">
        <v>3.4724658922497778E-2</v>
      </c>
      <c r="J16" s="185">
        <v>3.4724658922497778E-2</v>
      </c>
    </row>
    <row r="17" spans="1:10" x14ac:dyDescent="0.35">
      <c r="A17" s="181" t="s">
        <v>46</v>
      </c>
      <c r="B17" s="181" t="s">
        <v>84</v>
      </c>
      <c r="C17" s="181" t="s">
        <v>85</v>
      </c>
      <c r="D17" s="181" t="s">
        <v>83</v>
      </c>
      <c r="E17" s="181" t="s">
        <v>17</v>
      </c>
      <c r="F17" s="185">
        <v>2.2668303493845358E-2</v>
      </c>
      <c r="G17" s="185">
        <v>2.2668303493845358E-2</v>
      </c>
      <c r="H17" s="185">
        <v>2.2668303493845358E-2</v>
      </c>
      <c r="I17" s="185">
        <v>2.2668303493845358E-2</v>
      </c>
      <c r="J17" s="185">
        <v>2.2668303493845358E-2</v>
      </c>
    </row>
    <row r="18" spans="1:10" x14ac:dyDescent="0.35">
      <c r="A18" s="181" t="s">
        <v>47</v>
      </c>
      <c r="B18" s="181" t="s">
        <v>81</v>
      </c>
      <c r="C18" s="181" t="s">
        <v>82</v>
      </c>
      <c r="D18" s="181" t="s">
        <v>83</v>
      </c>
      <c r="E18" s="181" t="s">
        <v>17</v>
      </c>
      <c r="F18" s="185">
        <v>0</v>
      </c>
      <c r="G18" s="185">
        <v>0</v>
      </c>
      <c r="H18" s="185">
        <v>0</v>
      </c>
      <c r="I18" s="185">
        <v>0</v>
      </c>
      <c r="J18" s="185">
        <v>0</v>
      </c>
    </row>
    <row r="19" spans="1:10" x14ac:dyDescent="0.35">
      <c r="A19" s="181" t="s">
        <v>47</v>
      </c>
      <c r="B19" s="181" t="s">
        <v>84</v>
      </c>
      <c r="C19" s="181" t="s">
        <v>85</v>
      </c>
      <c r="D19" s="181" t="s">
        <v>83</v>
      </c>
      <c r="E19" s="181" t="s">
        <v>17</v>
      </c>
      <c r="F19" s="185">
        <v>5.4494436325620586E-2</v>
      </c>
      <c r="G19" s="185">
        <v>5.4494436325620586E-2</v>
      </c>
      <c r="H19" s="185">
        <v>5.4494436325620586E-2</v>
      </c>
      <c r="I19" s="185">
        <v>5.4494436325620586E-2</v>
      </c>
      <c r="J19" s="185">
        <v>5.4494436325620586E-2</v>
      </c>
    </row>
    <row r="20" spans="1:10" x14ac:dyDescent="0.35">
      <c r="A20" s="181" t="s">
        <v>48</v>
      </c>
      <c r="B20" s="181" t="s">
        <v>81</v>
      </c>
      <c r="C20" s="181" t="s">
        <v>82</v>
      </c>
      <c r="D20" s="181" t="s">
        <v>83</v>
      </c>
      <c r="E20" s="181" t="s">
        <v>17</v>
      </c>
      <c r="F20" s="185">
        <v>6.3629748889080837E-2</v>
      </c>
      <c r="G20" s="185">
        <v>6.3629748889080837E-2</v>
      </c>
      <c r="H20" s="185">
        <v>6.3629748889080837E-2</v>
      </c>
      <c r="I20" s="185">
        <v>6.3629748889080837E-2</v>
      </c>
      <c r="J20" s="185">
        <v>6.3629748889080837E-2</v>
      </c>
    </row>
    <row r="21" spans="1:10" x14ac:dyDescent="0.35">
      <c r="A21" s="181" t="s">
        <v>48</v>
      </c>
      <c r="B21" s="181" t="s">
        <v>84</v>
      </c>
      <c r="C21" s="181" t="s">
        <v>85</v>
      </c>
      <c r="D21" s="181" t="s">
        <v>83</v>
      </c>
      <c r="E21" s="181" t="s">
        <v>17</v>
      </c>
      <c r="F21" s="185">
        <v>0</v>
      </c>
      <c r="G21" s="185">
        <v>0</v>
      </c>
      <c r="H21" s="185">
        <v>0</v>
      </c>
      <c r="I21" s="185">
        <v>0</v>
      </c>
      <c r="J21" s="185">
        <v>0</v>
      </c>
    </row>
    <row r="22" spans="1:10" x14ac:dyDescent="0.35">
      <c r="A22" s="181" t="s">
        <v>49</v>
      </c>
      <c r="B22" s="181" t="s">
        <v>81</v>
      </c>
      <c r="C22" s="181" t="s">
        <v>82</v>
      </c>
      <c r="D22" s="181" t="s">
        <v>83</v>
      </c>
      <c r="E22" s="181" t="s">
        <v>17</v>
      </c>
      <c r="F22" s="185">
        <v>8.9419337322239126E-2</v>
      </c>
      <c r="G22" s="185">
        <v>8.9419337322239126E-2</v>
      </c>
      <c r="H22" s="185">
        <v>8.9419337322239126E-2</v>
      </c>
      <c r="I22" s="185">
        <v>8.9419337322239126E-2</v>
      </c>
      <c r="J22" s="185">
        <v>8.9419337322239126E-2</v>
      </c>
    </row>
    <row r="23" spans="1:10" x14ac:dyDescent="0.35">
      <c r="A23" s="181" t="s">
        <v>49</v>
      </c>
      <c r="B23" s="181" t="s">
        <v>84</v>
      </c>
      <c r="C23" s="181" t="s">
        <v>85</v>
      </c>
      <c r="D23" s="181" t="s">
        <v>83</v>
      </c>
      <c r="E23" s="181" t="s">
        <v>17</v>
      </c>
      <c r="F23" s="185">
        <v>0.1</v>
      </c>
      <c r="G23" s="185">
        <v>0.1</v>
      </c>
      <c r="H23" s="185">
        <v>0.1</v>
      </c>
      <c r="I23" s="185">
        <v>0.1</v>
      </c>
      <c r="J23" s="185">
        <v>0.1</v>
      </c>
    </row>
    <row r="24" spans="1:10" x14ac:dyDescent="0.35">
      <c r="A24" s="181" t="s">
        <v>50</v>
      </c>
      <c r="B24" s="181" t="s">
        <v>81</v>
      </c>
      <c r="C24" s="181" t="s">
        <v>82</v>
      </c>
      <c r="D24" s="181" t="s">
        <v>83</v>
      </c>
      <c r="E24" s="181" t="s">
        <v>17</v>
      </c>
      <c r="F24" s="185">
        <v>0</v>
      </c>
      <c r="G24" s="185">
        <v>0</v>
      </c>
      <c r="H24" s="185">
        <v>0</v>
      </c>
      <c r="I24" s="185">
        <v>0</v>
      </c>
      <c r="J24" s="185">
        <v>0</v>
      </c>
    </row>
    <row r="25" spans="1:10" x14ac:dyDescent="0.35">
      <c r="A25" s="181" t="s">
        <v>50</v>
      </c>
      <c r="B25" s="181" t="s">
        <v>84</v>
      </c>
      <c r="C25" s="181" t="s">
        <v>85</v>
      </c>
      <c r="D25" s="181" t="s">
        <v>83</v>
      </c>
      <c r="E25" s="181" t="s">
        <v>17</v>
      </c>
      <c r="F25" s="185">
        <v>0</v>
      </c>
      <c r="G25" s="185">
        <v>0</v>
      </c>
      <c r="H25" s="185">
        <v>0</v>
      </c>
      <c r="I25" s="185">
        <v>0</v>
      </c>
      <c r="J25" s="185">
        <v>0</v>
      </c>
    </row>
    <row r="26" spans="1:10" x14ac:dyDescent="0.35">
      <c r="A26" s="181" t="s">
        <v>51</v>
      </c>
      <c r="B26" s="181" t="s">
        <v>81</v>
      </c>
      <c r="C26" s="181" t="s">
        <v>82</v>
      </c>
      <c r="D26" s="181" t="s">
        <v>83</v>
      </c>
      <c r="E26" s="181" t="s">
        <v>17</v>
      </c>
      <c r="F26" s="185">
        <v>0.1</v>
      </c>
      <c r="G26" s="185">
        <v>0.1</v>
      </c>
      <c r="H26" s="185">
        <v>0.1</v>
      </c>
      <c r="I26" s="185">
        <v>0.1</v>
      </c>
      <c r="J26" s="185">
        <v>0.1</v>
      </c>
    </row>
    <row r="27" spans="1:10" x14ac:dyDescent="0.35">
      <c r="A27" s="181" t="s">
        <v>51</v>
      </c>
      <c r="B27" s="181" t="s">
        <v>84</v>
      </c>
      <c r="C27" s="181" t="s">
        <v>85</v>
      </c>
      <c r="D27" s="181" t="s">
        <v>83</v>
      </c>
      <c r="E27" s="181" t="s">
        <v>17</v>
      </c>
      <c r="F27" s="185">
        <v>0.1</v>
      </c>
      <c r="G27" s="185">
        <v>0.1</v>
      </c>
      <c r="H27" s="185">
        <v>0.1</v>
      </c>
      <c r="I27" s="185">
        <v>0.1</v>
      </c>
      <c r="J27" s="185">
        <v>0.1</v>
      </c>
    </row>
    <row r="28" spans="1:10" x14ac:dyDescent="0.35">
      <c r="A28" s="181" t="s">
        <v>52</v>
      </c>
      <c r="B28" s="181" t="s">
        <v>81</v>
      </c>
      <c r="C28" s="181" t="s">
        <v>82</v>
      </c>
      <c r="D28" s="181" t="s">
        <v>83</v>
      </c>
      <c r="E28" s="181" t="s">
        <v>17</v>
      </c>
      <c r="F28" s="185">
        <v>0.1</v>
      </c>
      <c r="G28" s="185">
        <v>0.1</v>
      </c>
      <c r="H28" s="185">
        <v>0.1</v>
      </c>
      <c r="I28" s="185">
        <v>0.1</v>
      </c>
      <c r="J28" s="185">
        <v>0.1</v>
      </c>
    </row>
    <row r="29" spans="1:10" x14ac:dyDescent="0.35">
      <c r="A29" s="181" t="s">
        <v>52</v>
      </c>
      <c r="B29" s="181" t="s">
        <v>84</v>
      </c>
      <c r="C29" s="181" t="s">
        <v>85</v>
      </c>
      <c r="D29" s="181" t="s">
        <v>83</v>
      </c>
      <c r="E29" s="181" t="s">
        <v>17</v>
      </c>
      <c r="F29" s="185">
        <v>0</v>
      </c>
      <c r="G29" s="185">
        <v>0</v>
      </c>
      <c r="H29" s="185">
        <v>0</v>
      </c>
      <c r="I29" s="185">
        <v>0</v>
      </c>
      <c r="J29" s="185">
        <v>0</v>
      </c>
    </row>
    <row r="30" spans="1:10" x14ac:dyDescent="0.35">
      <c r="A30" s="181" t="s">
        <v>53</v>
      </c>
      <c r="B30" s="181" t="s">
        <v>81</v>
      </c>
      <c r="C30" s="181" t="s">
        <v>82</v>
      </c>
      <c r="D30" s="181" t="s">
        <v>83</v>
      </c>
      <c r="E30" s="181" t="s">
        <v>17</v>
      </c>
      <c r="F30" s="185">
        <v>7.779658401263643E-3</v>
      </c>
      <c r="G30" s="185">
        <v>7.779658401263643E-3</v>
      </c>
      <c r="H30" s="185">
        <v>7.779658401263643E-3</v>
      </c>
      <c r="I30" s="185">
        <v>7.779658401263643E-3</v>
      </c>
      <c r="J30" s="185">
        <v>7.779658401263643E-3</v>
      </c>
    </row>
    <row r="31" spans="1:10" x14ac:dyDescent="0.35">
      <c r="A31" s="181" t="s">
        <v>53</v>
      </c>
      <c r="B31" s="181" t="s">
        <v>84</v>
      </c>
      <c r="C31" s="181" t="s">
        <v>85</v>
      </c>
      <c r="D31" s="181" t="s">
        <v>83</v>
      </c>
      <c r="E31" s="181" t="s">
        <v>17</v>
      </c>
      <c r="F31" s="199" t="s">
        <v>18</v>
      </c>
      <c r="G31" s="199" t="s">
        <v>18</v>
      </c>
      <c r="H31" s="199" t="s">
        <v>18</v>
      </c>
      <c r="I31" s="199" t="s">
        <v>18</v>
      </c>
      <c r="J31" s="199" t="s">
        <v>18</v>
      </c>
    </row>
    <row r="32" spans="1:10" x14ac:dyDescent="0.35">
      <c r="A32" s="181" t="s">
        <v>54</v>
      </c>
      <c r="B32" s="181" t="s">
        <v>81</v>
      </c>
      <c r="C32" s="181" t="s">
        <v>82</v>
      </c>
      <c r="D32" s="181" t="s">
        <v>83</v>
      </c>
      <c r="E32" s="181" t="s">
        <v>17</v>
      </c>
      <c r="F32" s="185">
        <v>0</v>
      </c>
      <c r="G32" s="185">
        <v>0</v>
      </c>
      <c r="H32" s="185">
        <v>0</v>
      </c>
      <c r="I32" s="185">
        <v>0</v>
      </c>
      <c r="J32" s="185">
        <v>0</v>
      </c>
    </row>
    <row r="33" spans="1:10" x14ac:dyDescent="0.35">
      <c r="A33" s="181" t="s">
        <v>54</v>
      </c>
      <c r="B33" s="181" t="s">
        <v>84</v>
      </c>
      <c r="C33" s="181" t="s">
        <v>85</v>
      </c>
      <c r="D33" s="181" t="s">
        <v>83</v>
      </c>
      <c r="E33" s="181" t="s">
        <v>17</v>
      </c>
      <c r="F33" s="199" t="s">
        <v>18</v>
      </c>
      <c r="G33" s="199" t="s">
        <v>18</v>
      </c>
      <c r="H33" s="199" t="s">
        <v>18</v>
      </c>
      <c r="I33" s="199" t="s">
        <v>18</v>
      </c>
      <c r="J33" s="199" t="s">
        <v>18</v>
      </c>
    </row>
    <row r="34" spans="1:10" x14ac:dyDescent="0.35">
      <c r="A34" s="181" t="s">
        <v>55</v>
      </c>
      <c r="B34" s="181" t="s">
        <v>81</v>
      </c>
      <c r="C34" s="181" t="s">
        <v>82</v>
      </c>
      <c r="D34" s="181" t="s">
        <v>83</v>
      </c>
      <c r="E34" s="181" t="s">
        <v>17</v>
      </c>
      <c r="F34" s="185">
        <v>0</v>
      </c>
      <c r="G34" s="185">
        <v>0</v>
      </c>
      <c r="H34" s="185">
        <v>0</v>
      </c>
      <c r="I34" s="185">
        <v>0</v>
      </c>
      <c r="J34" s="185">
        <v>0</v>
      </c>
    </row>
    <row r="35" spans="1:10" x14ac:dyDescent="0.35">
      <c r="A35" s="181" t="s">
        <v>55</v>
      </c>
      <c r="B35" s="181" t="s">
        <v>84</v>
      </c>
      <c r="C35" s="181" t="s">
        <v>85</v>
      </c>
      <c r="D35" s="181" t="s">
        <v>83</v>
      </c>
      <c r="E35" s="181" t="s">
        <v>17</v>
      </c>
      <c r="F35" s="199" t="s">
        <v>18</v>
      </c>
      <c r="G35" s="199" t="s">
        <v>18</v>
      </c>
      <c r="H35" s="199" t="s">
        <v>18</v>
      </c>
      <c r="I35" s="199" t="s">
        <v>18</v>
      </c>
      <c r="J35" s="199" t="s">
        <v>18</v>
      </c>
    </row>
    <row r="36" spans="1:10" x14ac:dyDescent="0.35">
      <c r="A36" s="181" t="s">
        <v>56</v>
      </c>
      <c r="B36" s="181" t="s">
        <v>81</v>
      </c>
      <c r="C36" s="181" t="s">
        <v>82</v>
      </c>
      <c r="D36" s="181" t="s">
        <v>83</v>
      </c>
      <c r="E36" s="181" t="s">
        <v>17</v>
      </c>
      <c r="F36" s="185">
        <v>6.5886387183802922E-2</v>
      </c>
      <c r="G36" s="185">
        <v>6.5886387183802922E-2</v>
      </c>
      <c r="H36" s="185">
        <v>6.5886387183802922E-2</v>
      </c>
      <c r="I36" s="185">
        <v>6.5886387183802922E-2</v>
      </c>
      <c r="J36" s="185">
        <v>6.5886387183802922E-2</v>
      </c>
    </row>
    <row r="37" spans="1:10" x14ac:dyDescent="0.35">
      <c r="A37" s="181" t="s">
        <v>56</v>
      </c>
      <c r="B37" s="181" t="s">
        <v>84</v>
      </c>
      <c r="C37" s="181" t="s">
        <v>85</v>
      </c>
      <c r="D37" s="181" t="s">
        <v>83</v>
      </c>
      <c r="E37" s="181" t="s">
        <v>17</v>
      </c>
      <c r="F37" s="199" t="s">
        <v>18</v>
      </c>
      <c r="G37" s="199" t="s">
        <v>18</v>
      </c>
      <c r="H37" s="199" t="s">
        <v>18</v>
      </c>
      <c r="I37" s="199" t="s">
        <v>18</v>
      </c>
      <c r="J37" s="199" t="s">
        <v>18</v>
      </c>
    </row>
    <row r="38" spans="1:10" x14ac:dyDescent="0.35">
      <c r="A38" s="181" t="s">
        <v>57</v>
      </c>
      <c r="B38" s="181" t="s">
        <v>81</v>
      </c>
      <c r="C38" s="181" t="s">
        <v>82</v>
      </c>
      <c r="D38" s="181" t="s">
        <v>83</v>
      </c>
      <c r="E38" s="181" t="s">
        <v>17</v>
      </c>
      <c r="F38" s="185">
        <v>0</v>
      </c>
      <c r="G38" s="185">
        <v>0</v>
      </c>
      <c r="H38" s="185">
        <v>0</v>
      </c>
      <c r="I38" s="185">
        <v>0</v>
      </c>
      <c r="J38" s="185">
        <v>0</v>
      </c>
    </row>
    <row r="39" spans="1:10" x14ac:dyDescent="0.35">
      <c r="A39" s="181" t="s">
        <v>57</v>
      </c>
      <c r="B39" s="181" t="s">
        <v>84</v>
      </c>
      <c r="C39" s="181" t="s">
        <v>85</v>
      </c>
      <c r="D39" s="181" t="s">
        <v>83</v>
      </c>
      <c r="E39" s="181" t="s">
        <v>17</v>
      </c>
      <c r="F39" s="199" t="s">
        <v>18</v>
      </c>
      <c r="G39" s="199" t="s">
        <v>18</v>
      </c>
      <c r="H39" s="199" t="s">
        <v>18</v>
      </c>
      <c r="I39" s="199" t="s">
        <v>18</v>
      </c>
      <c r="J39" s="199" t="s">
        <v>18</v>
      </c>
    </row>
    <row r="40" spans="1:10" x14ac:dyDescent="0.35">
      <c r="A40" s="181" t="s">
        <v>58</v>
      </c>
      <c r="B40" s="181" t="s">
        <v>81</v>
      </c>
      <c r="C40" s="181" t="s">
        <v>82</v>
      </c>
      <c r="D40" s="181" t="s">
        <v>83</v>
      </c>
      <c r="E40" s="181" t="s">
        <v>17</v>
      </c>
      <c r="F40" s="185">
        <v>0.1</v>
      </c>
      <c r="G40" s="185">
        <v>0.1</v>
      </c>
      <c r="H40" s="185">
        <v>0.1</v>
      </c>
      <c r="I40" s="185">
        <v>0.1</v>
      </c>
      <c r="J40" s="185">
        <v>0.1</v>
      </c>
    </row>
    <row r="41" spans="1:10" x14ac:dyDescent="0.35">
      <c r="A41" s="181" t="s">
        <v>58</v>
      </c>
      <c r="B41" s="181" t="s">
        <v>84</v>
      </c>
      <c r="C41" s="181" t="s">
        <v>85</v>
      </c>
      <c r="D41" s="181" t="s">
        <v>83</v>
      </c>
      <c r="E41" s="181" t="s">
        <v>17</v>
      </c>
      <c r="F41" s="199" t="s">
        <v>18</v>
      </c>
      <c r="G41" s="199" t="s">
        <v>18</v>
      </c>
      <c r="H41" s="199" t="s">
        <v>18</v>
      </c>
      <c r="I41" s="199" t="s">
        <v>18</v>
      </c>
      <c r="J41" s="199" t="s">
        <v>18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AD724-65D5-4605-84DE-A9C5A84293F9}">
  <sheetPr>
    <tabColor rgb="FFFFDB8E"/>
  </sheetPr>
  <dimension ref="A1:Z209"/>
  <sheetViews>
    <sheetView zoomScale="80" zoomScaleNormal="80" workbookViewId="0"/>
  </sheetViews>
  <sheetFormatPr defaultColWidth="9" defaultRowHeight="13.5" x14ac:dyDescent="0.35"/>
  <cols>
    <col min="1" max="1" width="12.1328125" style="142" customWidth="1"/>
    <col min="2" max="2" width="23.73046875" style="142" bestFit="1" customWidth="1"/>
    <col min="3" max="3" width="89.265625" style="142" bestFit="1" customWidth="1"/>
    <col min="4" max="4" width="9" style="142"/>
    <col min="5" max="5" width="9.265625" style="142" customWidth="1"/>
    <col min="6" max="7" width="11.86328125" style="142" customWidth="1"/>
    <col min="8" max="15" width="12.1328125" style="142" customWidth="1"/>
    <col min="16" max="17" width="13.1328125" style="142" customWidth="1"/>
    <col min="18" max="23" width="13.3984375" style="142" customWidth="1"/>
    <col min="24" max="24" width="14.59765625" style="142" customWidth="1"/>
    <col min="25" max="25" width="14.1328125" style="142" customWidth="1"/>
    <col min="26" max="26" width="13.1328125" style="142" customWidth="1"/>
    <col min="27" max="16384" width="9" style="142"/>
  </cols>
  <sheetData>
    <row r="1" spans="1:26" ht="14.25" x14ac:dyDescent="0.45">
      <c r="A1" s="142">
        <v>21610</v>
      </c>
      <c r="C1" s="143"/>
      <c r="E1" s="143"/>
    </row>
    <row r="2" spans="1:26" ht="14.25" x14ac:dyDescent="0.45">
      <c r="A2" s="182" t="s">
        <v>12</v>
      </c>
      <c r="B2" s="182" t="s">
        <v>13</v>
      </c>
      <c r="C2" s="182" t="s">
        <v>14</v>
      </c>
      <c r="D2" s="182" t="s">
        <v>15</v>
      </c>
      <c r="E2" s="182" t="s">
        <v>16</v>
      </c>
      <c r="F2" s="182" t="s">
        <v>61</v>
      </c>
      <c r="G2" s="182" t="s">
        <v>61</v>
      </c>
      <c r="H2" s="182" t="s">
        <v>61</v>
      </c>
      <c r="I2" s="182" t="s">
        <v>61</v>
      </c>
      <c r="J2" s="182" t="s">
        <v>61</v>
      </c>
      <c r="K2" s="182" t="s">
        <v>61</v>
      </c>
      <c r="L2" s="182" t="s">
        <v>61</v>
      </c>
      <c r="M2" s="182" t="s">
        <v>61</v>
      </c>
      <c r="N2" s="182" t="s">
        <v>61</v>
      </c>
      <c r="O2" s="182" t="s">
        <v>61</v>
      </c>
      <c r="P2" s="182" t="s">
        <v>17</v>
      </c>
      <c r="Q2" s="182" t="s">
        <v>17</v>
      </c>
      <c r="R2" s="182" t="s">
        <v>17</v>
      </c>
      <c r="S2" s="182" t="s">
        <v>17</v>
      </c>
      <c r="T2" s="182" t="s">
        <v>17</v>
      </c>
      <c r="U2" s="182" t="s">
        <v>17</v>
      </c>
      <c r="V2" s="182" t="s">
        <v>17</v>
      </c>
      <c r="W2" s="182" t="s">
        <v>17</v>
      </c>
      <c r="X2" s="182" t="s">
        <v>17</v>
      </c>
      <c r="Y2" s="182" t="s">
        <v>17</v>
      </c>
    </row>
    <row r="3" spans="1:26" ht="14.25" x14ac:dyDescent="0.45">
      <c r="F3" s="182" t="s">
        <v>62</v>
      </c>
      <c r="G3" s="182" t="s">
        <v>62</v>
      </c>
      <c r="H3" s="182" t="s">
        <v>62</v>
      </c>
      <c r="I3" s="182" t="s">
        <v>62</v>
      </c>
      <c r="J3" s="182" t="s">
        <v>62</v>
      </c>
      <c r="K3" s="182" t="s">
        <v>62</v>
      </c>
      <c r="L3" s="182" t="s">
        <v>62</v>
      </c>
      <c r="M3" s="182" t="s">
        <v>62</v>
      </c>
      <c r="N3" s="182" t="s">
        <v>62</v>
      </c>
      <c r="O3" s="182" t="s">
        <v>62</v>
      </c>
      <c r="P3" s="182" t="s">
        <v>86</v>
      </c>
      <c r="Q3" s="182" t="s">
        <v>86</v>
      </c>
      <c r="R3" s="182" t="s">
        <v>86</v>
      </c>
      <c r="S3" s="182" t="s">
        <v>86</v>
      </c>
      <c r="T3" s="182" t="s">
        <v>86</v>
      </c>
      <c r="U3" s="182" t="s">
        <v>86</v>
      </c>
      <c r="V3" s="182" t="s">
        <v>86</v>
      </c>
      <c r="W3" s="182" t="s">
        <v>86</v>
      </c>
      <c r="X3" s="182" t="s">
        <v>86</v>
      </c>
      <c r="Y3" s="182" t="s">
        <v>86</v>
      </c>
    </row>
    <row r="4" spans="1:26" ht="14.25" x14ac:dyDescent="0.45">
      <c r="F4" s="182" t="s">
        <v>20</v>
      </c>
      <c r="G4" s="182" t="s">
        <v>20</v>
      </c>
      <c r="H4" s="182" t="s">
        <v>20</v>
      </c>
      <c r="I4" s="182" t="s">
        <v>20</v>
      </c>
      <c r="J4" s="182" t="s">
        <v>20</v>
      </c>
      <c r="K4" s="182" t="s">
        <v>20</v>
      </c>
      <c r="L4" s="182" t="s">
        <v>20</v>
      </c>
      <c r="M4" s="182" t="s">
        <v>20</v>
      </c>
      <c r="N4" s="182" t="s">
        <v>20</v>
      </c>
      <c r="O4" s="182" t="s">
        <v>20</v>
      </c>
      <c r="P4" s="182" t="s">
        <v>20</v>
      </c>
      <c r="Q4" s="182" t="s">
        <v>20</v>
      </c>
      <c r="R4" s="182" t="s">
        <v>20</v>
      </c>
      <c r="S4" s="182" t="s">
        <v>20</v>
      </c>
      <c r="T4" s="182" t="s">
        <v>20</v>
      </c>
      <c r="U4" s="182" t="s">
        <v>20</v>
      </c>
      <c r="V4" s="182" t="s">
        <v>20</v>
      </c>
      <c r="W4" s="182" t="s">
        <v>20</v>
      </c>
      <c r="X4" s="182" t="s">
        <v>20</v>
      </c>
      <c r="Y4" s="182" t="s">
        <v>20</v>
      </c>
    </row>
    <row r="5" spans="1:26" ht="14.25" x14ac:dyDescent="0.45">
      <c r="A5" s="182" t="s">
        <v>12</v>
      </c>
      <c r="B5" s="182" t="s">
        <v>13</v>
      </c>
      <c r="C5" s="182" t="s">
        <v>14</v>
      </c>
      <c r="D5" s="182" t="s">
        <v>15</v>
      </c>
      <c r="E5" s="182" t="s">
        <v>16</v>
      </c>
      <c r="F5" s="182" t="s">
        <v>21</v>
      </c>
      <c r="G5" s="182" t="s">
        <v>22</v>
      </c>
      <c r="H5" s="182" t="s">
        <v>23</v>
      </c>
      <c r="I5" s="182" t="s">
        <v>24</v>
      </c>
      <c r="J5" s="182" t="s">
        <v>25</v>
      </c>
      <c r="K5" s="182" t="s">
        <v>26</v>
      </c>
      <c r="L5" s="182" t="s">
        <v>27</v>
      </c>
      <c r="M5" s="182" t="s">
        <v>28</v>
      </c>
      <c r="N5" s="182" t="s">
        <v>29</v>
      </c>
      <c r="O5" s="182" t="s">
        <v>30</v>
      </c>
      <c r="P5" s="182" t="s">
        <v>87</v>
      </c>
      <c r="Q5" s="182" t="s">
        <v>88</v>
      </c>
      <c r="R5" s="182" t="s">
        <v>89</v>
      </c>
      <c r="S5" s="182" t="s">
        <v>90</v>
      </c>
      <c r="T5" s="182" t="s">
        <v>91</v>
      </c>
      <c r="U5" s="182" t="s">
        <v>92</v>
      </c>
      <c r="V5" s="182" t="s">
        <v>93</v>
      </c>
      <c r="W5" s="182" t="s">
        <v>94</v>
      </c>
      <c r="X5" s="182" t="s">
        <v>95</v>
      </c>
      <c r="Y5" s="182" t="s">
        <v>96</v>
      </c>
      <c r="Z5" s="142" t="s">
        <v>97</v>
      </c>
    </row>
    <row r="6" spans="1:26" x14ac:dyDescent="0.35">
      <c r="A6" s="142" t="s">
        <v>31</v>
      </c>
      <c r="B6" s="142" t="s">
        <v>63</v>
      </c>
      <c r="C6" s="142" t="s">
        <v>64</v>
      </c>
      <c r="D6" s="142" t="s">
        <v>34</v>
      </c>
      <c r="E6" s="142" t="s">
        <v>65</v>
      </c>
      <c r="F6" s="187">
        <f xml:space="preserve"> SUMIFS(F_Inputs_APR!F$7:F$108, F_Inputs_APR!$A$7:$A$108, $A6, F_Inputs_APR!$B$7:$B$108, $B6)</f>
        <v>1.89</v>
      </c>
      <c r="G6" s="187">
        <f xml:space="preserve"> SUMIFS(F_Inputs_APR!G$7:G$108, F_Inputs_APR!$A$7:$A$108, $A6, F_Inputs_APR!$B$7:$B$108, $B6)</f>
        <v>1.8084499999999999</v>
      </c>
      <c r="H6" s="187">
        <f xml:space="preserve"> SUMIFS(F_Inputs_APR!H$7:H$108, F_Inputs_APR!$A$7:$A$108, $A6, F_Inputs_APR!$B$7:$B$108, $B6)</f>
        <v>0.94399999999999995</v>
      </c>
      <c r="I6" s="187">
        <f xml:space="preserve"> SUMIFS(F_Inputs_APR!I$7:I$108, F_Inputs_APR!$A$7:$A$108, $A6, F_Inputs_APR!$B$7:$B$108, $B6)</f>
        <v>0.73324299999999998</v>
      </c>
      <c r="J6" s="145" t="s">
        <v>18</v>
      </c>
      <c r="K6" s="145" t="s">
        <v>18</v>
      </c>
      <c r="L6" s="145" t="s">
        <v>18</v>
      </c>
      <c r="M6" s="145" t="s">
        <v>18</v>
      </c>
      <c r="N6" s="145" t="s">
        <v>18</v>
      </c>
      <c r="O6" s="145" t="s">
        <v>18</v>
      </c>
      <c r="P6" s="145" t="s">
        <v>18</v>
      </c>
      <c r="Q6" s="145" t="s">
        <v>18</v>
      </c>
      <c r="R6" s="144"/>
      <c r="S6" s="144"/>
      <c r="T6" s="144"/>
      <c r="U6" s="144"/>
      <c r="V6" s="144"/>
      <c r="W6" s="144"/>
      <c r="X6" s="144"/>
      <c r="Y6" s="144"/>
    </row>
    <row r="7" spans="1:26" x14ac:dyDescent="0.35">
      <c r="A7" s="142" t="s">
        <v>31</v>
      </c>
      <c r="B7" s="142" t="s">
        <v>66</v>
      </c>
      <c r="C7" s="142" t="s">
        <v>67</v>
      </c>
      <c r="D7" s="142" t="s">
        <v>34</v>
      </c>
      <c r="E7" s="142" t="s">
        <v>65</v>
      </c>
      <c r="F7" s="187">
        <f xml:space="preserve"> SUMIFS(F_Inputs_APR!F$7:F$108, F_Inputs_APR!$A$7:$A$108, $A7, F_Inputs_APR!$B$7:$B$108, $B7)</f>
        <v>0</v>
      </c>
      <c r="G7" s="187">
        <f xml:space="preserve"> SUMIFS(F_Inputs_APR!G$7:G$108, F_Inputs_APR!$A$7:$A$108, $A7, F_Inputs_APR!$B$7:$B$108, $B7)</f>
        <v>0</v>
      </c>
      <c r="H7" s="187">
        <f xml:space="preserve"> SUMIFS(F_Inputs_APR!H$7:H$108, F_Inputs_APR!$A$7:$A$108, $A7, F_Inputs_APR!$B$7:$B$108, $B7)</f>
        <v>0</v>
      </c>
      <c r="I7" s="187">
        <f xml:space="preserve"> SUMIFS(F_Inputs_APR!I$7:I$108, F_Inputs_APR!$A$7:$A$108, $A7, F_Inputs_APR!$B$7:$B$108, $B7)</f>
        <v>0</v>
      </c>
      <c r="J7" s="145" t="s">
        <v>18</v>
      </c>
      <c r="K7" s="145" t="s">
        <v>18</v>
      </c>
      <c r="L7" s="145" t="s">
        <v>18</v>
      </c>
      <c r="M7" s="145" t="s">
        <v>18</v>
      </c>
      <c r="N7" s="145" t="s">
        <v>18</v>
      </c>
      <c r="O7" s="145" t="s">
        <v>18</v>
      </c>
      <c r="P7" s="145" t="s">
        <v>18</v>
      </c>
      <c r="Q7" s="145" t="s">
        <v>18</v>
      </c>
      <c r="R7" s="145"/>
      <c r="S7" s="145"/>
      <c r="T7" s="145"/>
      <c r="U7" s="145"/>
      <c r="V7" s="145"/>
      <c r="W7" s="145"/>
      <c r="X7" s="145"/>
      <c r="Y7" s="145"/>
    </row>
    <row r="8" spans="1:26" x14ac:dyDescent="0.35">
      <c r="A8" s="142" t="s">
        <v>31</v>
      </c>
      <c r="B8" s="142" t="s">
        <v>68</v>
      </c>
      <c r="C8" s="142" t="s">
        <v>38</v>
      </c>
      <c r="D8" s="142" t="s">
        <v>39</v>
      </c>
      <c r="E8" s="142" t="s">
        <v>65</v>
      </c>
      <c r="F8" s="188">
        <f xml:space="preserve"> SUMIFS(F_Inputs_APR!F$7:F$108, F_Inputs_APR!$A$7:$A$108, $A8, F_Inputs_APR!$B$7:$B$108, $B8)</f>
        <v>32514</v>
      </c>
      <c r="G8" s="188">
        <f xml:space="preserve"> SUMIFS(F_Inputs_APR!G$7:G$108, F_Inputs_APR!$A$7:$A$108, $A8, F_Inputs_APR!$B$7:$B$108, $B8)</f>
        <v>32516</v>
      </c>
      <c r="H8" s="188">
        <f xml:space="preserve"> SUMIFS(F_Inputs_APR!H$7:H$108, F_Inputs_APR!$A$7:$A$108, $A8, F_Inputs_APR!$B$7:$B$108, $B8)</f>
        <v>18002</v>
      </c>
      <c r="I8" s="188">
        <f xml:space="preserve"> SUMIFS(F_Inputs_APR!I$7:I$108, F_Inputs_APR!$A$7:$A$108, $A8, F_Inputs_APR!$B$7:$B$108, $B8)</f>
        <v>12342</v>
      </c>
      <c r="J8" s="145" t="s">
        <v>18</v>
      </c>
      <c r="K8" s="145" t="s">
        <v>18</v>
      </c>
      <c r="L8" s="145" t="s">
        <v>18</v>
      </c>
      <c r="M8" s="145" t="s">
        <v>18</v>
      </c>
      <c r="N8" s="145" t="s">
        <v>18</v>
      </c>
      <c r="O8" s="145" t="s">
        <v>18</v>
      </c>
      <c r="P8" s="145" t="s">
        <v>18</v>
      </c>
      <c r="Q8" s="145" t="s">
        <v>18</v>
      </c>
      <c r="R8" s="145"/>
      <c r="S8" s="145"/>
      <c r="T8" s="145"/>
      <c r="U8" s="145"/>
      <c r="V8" s="145"/>
      <c r="W8" s="145"/>
      <c r="X8" s="145"/>
      <c r="Y8" s="145"/>
    </row>
    <row r="9" spans="1:26" x14ac:dyDescent="0.35">
      <c r="A9" s="142" t="s">
        <v>31</v>
      </c>
      <c r="B9" s="142" t="s">
        <v>69</v>
      </c>
      <c r="C9" s="142" t="s">
        <v>70</v>
      </c>
      <c r="D9" s="142" t="s">
        <v>34</v>
      </c>
      <c r="E9" s="142" t="s">
        <v>65</v>
      </c>
      <c r="F9" s="187">
        <f xml:space="preserve"> SUMIFS(F_Inputs_APR!F$7:F$108, F_Inputs_APR!$A$7:$A$108, $A9, F_Inputs_APR!$B$7:$B$108, $B9)</f>
        <v>0.182</v>
      </c>
      <c r="G9" s="187">
        <f xml:space="preserve"> SUMIFS(F_Inputs_APR!G$7:G$108, F_Inputs_APR!$A$7:$A$108, $A9, F_Inputs_APR!$B$7:$B$108, $B9)</f>
        <v>4.2667686481027103E-2</v>
      </c>
      <c r="H9" s="187">
        <f xml:space="preserve"> SUMIFS(F_Inputs_APR!H$7:H$108, F_Inputs_APR!$A$7:$A$108, $A9, F_Inputs_APR!$B$7:$B$108, $B9)</f>
        <v>8.2000000000000003E-2</v>
      </c>
      <c r="I9" s="187">
        <f xml:space="preserve"> SUMIFS(F_Inputs_APR!I$7:I$108, F_Inputs_APR!$A$7:$A$108, $A9, F_Inputs_APR!$B$7:$B$108, $B9)</f>
        <v>5.8999999999999997E-2</v>
      </c>
      <c r="J9" s="145" t="s">
        <v>18</v>
      </c>
      <c r="K9" s="145" t="s">
        <v>18</v>
      </c>
      <c r="L9" s="145" t="s">
        <v>18</v>
      </c>
      <c r="M9" s="145" t="s">
        <v>18</v>
      </c>
      <c r="N9" s="145" t="s">
        <v>18</v>
      </c>
      <c r="O9" s="145" t="s">
        <v>18</v>
      </c>
      <c r="P9" s="145" t="s">
        <v>18</v>
      </c>
      <c r="Q9" s="145" t="s">
        <v>18</v>
      </c>
      <c r="R9" s="145"/>
      <c r="S9" s="145"/>
      <c r="T9" s="145"/>
      <c r="U9" s="145"/>
      <c r="V9" s="145"/>
      <c r="W9" s="145"/>
      <c r="X9" s="145"/>
      <c r="Y9" s="145"/>
    </row>
    <row r="10" spans="1:26" x14ac:dyDescent="0.35">
      <c r="A10" s="142" t="s">
        <v>31</v>
      </c>
      <c r="B10" s="142" t="s">
        <v>71</v>
      </c>
      <c r="C10" s="142" t="s">
        <v>72</v>
      </c>
      <c r="D10" s="142" t="s">
        <v>34</v>
      </c>
      <c r="E10" s="142" t="s">
        <v>65</v>
      </c>
      <c r="F10" s="187">
        <f xml:space="preserve"> SUMIFS(F_Inputs_APR!F$7:F$108, F_Inputs_APR!$A$7:$A$108, $A10, F_Inputs_APR!$B$7:$B$108, $B10)</f>
        <v>0</v>
      </c>
      <c r="G10" s="187">
        <f xml:space="preserve"> SUMIFS(F_Inputs_APR!G$7:G$108, F_Inputs_APR!$A$7:$A$108, $A10, F_Inputs_APR!$B$7:$B$108, $B10)</f>
        <v>0</v>
      </c>
      <c r="H10" s="187">
        <f xml:space="preserve"> SUMIFS(F_Inputs_APR!H$7:H$108, F_Inputs_APR!$A$7:$A$108, $A10, F_Inputs_APR!$B$7:$B$108, $B10)</f>
        <v>0</v>
      </c>
      <c r="I10" s="187">
        <f xml:space="preserve"> SUMIFS(F_Inputs_APR!I$7:I$108, F_Inputs_APR!$A$7:$A$108, $A10, F_Inputs_APR!$B$7:$B$108, $B10)</f>
        <v>0</v>
      </c>
      <c r="J10" s="145" t="s">
        <v>18</v>
      </c>
      <c r="K10" s="145" t="s">
        <v>18</v>
      </c>
      <c r="L10" s="145" t="s">
        <v>18</v>
      </c>
      <c r="M10" s="145" t="s">
        <v>18</v>
      </c>
      <c r="N10" s="145" t="s">
        <v>18</v>
      </c>
      <c r="O10" s="145" t="s">
        <v>18</v>
      </c>
      <c r="P10" s="145" t="s">
        <v>18</v>
      </c>
      <c r="Q10" s="145" t="s">
        <v>18</v>
      </c>
      <c r="R10" s="145"/>
      <c r="S10" s="145"/>
      <c r="T10" s="145"/>
      <c r="U10" s="145"/>
      <c r="V10" s="145"/>
      <c r="W10" s="145"/>
      <c r="X10" s="145"/>
      <c r="Y10" s="145"/>
    </row>
    <row r="11" spans="1:26" x14ac:dyDescent="0.35">
      <c r="A11" s="142" t="s">
        <v>31</v>
      </c>
      <c r="B11" s="142" t="s">
        <v>73</v>
      </c>
      <c r="C11" s="142" t="s">
        <v>38</v>
      </c>
      <c r="D11" s="142" t="s">
        <v>39</v>
      </c>
      <c r="E11" s="142" t="s">
        <v>65</v>
      </c>
      <c r="F11" s="188">
        <f xml:space="preserve"> SUMIFS(F_Inputs_APR!F$7:F$108, F_Inputs_APR!$A$7:$A$108, $A11, F_Inputs_APR!$B$7:$B$108, $B11)</f>
        <v>2322</v>
      </c>
      <c r="G11" s="188">
        <f xml:space="preserve"> SUMIFS(F_Inputs_APR!G$7:G$108, F_Inputs_APR!$A$7:$A$108, $A11, F_Inputs_APR!$B$7:$B$108, $B11)</f>
        <v>1734</v>
      </c>
      <c r="H11" s="188">
        <f xml:space="preserve"> SUMIFS(F_Inputs_APR!H$7:H$108, F_Inputs_APR!$A$7:$A$108, $A11, F_Inputs_APR!$B$7:$B$108, $B11)</f>
        <v>870</v>
      </c>
      <c r="I11" s="188">
        <f xml:space="preserve"> SUMIFS(F_Inputs_APR!I$7:I$108, F_Inputs_APR!$A$7:$A$108, $A11, F_Inputs_APR!$B$7:$B$108, $B11)</f>
        <v>701</v>
      </c>
      <c r="J11" s="145" t="s">
        <v>18</v>
      </c>
      <c r="K11" s="145" t="s">
        <v>18</v>
      </c>
      <c r="L11" s="145" t="s">
        <v>18</v>
      </c>
      <c r="M11" s="145" t="s">
        <v>18</v>
      </c>
      <c r="N11" s="145" t="s">
        <v>18</v>
      </c>
      <c r="O11" s="145" t="s">
        <v>18</v>
      </c>
      <c r="P11" s="145" t="s">
        <v>18</v>
      </c>
      <c r="Q11" s="145" t="s">
        <v>18</v>
      </c>
      <c r="R11" s="145"/>
      <c r="S11" s="145"/>
      <c r="T11" s="145"/>
      <c r="U11" s="145"/>
      <c r="V11" s="145"/>
      <c r="W11" s="145"/>
      <c r="X11" s="145"/>
      <c r="Y11" s="145"/>
    </row>
    <row r="12" spans="1:26" x14ac:dyDescent="0.35">
      <c r="A12" s="142" t="s">
        <v>43</v>
      </c>
      <c r="B12" s="142" t="s">
        <v>63</v>
      </c>
      <c r="C12" s="142" t="s">
        <v>64</v>
      </c>
      <c r="D12" s="142" t="s">
        <v>34</v>
      </c>
      <c r="E12" s="142" t="s">
        <v>65</v>
      </c>
      <c r="F12" s="187">
        <f xml:space="preserve"> SUMIFS(F_Inputs_APR!F$7:F$108, F_Inputs_APR!$A$7:$A$108, $A12, F_Inputs_APR!$B$7:$B$108, $B12)</f>
        <v>2E-3</v>
      </c>
      <c r="G12" s="187">
        <f xml:space="preserve"> SUMIFS(F_Inputs_APR!G$7:G$108, F_Inputs_APR!$A$7:$A$108, $A12, F_Inputs_APR!$B$7:$B$108, $B12)</f>
        <v>6.0000000000000001E-3</v>
      </c>
      <c r="H12" s="187">
        <f xml:space="preserve"> SUMIFS(F_Inputs_APR!H$7:H$108, F_Inputs_APR!$A$7:$A$108, $A12, F_Inputs_APR!$B$7:$B$108, $B12)</f>
        <v>9.2999999999999999E-2</v>
      </c>
      <c r="I12" s="187">
        <f xml:space="preserve"> SUMIFS(F_Inputs_APR!I$7:I$108, F_Inputs_APR!$A$7:$A$108, $A12, F_Inputs_APR!$B$7:$B$108, $B12)</f>
        <v>0.192</v>
      </c>
      <c r="J12" s="145" t="s">
        <v>18</v>
      </c>
      <c r="K12" s="145" t="s">
        <v>18</v>
      </c>
      <c r="L12" s="145" t="s">
        <v>18</v>
      </c>
      <c r="M12" s="145" t="s">
        <v>18</v>
      </c>
      <c r="N12" s="145" t="s">
        <v>18</v>
      </c>
      <c r="O12" s="145" t="s">
        <v>18</v>
      </c>
      <c r="P12" s="145" t="s">
        <v>18</v>
      </c>
      <c r="Q12" s="145" t="s">
        <v>18</v>
      </c>
      <c r="R12" s="144"/>
      <c r="S12" s="144"/>
      <c r="T12" s="144"/>
      <c r="U12" s="144"/>
      <c r="V12" s="144"/>
      <c r="W12" s="144"/>
      <c r="X12" s="144"/>
      <c r="Y12" s="144"/>
    </row>
    <row r="13" spans="1:26" x14ac:dyDescent="0.35">
      <c r="A13" s="142" t="s">
        <v>43</v>
      </c>
      <c r="B13" s="142" t="s">
        <v>66</v>
      </c>
      <c r="C13" s="142" t="s">
        <v>67</v>
      </c>
      <c r="D13" s="142" t="s">
        <v>34</v>
      </c>
      <c r="E13" s="142" t="s">
        <v>65</v>
      </c>
      <c r="F13" s="187">
        <f xml:space="preserve"> SUMIFS(F_Inputs_APR!F$7:F$108, F_Inputs_APR!$A$7:$A$108, $A13, F_Inputs_APR!$B$7:$B$108, $B13)</f>
        <v>0</v>
      </c>
      <c r="G13" s="187">
        <f xml:space="preserve"> SUMIFS(F_Inputs_APR!G$7:G$108, F_Inputs_APR!$A$7:$A$108, $A13, F_Inputs_APR!$B$7:$B$108, $B13)</f>
        <v>0</v>
      </c>
      <c r="H13" s="187">
        <f xml:space="preserve"> SUMIFS(F_Inputs_APR!H$7:H$108, F_Inputs_APR!$A$7:$A$108, $A13, F_Inputs_APR!$B$7:$B$108, $B13)</f>
        <v>0</v>
      </c>
      <c r="I13" s="187">
        <f xml:space="preserve"> SUMIFS(F_Inputs_APR!I$7:I$108, F_Inputs_APR!$A$7:$A$108, $A13, F_Inputs_APR!$B$7:$B$108, $B13)</f>
        <v>0</v>
      </c>
      <c r="J13" s="145" t="s">
        <v>18</v>
      </c>
      <c r="K13" s="145" t="s">
        <v>18</v>
      </c>
      <c r="L13" s="145" t="s">
        <v>18</v>
      </c>
      <c r="M13" s="145" t="s">
        <v>18</v>
      </c>
      <c r="N13" s="145" t="s">
        <v>18</v>
      </c>
      <c r="O13" s="145" t="s">
        <v>18</v>
      </c>
      <c r="P13" s="145" t="s">
        <v>18</v>
      </c>
      <c r="Q13" s="145" t="s">
        <v>18</v>
      </c>
      <c r="R13" s="145"/>
      <c r="S13" s="145"/>
      <c r="T13" s="145"/>
      <c r="U13" s="145"/>
      <c r="V13" s="145"/>
      <c r="W13" s="145"/>
      <c r="X13" s="145"/>
      <c r="Y13" s="145"/>
    </row>
    <row r="14" spans="1:26" x14ac:dyDescent="0.35">
      <c r="A14" s="142" t="s">
        <v>43</v>
      </c>
      <c r="B14" s="142" t="s">
        <v>68</v>
      </c>
      <c r="C14" s="142" t="s">
        <v>38</v>
      </c>
      <c r="D14" s="142" t="s">
        <v>39</v>
      </c>
      <c r="E14" s="142" t="s">
        <v>65</v>
      </c>
      <c r="F14" s="188">
        <f xml:space="preserve"> SUMIFS(F_Inputs_APR!F$7:F$108, F_Inputs_APR!$A$7:$A$108, $A14, F_Inputs_APR!$B$7:$B$108, $B14)</f>
        <v>45</v>
      </c>
      <c r="G14" s="188">
        <f xml:space="preserve"> SUMIFS(F_Inputs_APR!G$7:G$108, F_Inputs_APR!$A$7:$A$108, $A14, F_Inputs_APR!$B$7:$B$108, $B14)</f>
        <v>0</v>
      </c>
      <c r="H14" s="188">
        <f xml:space="preserve"> SUMIFS(F_Inputs_APR!H$7:H$108, F_Inputs_APR!$A$7:$A$108, $A14, F_Inputs_APR!$B$7:$B$108, $B14)</f>
        <v>1815</v>
      </c>
      <c r="I14" s="188">
        <f xml:space="preserve"> SUMIFS(F_Inputs_APR!I$7:I$108, F_Inputs_APR!$A$7:$A$108, $A14, F_Inputs_APR!$B$7:$B$108, $B14)</f>
        <v>3630</v>
      </c>
      <c r="J14" s="145" t="s">
        <v>18</v>
      </c>
      <c r="K14" s="145" t="s">
        <v>18</v>
      </c>
      <c r="L14" s="145" t="s">
        <v>18</v>
      </c>
      <c r="M14" s="145" t="s">
        <v>18</v>
      </c>
      <c r="N14" s="145" t="s">
        <v>18</v>
      </c>
      <c r="O14" s="145" t="s">
        <v>18</v>
      </c>
      <c r="P14" s="145" t="s">
        <v>18</v>
      </c>
      <c r="Q14" s="145" t="s">
        <v>18</v>
      </c>
      <c r="R14" s="145"/>
      <c r="S14" s="145"/>
      <c r="T14" s="145"/>
      <c r="U14" s="145"/>
      <c r="V14" s="145"/>
      <c r="W14" s="145"/>
      <c r="X14" s="145"/>
      <c r="Y14" s="145"/>
    </row>
    <row r="15" spans="1:26" x14ac:dyDescent="0.35">
      <c r="A15" s="142" t="s">
        <v>43</v>
      </c>
      <c r="B15" s="142" t="s">
        <v>69</v>
      </c>
      <c r="C15" s="142" t="s">
        <v>70</v>
      </c>
      <c r="D15" s="142" t="s">
        <v>34</v>
      </c>
      <c r="E15" s="142" t="s">
        <v>65</v>
      </c>
      <c r="F15" s="187">
        <f xml:space="preserve"> SUMIFS(F_Inputs_APR!F$7:F$108, F_Inputs_APR!$A$7:$A$108, $A15, F_Inputs_APR!$B$7:$B$108, $B15)</f>
        <v>3.5999999999999997E-2</v>
      </c>
      <c r="G15" s="187">
        <f xml:space="preserve"> SUMIFS(F_Inputs_APR!G$7:G$108, F_Inputs_APR!$A$7:$A$108, $A15, F_Inputs_APR!$B$7:$B$108, $B15)</f>
        <v>0</v>
      </c>
      <c r="H15" s="187">
        <f xml:space="preserve"> SUMIFS(F_Inputs_APR!H$7:H$108, F_Inputs_APR!$A$7:$A$108, $A15, F_Inputs_APR!$B$7:$B$108, $B15)</f>
        <v>9.2999999999999999E-2</v>
      </c>
      <c r="I15" s="187">
        <f xml:space="preserve"> SUMIFS(F_Inputs_APR!I$7:I$108, F_Inputs_APR!$A$7:$A$108, $A15, F_Inputs_APR!$B$7:$B$108, $B15)</f>
        <v>2.3E-2</v>
      </c>
      <c r="J15" s="145" t="s">
        <v>18</v>
      </c>
      <c r="K15" s="145" t="s">
        <v>18</v>
      </c>
      <c r="L15" s="145" t="s">
        <v>18</v>
      </c>
      <c r="M15" s="145" t="s">
        <v>18</v>
      </c>
      <c r="N15" s="145" t="s">
        <v>18</v>
      </c>
      <c r="O15" s="145" t="s">
        <v>18</v>
      </c>
      <c r="P15" s="145" t="s">
        <v>18</v>
      </c>
      <c r="Q15" s="145" t="s">
        <v>18</v>
      </c>
      <c r="R15" s="145"/>
      <c r="S15" s="145"/>
      <c r="T15" s="145"/>
      <c r="U15" s="145"/>
      <c r="V15" s="145"/>
      <c r="W15" s="145"/>
      <c r="X15" s="145"/>
      <c r="Y15" s="145"/>
    </row>
    <row r="16" spans="1:26" x14ac:dyDescent="0.35">
      <c r="A16" s="142" t="s">
        <v>43</v>
      </c>
      <c r="B16" s="142" t="s">
        <v>71</v>
      </c>
      <c r="C16" s="142" t="s">
        <v>72</v>
      </c>
      <c r="D16" s="142" t="s">
        <v>34</v>
      </c>
      <c r="E16" s="142" t="s">
        <v>65</v>
      </c>
      <c r="F16" s="187">
        <f xml:space="preserve"> SUMIFS(F_Inputs_APR!F$7:F$108, F_Inputs_APR!$A$7:$A$108, $A16, F_Inputs_APR!$B$7:$B$108, $B16)</f>
        <v>0</v>
      </c>
      <c r="G16" s="187">
        <f xml:space="preserve"> SUMIFS(F_Inputs_APR!G$7:G$108, F_Inputs_APR!$A$7:$A$108, $A16, F_Inputs_APR!$B$7:$B$108, $B16)</f>
        <v>0</v>
      </c>
      <c r="H16" s="187">
        <f xml:space="preserve"> SUMIFS(F_Inputs_APR!H$7:H$108, F_Inputs_APR!$A$7:$A$108, $A16, F_Inputs_APR!$B$7:$B$108, $B16)</f>
        <v>0</v>
      </c>
      <c r="I16" s="187">
        <f xml:space="preserve"> SUMIFS(F_Inputs_APR!I$7:I$108, F_Inputs_APR!$A$7:$A$108, $A16, F_Inputs_APR!$B$7:$B$108, $B16)</f>
        <v>0</v>
      </c>
      <c r="J16" s="145" t="s">
        <v>18</v>
      </c>
      <c r="K16" s="145" t="s">
        <v>18</v>
      </c>
      <c r="L16" s="145" t="s">
        <v>18</v>
      </c>
      <c r="M16" s="145" t="s">
        <v>18</v>
      </c>
      <c r="N16" s="145" t="s">
        <v>18</v>
      </c>
      <c r="O16" s="145" t="s">
        <v>18</v>
      </c>
      <c r="P16" s="145" t="s">
        <v>18</v>
      </c>
      <c r="Q16" s="145" t="s">
        <v>18</v>
      </c>
      <c r="R16" s="145"/>
      <c r="S16" s="145"/>
      <c r="T16" s="145"/>
      <c r="U16" s="145"/>
      <c r="V16" s="145"/>
      <c r="W16" s="145"/>
      <c r="X16" s="145"/>
      <c r="Y16" s="145"/>
    </row>
    <row r="17" spans="1:25" x14ac:dyDescent="0.35">
      <c r="A17" s="142" t="s">
        <v>43</v>
      </c>
      <c r="B17" s="142" t="s">
        <v>73</v>
      </c>
      <c r="C17" s="142" t="s">
        <v>38</v>
      </c>
      <c r="D17" s="142" t="s">
        <v>39</v>
      </c>
      <c r="E17" s="142" t="s">
        <v>65</v>
      </c>
      <c r="F17" s="188">
        <f xml:space="preserve"> SUMIFS(F_Inputs_APR!F$7:F$108, F_Inputs_APR!$A$7:$A$108, $A17, F_Inputs_APR!$B$7:$B$108, $B17)</f>
        <v>832</v>
      </c>
      <c r="G17" s="188">
        <f xml:space="preserve"> SUMIFS(F_Inputs_APR!G$7:G$108, F_Inputs_APR!$A$7:$A$108, $A17, F_Inputs_APR!$B$7:$B$108, $B17)</f>
        <v>0</v>
      </c>
      <c r="H17" s="188">
        <f xml:space="preserve"> SUMIFS(F_Inputs_APR!H$7:H$108, F_Inputs_APR!$A$7:$A$108, $A17, F_Inputs_APR!$B$7:$B$108, $B17)</f>
        <v>323</v>
      </c>
      <c r="I17" s="188">
        <f xml:space="preserve"> SUMIFS(F_Inputs_APR!I$7:I$108, F_Inputs_APR!$A$7:$A$108, $A17, F_Inputs_APR!$B$7:$B$108, $B17)</f>
        <v>421</v>
      </c>
      <c r="J17" s="145" t="s">
        <v>18</v>
      </c>
      <c r="K17" s="145" t="s">
        <v>18</v>
      </c>
      <c r="L17" s="145" t="s">
        <v>18</v>
      </c>
      <c r="M17" s="145" t="s">
        <v>18</v>
      </c>
      <c r="N17" s="145" t="s">
        <v>18</v>
      </c>
      <c r="O17" s="145" t="s">
        <v>18</v>
      </c>
      <c r="P17" s="145" t="s">
        <v>18</v>
      </c>
      <c r="Q17" s="145" t="s">
        <v>18</v>
      </c>
      <c r="R17" s="145"/>
      <c r="S17" s="145"/>
      <c r="T17" s="145"/>
      <c r="U17" s="145"/>
      <c r="V17" s="145"/>
      <c r="W17" s="145"/>
      <c r="X17" s="145"/>
      <c r="Y17" s="145"/>
    </row>
    <row r="18" spans="1:25" x14ac:dyDescent="0.35">
      <c r="A18" s="142" t="s">
        <v>44</v>
      </c>
      <c r="B18" s="142" t="s">
        <v>63</v>
      </c>
      <c r="C18" s="142" t="s">
        <v>64</v>
      </c>
      <c r="D18" s="142" t="s">
        <v>34</v>
      </c>
      <c r="E18" s="142" t="s">
        <v>65</v>
      </c>
      <c r="F18" s="187">
        <f xml:space="preserve"> SUMIFS(F_Inputs_APR!F$7:F$108, F_Inputs_APR!$A$7:$A$108, $A18, F_Inputs_APR!$B$7:$B$108, $B18)</f>
        <v>0</v>
      </c>
      <c r="G18" s="187">
        <f xml:space="preserve"> SUMIFS(F_Inputs_APR!G$7:G$108, F_Inputs_APR!$A$7:$A$108, $A18, F_Inputs_APR!$B$7:$B$108, $B18)</f>
        <v>0</v>
      </c>
      <c r="H18" s="187">
        <f xml:space="preserve"> SUMIFS(F_Inputs_APR!H$7:H$108, F_Inputs_APR!$A$7:$A$108, $A18, F_Inputs_APR!$B$7:$B$108, $B18)</f>
        <v>0</v>
      </c>
      <c r="I18" s="187">
        <f xml:space="preserve"> SUMIFS(F_Inputs_APR!I$7:I$108, F_Inputs_APR!$A$7:$A$108, $A18, F_Inputs_APR!$B$7:$B$108, $B18)</f>
        <v>0</v>
      </c>
      <c r="J18" s="145" t="s">
        <v>18</v>
      </c>
      <c r="K18" s="145" t="s">
        <v>18</v>
      </c>
      <c r="L18" s="145" t="s">
        <v>18</v>
      </c>
      <c r="M18" s="145" t="s">
        <v>18</v>
      </c>
      <c r="N18" s="145" t="s">
        <v>18</v>
      </c>
      <c r="O18" s="145" t="s">
        <v>18</v>
      </c>
      <c r="P18" s="145" t="s">
        <v>18</v>
      </c>
      <c r="Q18" s="145" t="s">
        <v>18</v>
      </c>
      <c r="R18" s="144"/>
      <c r="S18" s="144"/>
      <c r="T18" s="144"/>
      <c r="U18" s="144"/>
      <c r="V18" s="144"/>
      <c r="W18" s="144"/>
      <c r="X18" s="144"/>
      <c r="Y18" s="144"/>
    </row>
    <row r="19" spans="1:25" x14ac:dyDescent="0.35">
      <c r="A19" s="142" t="s">
        <v>44</v>
      </c>
      <c r="B19" s="142" t="s">
        <v>66</v>
      </c>
      <c r="C19" s="142" t="s">
        <v>67</v>
      </c>
      <c r="D19" s="142" t="s">
        <v>34</v>
      </c>
      <c r="E19" s="142" t="s">
        <v>65</v>
      </c>
      <c r="F19" s="187">
        <f xml:space="preserve"> SUMIFS(F_Inputs_APR!F$7:F$108, F_Inputs_APR!$A$7:$A$108, $A19, F_Inputs_APR!$B$7:$B$108, $B19)</f>
        <v>0</v>
      </c>
      <c r="G19" s="187">
        <f xml:space="preserve"> SUMIFS(F_Inputs_APR!G$7:G$108, F_Inputs_APR!$A$7:$A$108, $A19, F_Inputs_APR!$B$7:$B$108, $B19)</f>
        <v>0</v>
      </c>
      <c r="H19" s="187">
        <f xml:space="preserve"> SUMIFS(F_Inputs_APR!H$7:H$108, F_Inputs_APR!$A$7:$A$108, $A19, F_Inputs_APR!$B$7:$B$108, $B19)</f>
        <v>0</v>
      </c>
      <c r="I19" s="187">
        <f xml:space="preserve"> SUMIFS(F_Inputs_APR!I$7:I$108, F_Inputs_APR!$A$7:$A$108, $A19, F_Inputs_APR!$B$7:$B$108, $B19)</f>
        <v>0</v>
      </c>
      <c r="J19" s="145" t="s">
        <v>18</v>
      </c>
      <c r="K19" s="145" t="s">
        <v>18</v>
      </c>
      <c r="L19" s="145" t="s">
        <v>18</v>
      </c>
      <c r="M19" s="145" t="s">
        <v>18</v>
      </c>
      <c r="N19" s="145" t="s">
        <v>18</v>
      </c>
      <c r="O19" s="145" t="s">
        <v>18</v>
      </c>
      <c r="P19" s="145" t="s">
        <v>18</v>
      </c>
      <c r="Q19" s="145" t="s">
        <v>18</v>
      </c>
      <c r="R19" s="145"/>
      <c r="S19" s="145"/>
      <c r="T19" s="145"/>
      <c r="U19" s="145"/>
      <c r="V19" s="145"/>
      <c r="W19" s="145"/>
      <c r="X19" s="145"/>
      <c r="Y19" s="145"/>
    </row>
    <row r="20" spans="1:25" x14ac:dyDescent="0.35">
      <c r="A20" s="142" t="s">
        <v>44</v>
      </c>
      <c r="B20" s="142" t="s">
        <v>68</v>
      </c>
      <c r="C20" s="142" t="s">
        <v>38</v>
      </c>
      <c r="D20" s="142" t="s">
        <v>39</v>
      </c>
      <c r="E20" s="142" t="s">
        <v>65</v>
      </c>
      <c r="F20" s="188">
        <f xml:space="preserve"> SUMIFS(F_Inputs_APR!F$7:F$108, F_Inputs_APR!$A$7:$A$108, $A20, F_Inputs_APR!$B$7:$B$108, $B20)</f>
        <v>0</v>
      </c>
      <c r="G20" s="188">
        <f xml:space="preserve"> SUMIFS(F_Inputs_APR!G$7:G$108, F_Inputs_APR!$A$7:$A$108, $A20, F_Inputs_APR!$B$7:$B$108, $B20)</f>
        <v>0</v>
      </c>
      <c r="H20" s="188">
        <f xml:space="preserve"> SUMIFS(F_Inputs_APR!H$7:H$108, F_Inputs_APR!$A$7:$A$108, $A20, F_Inputs_APR!$B$7:$B$108, $B20)</f>
        <v>0</v>
      </c>
      <c r="I20" s="188">
        <f xml:space="preserve"> SUMIFS(F_Inputs_APR!I$7:I$108, F_Inputs_APR!$A$7:$A$108, $A20, F_Inputs_APR!$B$7:$B$108, $B20)</f>
        <v>0</v>
      </c>
      <c r="J20" s="145" t="s">
        <v>18</v>
      </c>
      <c r="K20" s="145" t="s">
        <v>18</v>
      </c>
      <c r="L20" s="145" t="s">
        <v>18</v>
      </c>
      <c r="M20" s="145" t="s">
        <v>18</v>
      </c>
      <c r="N20" s="145" t="s">
        <v>18</v>
      </c>
      <c r="O20" s="145" t="s">
        <v>18</v>
      </c>
      <c r="P20" s="145" t="s">
        <v>18</v>
      </c>
      <c r="Q20" s="145" t="s">
        <v>18</v>
      </c>
      <c r="R20" s="145"/>
      <c r="S20" s="145"/>
      <c r="T20" s="145"/>
      <c r="U20" s="145"/>
      <c r="V20" s="145"/>
      <c r="W20" s="145"/>
      <c r="X20" s="145"/>
      <c r="Y20" s="145"/>
    </row>
    <row r="21" spans="1:25" x14ac:dyDescent="0.35">
      <c r="A21" s="142" t="s">
        <v>44</v>
      </c>
      <c r="B21" s="142" t="s">
        <v>69</v>
      </c>
      <c r="C21" s="142" t="s">
        <v>70</v>
      </c>
      <c r="D21" s="142" t="s">
        <v>34</v>
      </c>
      <c r="E21" s="142" t="s">
        <v>65</v>
      </c>
      <c r="F21" s="187">
        <f xml:space="preserve"> SUMIFS(F_Inputs_APR!F$7:F$108, F_Inputs_APR!$A$7:$A$108, $A21, F_Inputs_APR!$B$7:$B$108, $B21)</f>
        <v>0</v>
      </c>
      <c r="G21" s="187">
        <f xml:space="preserve"> SUMIFS(F_Inputs_APR!G$7:G$108, F_Inputs_APR!$A$7:$A$108, $A21, F_Inputs_APR!$B$7:$B$108, $B21)</f>
        <v>0</v>
      </c>
      <c r="H21" s="187">
        <f xml:space="preserve"> SUMIFS(F_Inputs_APR!H$7:H$108, F_Inputs_APR!$A$7:$A$108, $A21, F_Inputs_APR!$B$7:$B$108, $B21)</f>
        <v>0</v>
      </c>
      <c r="I21" s="187">
        <f xml:space="preserve"> SUMIFS(F_Inputs_APR!I$7:I$108, F_Inputs_APR!$A$7:$A$108, $A21, F_Inputs_APR!$B$7:$B$108, $B21)</f>
        <v>0</v>
      </c>
      <c r="J21" s="145" t="s">
        <v>18</v>
      </c>
      <c r="K21" s="145" t="s">
        <v>18</v>
      </c>
      <c r="L21" s="145" t="s">
        <v>18</v>
      </c>
      <c r="M21" s="145" t="s">
        <v>18</v>
      </c>
      <c r="N21" s="145" t="s">
        <v>18</v>
      </c>
      <c r="O21" s="145" t="s">
        <v>18</v>
      </c>
      <c r="P21" s="145" t="s">
        <v>18</v>
      </c>
      <c r="Q21" s="145" t="s">
        <v>18</v>
      </c>
      <c r="R21" s="145"/>
      <c r="S21" s="145"/>
      <c r="T21" s="145"/>
      <c r="U21" s="145"/>
      <c r="V21" s="145"/>
      <c r="W21" s="145"/>
      <c r="X21" s="145"/>
      <c r="Y21" s="145"/>
    </row>
    <row r="22" spans="1:25" x14ac:dyDescent="0.35">
      <c r="A22" s="142" t="s">
        <v>44</v>
      </c>
      <c r="B22" s="142" t="s">
        <v>71</v>
      </c>
      <c r="C22" s="142" t="s">
        <v>72</v>
      </c>
      <c r="D22" s="142" t="s">
        <v>34</v>
      </c>
      <c r="E22" s="142" t="s">
        <v>65</v>
      </c>
      <c r="F22" s="187">
        <f xml:space="preserve"> SUMIFS(F_Inputs_APR!F$7:F$108, F_Inputs_APR!$A$7:$A$108, $A22, F_Inputs_APR!$B$7:$B$108, $B22)</f>
        <v>0</v>
      </c>
      <c r="G22" s="187">
        <f xml:space="preserve"> SUMIFS(F_Inputs_APR!G$7:G$108, F_Inputs_APR!$A$7:$A$108, $A22, F_Inputs_APR!$B$7:$B$108, $B22)</f>
        <v>0</v>
      </c>
      <c r="H22" s="187">
        <f xml:space="preserve"> SUMIFS(F_Inputs_APR!H$7:H$108, F_Inputs_APR!$A$7:$A$108, $A22, F_Inputs_APR!$B$7:$B$108, $B22)</f>
        <v>0</v>
      </c>
      <c r="I22" s="187">
        <f xml:space="preserve"> SUMIFS(F_Inputs_APR!I$7:I$108, F_Inputs_APR!$A$7:$A$108, $A22, F_Inputs_APR!$B$7:$B$108, $B22)</f>
        <v>0</v>
      </c>
      <c r="J22" s="145" t="s">
        <v>18</v>
      </c>
      <c r="K22" s="145" t="s">
        <v>18</v>
      </c>
      <c r="L22" s="145" t="s">
        <v>18</v>
      </c>
      <c r="M22" s="145" t="s">
        <v>18</v>
      </c>
      <c r="N22" s="145" t="s">
        <v>18</v>
      </c>
      <c r="O22" s="145" t="s">
        <v>18</v>
      </c>
      <c r="P22" s="145" t="s">
        <v>18</v>
      </c>
      <c r="Q22" s="145" t="s">
        <v>18</v>
      </c>
      <c r="R22" s="145"/>
      <c r="S22" s="145"/>
      <c r="T22" s="145"/>
      <c r="U22" s="145"/>
      <c r="V22" s="145"/>
      <c r="W22" s="145"/>
      <c r="X22" s="145"/>
      <c r="Y22" s="145"/>
    </row>
    <row r="23" spans="1:25" x14ac:dyDescent="0.35">
      <c r="A23" s="142" t="s">
        <v>44</v>
      </c>
      <c r="B23" s="142" t="s">
        <v>73</v>
      </c>
      <c r="C23" s="142" t="s">
        <v>38</v>
      </c>
      <c r="D23" s="142" t="s">
        <v>39</v>
      </c>
      <c r="E23" s="142" t="s">
        <v>65</v>
      </c>
      <c r="F23" s="188">
        <f xml:space="preserve"> SUMIFS(F_Inputs_APR!F$7:F$108, F_Inputs_APR!$A$7:$A$108, $A23, F_Inputs_APR!$B$7:$B$108, $B23)</f>
        <v>0</v>
      </c>
      <c r="G23" s="188">
        <f xml:space="preserve"> SUMIFS(F_Inputs_APR!G$7:G$108, F_Inputs_APR!$A$7:$A$108, $A23, F_Inputs_APR!$B$7:$B$108, $B23)</f>
        <v>0</v>
      </c>
      <c r="H23" s="188">
        <f xml:space="preserve"> SUMIFS(F_Inputs_APR!H$7:H$108, F_Inputs_APR!$A$7:$A$108, $A23, F_Inputs_APR!$B$7:$B$108, $B23)</f>
        <v>0</v>
      </c>
      <c r="I23" s="188">
        <f xml:space="preserve"> SUMIFS(F_Inputs_APR!I$7:I$108, F_Inputs_APR!$A$7:$A$108, $A23, F_Inputs_APR!$B$7:$B$108, $B23)</f>
        <v>0</v>
      </c>
      <c r="J23" s="145" t="s">
        <v>18</v>
      </c>
      <c r="K23" s="145" t="s">
        <v>18</v>
      </c>
      <c r="L23" s="145" t="s">
        <v>18</v>
      </c>
      <c r="M23" s="145" t="s">
        <v>18</v>
      </c>
      <c r="N23" s="145" t="s">
        <v>18</v>
      </c>
      <c r="O23" s="145" t="s">
        <v>18</v>
      </c>
      <c r="P23" s="145" t="s">
        <v>18</v>
      </c>
      <c r="Q23" s="145" t="s">
        <v>18</v>
      </c>
      <c r="R23" s="145"/>
      <c r="S23" s="145"/>
      <c r="T23" s="145"/>
      <c r="U23" s="145"/>
      <c r="V23" s="145"/>
      <c r="W23" s="145"/>
      <c r="X23" s="145"/>
      <c r="Y23" s="145"/>
    </row>
    <row r="24" spans="1:25" x14ac:dyDescent="0.35">
      <c r="A24" s="142" t="s">
        <v>45</v>
      </c>
      <c r="B24" s="142" t="s">
        <v>63</v>
      </c>
      <c r="C24" s="142" t="s">
        <v>64</v>
      </c>
      <c r="D24" s="142" t="s">
        <v>34</v>
      </c>
      <c r="E24" s="142" t="s">
        <v>65</v>
      </c>
      <c r="F24" s="187">
        <f xml:space="preserve"> SUMIFS(F_Inputs_APR!F$7:F$108, F_Inputs_APR!$A$7:$A$108, $A24, F_Inputs_APR!$B$7:$B$108, $B24)</f>
        <v>0.27600000000000002</v>
      </c>
      <c r="G24" s="187">
        <f xml:space="preserve"> SUMIFS(F_Inputs_APR!G$7:G$108, F_Inputs_APR!$A$7:$A$108, $A24, F_Inputs_APR!$B$7:$B$108, $B24)</f>
        <v>0.36799999999999999</v>
      </c>
      <c r="H24" s="187">
        <f xml:space="preserve"> SUMIFS(F_Inputs_APR!H$7:H$108, F_Inputs_APR!$A$7:$A$108, $A24, F_Inputs_APR!$B$7:$B$108, $B24)</f>
        <v>0.40799999999999997</v>
      </c>
      <c r="I24" s="187">
        <f xml:space="preserve"> SUMIFS(F_Inputs_APR!I$7:I$108, F_Inputs_APR!$A$7:$A$108, $A24, F_Inputs_APR!$B$7:$B$108, $B24)</f>
        <v>0.45700000000000002</v>
      </c>
      <c r="J24" s="145" t="s">
        <v>18</v>
      </c>
      <c r="K24" s="145" t="s">
        <v>18</v>
      </c>
      <c r="L24" s="145" t="s">
        <v>18</v>
      </c>
      <c r="M24" s="145" t="s">
        <v>18</v>
      </c>
      <c r="N24" s="145" t="s">
        <v>18</v>
      </c>
      <c r="O24" s="145" t="s">
        <v>18</v>
      </c>
      <c r="P24" s="145" t="s">
        <v>18</v>
      </c>
      <c r="Q24" s="145" t="s">
        <v>18</v>
      </c>
      <c r="R24" s="144"/>
      <c r="S24" s="144"/>
      <c r="T24" s="144"/>
      <c r="U24" s="144"/>
      <c r="V24" s="144"/>
      <c r="W24" s="144"/>
      <c r="X24" s="144"/>
      <c r="Y24" s="144"/>
    </row>
    <row r="25" spans="1:25" x14ac:dyDescent="0.35">
      <c r="A25" s="142" t="s">
        <v>45</v>
      </c>
      <c r="B25" s="142" t="s">
        <v>66</v>
      </c>
      <c r="C25" s="142" t="s">
        <v>67</v>
      </c>
      <c r="D25" s="142" t="s">
        <v>34</v>
      </c>
      <c r="E25" s="142" t="s">
        <v>65</v>
      </c>
      <c r="F25" s="187">
        <f xml:space="preserve"> SUMIFS(F_Inputs_APR!F$7:F$108, F_Inputs_APR!$A$7:$A$108, $A25, F_Inputs_APR!$B$7:$B$108, $B25)</f>
        <v>0</v>
      </c>
      <c r="G25" s="187">
        <f xml:space="preserve"> SUMIFS(F_Inputs_APR!G$7:G$108, F_Inputs_APR!$A$7:$A$108, $A25, F_Inputs_APR!$B$7:$B$108, $B25)</f>
        <v>0</v>
      </c>
      <c r="H25" s="187">
        <f xml:space="preserve"> SUMIFS(F_Inputs_APR!H$7:H$108, F_Inputs_APR!$A$7:$A$108, $A25, F_Inputs_APR!$B$7:$B$108, $B25)</f>
        <v>0</v>
      </c>
      <c r="I25" s="187">
        <f xml:space="preserve"> SUMIFS(F_Inputs_APR!I$7:I$108, F_Inputs_APR!$A$7:$A$108, $A25, F_Inputs_APR!$B$7:$B$108, $B25)</f>
        <v>0</v>
      </c>
      <c r="J25" s="145" t="s">
        <v>18</v>
      </c>
      <c r="K25" s="145" t="s">
        <v>18</v>
      </c>
      <c r="L25" s="145" t="s">
        <v>18</v>
      </c>
      <c r="M25" s="145" t="s">
        <v>18</v>
      </c>
      <c r="N25" s="145" t="s">
        <v>18</v>
      </c>
      <c r="O25" s="145" t="s">
        <v>18</v>
      </c>
      <c r="P25" s="145" t="s">
        <v>18</v>
      </c>
      <c r="Q25" s="145" t="s">
        <v>18</v>
      </c>
      <c r="R25" s="145"/>
      <c r="S25" s="145"/>
      <c r="T25" s="145"/>
      <c r="U25" s="145"/>
      <c r="V25" s="145"/>
      <c r="W25" s="145"/>
      <c r="X25" s="145"/>
      <c r="Y25" s="145"/>
    </row>
    <row r="26" spans="1:25" x14ac:dyDescent="0.35">
      <c r="A26" s="142" t="s">
        <v>45</v>
      </c>
      <c r="B26" s="142" t="s">
        <v>68</v>
      </c>
      <c r="C26" s="142" t="s">
        <v>38</v>
      </c>
      <c r="D26" s="142" t="s">
        <v>39</v>
      </c>
      <c r="E26" s="142" t="s">
        <v>65</v>
      </c>
      <c r="F26" s="188">
        <f xml:space="preserve"> SUMIFS(F_Inputs_APR!F$7:F$108, F_Inputs_APR!$A$7:$A$108, $A26, F_Inputs_APR!$B$7:$B$108, $B26)</f>
        <v>8098</v>
      </c>
      <c r="G26" s="188">
        <f xml:space="preserve"> SUMIFS(F_Inputs_APR!G$7:G$108, F_Inputs_APR!$A$7:$A$108, $A26, F_Inputs_APR!$B$7:$B$108, $B26)</f>
        <v>9115</v>
      </c>
      <c r="H26" s="188">
        <f xml:space="preserve"> SUMIFS(F_Inputs_APR!H$7:H$108, F_Inputs_APR!$A$7:$A$108, $A26, F_Inputs_APR!$B$7:$B$108, $B26)</f>
        <v>9165</v>
      </c>
      <c r="I26" s="188">
        <f xml:space="preserve"> SUMIFS(F_Inputs_APR!I$7:I$108, F_Inputs_APR!$A$7:$A$108, $A26, F_Inputs_APR!$B$7:$B$108, $B26)</f>
        <v>8276</v>
      </c>
      <c r="J26" s="145" t="s">
        <v>18</v>
      </c>
      <c r="K26" s="145" t="s">
        <v>18</v>
      </c>
      <c r="L26" s="145" t="s">
        <v>18</v>
      </c>
      <c r="M26" s="145" t="s">
        <v>18</v>
      </c>
      <c r="N26" s="145" t="s">
        <v>18</v>
      </c>
      <c r="O26" s="145" t="s">
        <v>18</v>
      </c>
      <c r="P26" s="145" t="s">
        <v>18</v>
      </c>
      <c r="Q26" s="145" t="s">
        <v>18</v>
      </c>
      <c r="R26" s="145"/>
      <c r="S26" s="145"/>
      <c r="T26" s="145"/>
      <c r="U26" s="145"/>
      <c r="V26" s="145"/>
      <c r="W26" s="145"/>
      <c r="X26" s="145"/>
      <c r="Y26" s="145"/>
    </row>
    <row r="27" spans="1:25" x14ac:dyDescent="0.35">
      <c r="A27" s="142" t="s">
        <v>45</v>
      </c>
      <c r="B27" s="142" t="s">
        <v>69</v>
      </c>
      <c r="C27" s="142" t="s">
        <v>70</v>
      </c>
      <c r="D27" s="142" t="s">
        <v>34</v>
      </c>
      <c r="E27" s="142" t="s">
        <v>65</v>
      </c>
      <c r="F27" s="187">
        <f xml:space="preserve"> SUMIFS(F_Inputs_APR!F$7:F$108, F_Inputs_APR!$A$7:$A$108, $A27, F_Inputs_APR!$B$7:$B$108, $B27)</f>
        <v>0.128</v>
      </c>
      <c r="G27" s="187">
        <f xml:space="preserve"> SUMIFS(F_Inputs_APR!G$7:G$108, F_Inputs_APR!$A$7:$A$108, $A27, F_Inputs_APR!$B$7:$B$108, $B27)</f>
        <v>3.4000000000000002E-2</v>
      </c>
      <c r="H27" s="187">
        <f xml:space="preserve"> SUMIFS(F_Inputs_APR!H$7:H$108, F_Inputs_APR!$A$7:$A$108, $A27, F_Inputs_APR!$B$7:$B$108, $B27)</f>
        <v>2.1000000000000001E-2</v>
      </c>
      <c r="I27" s="187">
        <f xml:space="preserve"> SUMIFS(F_Inputs_APR!I$7:I$108, F_Inputs_APR!$A$7:$A$108, $A27, F_Inputs_APR!$B$7:$B$108, $B27)</f>
        <v>1.4999999999999999E-2</v>
      </c>
      <c r="J27" s="145" t="s">
        <v>18</v>
      </c>
      <c r="K27" s="145" t="s">
        <v>18</v>
      </c>
      <c r="L27" s="145" t="s">
        <v>18</v>
      </c>
      <c r="M27" s="145" t="s">
        <v>18</v>
      </c>
      <c r="N27" s="145" t="s">
        <v>18</v>
      </c>
      <c r="O27" s="145" t="s">
        <v>18</v>
      </c>
      <c r="P27" s="145" t="s">
        <v>18</v>
      </c>
      <c r="Q27" s="145" t="s">
        <v>18</v>
      </c>
      <c r="R27" s="145"/>
      <c r="S27" s="145"/>
      <c r="T27" s="145"/>
      <c r="U27" s="145"/>
      <c r="V27" s="145"/>
      <c r="W27" s="145"/>
      <c r="X27" s="145"/>
      <c r="Y27" s="145"/>
    </row>
    <row r="28" spans="1:25" x14ac:dyDescent="0.35">
      <c r="A28" s="142" t="s">
        <v>45</v>
      </c>
      <c r="B28" s="142" t="s">
        <v>71</v>
      </c>
      <c r="C28" s="142" t="s">
        <v>72</v>
      </c>
      <c r="D28" s="142" t="s">
        <v>34</v>
      </c>
      <c r="E28" s="142" t="s">
        <v>65</v>
      </c>
      <c r="F28" s="187">
        <f xml:space="preserve"> SUMIFS(F_Inputs_APR!F$7:F$108, F_Inputs_APR!$A$7:$A$108, $A28, F_Inputs_APR!$B$7:$B$108, $B28)</f>
        <v>0</v>
      </c>
      <c r="G28" s="187">
        <f xml:space="preserve"> SUMIFS(F_Inputs_APR!G$7:G$108, F_Inputs_APR!$A$7:$A$108, $A28, F_Inputs_APR!$B$7:$B$108, $B28)</f>
        <v>0</v>
      </c>
      <c r="H28" s="187">
        <f xml:space="preserve"> SUMIFS(F_Inputs_APR!H$7:H$108, F_Inputs_APR!$A$7:$A$108, $A28, F_Inputs_APR!$B$7:$B$108, $B28)</f>
        <v>0</v>
      </c>
      <c r="I28" s="187">
        <f xml:space="preserve"> SUMIFS(F_Inputs_APR!I$7:I$108, F_Inputs_APR!$A$7:$A$108, $A28, F_Inputs_APR!$B$7:$B$108, $B28)</f>
        <v>0</v>
      </c>
      <c r="J28" s="145" t="s">
        <v>18</v>
      </c>
      <c r="K28" s="145" t="s">
        <v>18</v>
      </c>
      <c r="L28" s="145" t="s">
        <v>18</v>
      </c>
      <c r="M28" s="145" t="s">
        <v>18</v>
      </c>
      <c r="N28" s="145" t="s">
        <v>18</v>
      </c>
      <c r="O28" s="145" t="s">
        <v>18</v>
      </c>
      <c r="P28" s="145" t="s">
        <v>18</v>
      </c>
      <c r="Q28" s="145" t="s">
        <v>18</v>
      </c>
      <c r="R28" s="145"/>
      <c r="S28" s="145"/>
      <c r="T28" s="145"/>
      <c r="U28" s="145"/>
      <c r="V28" s="145"/>
      <c r="W28" s="145"/>
      <c r="X28" s="145"/>
      <c r="Y28" s="145"/>
    </row>
    <row r="29" spans="1:25" x14ac:dyDescent="0.35">
      <c r="A29" s="142" t="s">
        <v>45</v>
      </c>
      <c r="B29" s="142" t="s">
        <v>73</v>
      </c>
      <c r="C29" s="142" t="s">
        <v>38</v>
      </c>
      <c r="D29" s="142" t="s">
        <v>39</v>
      </c>
      <c r="E29" s="142" t="s">
        <v>65</v>
      </c>
      <c r="F29" s="188">
        <f xml:space="preserve"> SUMIFS(F_Inputs_APR!F$7:F$108, F_Inputs_APR!$A$7:$A$108, $A29, F_Inputs_APR!$B$7:$B$108, $B29)</f>
        <v>5957</v>
      </c>
      <c r="G29" s="188">
        <f xml:space="preserve"> SUMIFS(F_Inputs_APR!G$7:G$108, F_Inputs_APR!$A$7:$A$108, $A29, F_Inputs_APR!$B$7:$B$108, $B29)</f>
        <v>747</v>
      </c>
      <c r="H29" s="188">
        <f xml:space="preserve"> SUMIFS(F_Inputs_APR!H$7:H$108, F_Inputs_APR!$A$7:$A$108, $A29, F_Inputs_APR!$B$7:$B$108, $B29)</f>
        <v>402</v>
      </c>
      <c r="I29" s="188">
        <f xml:space="preserve"> SUMIFS(F_Inputs_APR!I$7:I$108, F_Inputs_APR!$A$7:$A$108, $A29, F_Inputs_APR!$B$7:$B$108, $B29)</f>
        <v>209</v>
      </c>
      <c r="J29" s="145" t="s">
        <v>18</v>
      </c>
      <c r="K29" s="145" t="s">
        <v>18</v>
      </c>
      <c r="L29" s="145" t="s">
        <v>18</v>
      </c>
      <c r="M29" s="145" t="s">
        <v>18</v>
      </c>
      <c r="N29" s="145" t="s">
        <v>18</v>
      </c>
      <c r="O29" s="145" t="s">
        <v>18</v>
      </c>
      <c r="P29" s="145" t="s">
        <v>18</v>
      </c>
      <c r="Q29" s="145" t="s">
        <v>18</v>
      </c>
      <c r="R29" s="145"/>
      <c r="S29" s="145"/>
      <c r="T29" s="145"/>
      <c r="U29" s="145"/>
      <c r="V29" s="145"/>
      <c r="W29" s="145"/>
      <c r="X29" s="145"/>
      <c r="Y29" s="145"/>
    </row>
    <row r="30" spans="1:25" x14ac:dyDescent="0.35">
      <c r="A30" s="142" t="s">
        <v>46</v>
      </c>
      <c r="B30" s="142" t="s">
        <v>63</v>
      </c>
      <c r="C30" s="142" t="s">
        <v>64</v>
      </c>
      <c r="D30" s="142" t="s">
        <v>34</v>
      </c>
      <c r="E30" s="142" t="s">
        <v>65</v>
      </c>
      <c r="F30" s="187">
        <f xml:space="preserve"> SUMIFS(F_Inputs_APR!F$7:F$108, F_Inputs_APR!$A$7:$A$108, $A30, F_Inputs_APR!$B$7:$B$108, $B30)</f>
        <v>2.3069999999999999</v>
      </c>
      <c r="G30" s="187">
        <f xml:space="preserve"> SUMIFS(F_Inputs_APR!G$7:G$108, F_Inputs_APR!$A$7:$A$108, $A30, F_Inputs_APR!$B$7:$B$108, $B30)</f>
        <v>2.2330000000000001</v>
      </c>
      <c r="H30" s="187">
        <f xml:space="preserve"> SUMIFS(F_Inputs_APR!H$7:H$108, F_Inputs_APR!$A$7:$A$108, $A30, F_Inputs_APR!$B$7:$B$108, $B30)</f>
        <v>2.6629999999999998</v>
      </c>
      <c r="I30" s="187">
        <f xml:space="preserve"> SUMIFS(F_Inputs_APR!I$7:I$108, F_Inputs_APR!$A$7:$A$108, $A30, F_Inputs_APR!$B$7:$B$108, $B30)</f>
        <v>2.84</v>
      </c>
      <c r="J30" s="145" t="s">
        <v>18</v>
      </c>
      <c r="K30" s="145" t="s">
        <v>18</v>
      </c>
      <c r="L30" s="145" t="s">
        <v>18</v>
      </c>
      <c r="M30" s="145" t="s">
        <v>18</v>
      </c>
      <c r="N30" s="145" t="s">
        <v>18</v>
      </c>
      <c r="O30" s="145" t="s">
        <v>18</v>
      </c>
      <c r="P30" s="145" t="s">
        <v>18</v>
      </c>
      <c r="Q30" s="145" t="s">
        <v>18</v>
      </c>
      <c r="R30" s="144"/>
      <c r="S30" s="144"/>
      <c r="T30" s="144"/>
      <c r="U30" s="144"/>
      <c r="V30" s="144"/>
      <c r="W30" s="144"/>
      <c r="X30" s="144"/>
      <c r="Y30" s="144"/>
    </row>
    <row r="31" spans="1:25" x14ac:dyDescent="0.35">
      <c r="A31" s="142" t="s">
        <v>46</v>
      </c>
      <c r="B31" s="142" t="s">
        <v>66</v>
      </c>
      <c r="C31" s="142" t="s">
        <v>67</v>
      </c>
      <c r="D31" s="142" t="s">
        <v>34</v>
      </c>
      <c r="E31" s="142" t="s">
        <v>65</v>
      </c>
      <c r="F31" s="187">
        <f xml:space="preserve"> SUMIFS(F_Inputs_APR!F$7:F$108, F_Inputs_APR!$A$7:$A$108, $A31, F_Inputs_APR!$B$7:$B$108, $B31)</f>
        <v>0</v>
      </c>
      <c r="G31" s="187">
        <f xml:space="preserve"> SUMIFS(F_Inputs_APR!G$7:G$108, F_Inputs_APR!$A$7:$A$108, $A31, F_Inputs_APR!$B$7:$B$108, $B31)</f>
        <v>0</v>
      </c>
      <c r="H31" s="187">
        <f xml:space="preserve"> SUMIFS(F_Inputs_APR!H$7:H$108, F_Inputs_APR!$A$7:$A$108, $A31, F_Inputs_APR!$B$7:$B$108, $B31)</f>
        <v>0</v>
      </c>
      <c r="I31" s="187">
        <f xml:space="preserve"> SUMIFS(F_Inputs_APR!I$7:I$108, F_Inputs_APR!$A$7:$A$108, $A31, F_Inputs_APR!$B$7:$B$108, $B31)</f>
        <v>0</v>
      </c>
      <c r="J31" s="145" t="s">
        <v>18</v>
      </c>
      <c r="K31" s="145" t="s">
        <v>18</v>
      </c>
      <c r="L31" s="145" t="s">
        <v>18</v>
      </c>
      <c r="M31" s="145" t="s">
        <v>18</v>
      </c>
      <c r="N31" s="145" t="s">
        <v>18</v>
      </c>
      <c r="O31" s="145" t="s">
        <v>18</v>
      </c>
      <c r="P31" s="145" t="s">
        <v>18</v>
      </c>
      <c r="Q31" s="145" t="s">
        <v>18</v>
      </c>
      <c r="R31" s="145"/>
      <c r="S31" s="145"/>
      <c r="T31" s="145"/>
      <c r="U31" s="145"/>
      <c r="V31" s="145"/>
      <c r="W31" s="145"/>
      <c r="X31" s="145"/>
      <c r="Y31" s="145"/>
    </row>
    <row r="32" spans="1:25" x14ac:dyDescent="0.35">
      <c r="A32" s="142" t="s">
        <v>46</v>
      </c>
      <c r="B32" s="142" t="s">
        <v>68</v>
      </c>
      <c r="C32" s="142" t="s">
        <v>38</v>
      </c>
      <c r="D32" s="142" t="s">
        <v>39</v>
      </c>
      <c r="E32" s="142" t="s">
        <v>65</v>
      </c>
      <c r="F32" s="188">
        <f xml:space="preserve"> SUMIFS(F_Inputs_APR!F$7:F$108, F_Inputs_APR!$A$7:$A$108, $A32, F_Inputs_APR!$B$7:$B$108, $B32)</f>
        <v>776</v>
      </c>
      <c r="G32" s="188">
        <f xml:space="preserve"> SUMIFS(F_Inputs_APR!G$7:G$108, F_Inputs_APR!$A$7:$A$108, $A32, F_Inputs_APR!$B$7:$B$108, $B32)</f>
        <v>38726.417334310201</v>
      </c>
      <c r="H32" s="188">
        <f xml:space="preserve"> SUMIFS(F_Inputs_APR!H$7:H$108, F_Inputs_APR!$A$7:$A$108, $A32, F_Inputs_APR!$B$7:$B$108, $B32)</f>
        <v>58066</v>
      </c>
      <c r="I32" s="188">
        <f xml:space="preserve"> SUMIFS(F_Inputs_APR!I$7:I$108, F_Inputs_APR!$A$7:$A$108, $A32, F_Inputs_APR!$B$7:$B$108, $B32)</f>
        <v>52949.358</v>
      </c>
      <c r="J32" s="145" t="s">
        <v>18</v>
      </c>
      <c r="K32" s="145" t="s">
        <v>18</v>
      </c>
      <c r="L32" s="145" t="s">
        <v>18</v>
      </c>
      <c r="M32" s="145" t="s">
        <v>18</v>
      </c>
      <c r="N32" s="145" t="s">
        <v>18</v>
      </c>
      <c r="O32" s="145" t="s">
        <v>18</v>
      </c>
      <c r="P32" s="145" t="s">
        <v>18</v>
      </c>
      <c r="Q32" s="145" t="s">
        <v>18</v>
      </c>
      <c r="R32" s="145"/>
      <c r="S32" s="145"/>
      <c r="T32" s="145"/>
      <c r="U32" s="145"/>
      <c r="V32" s="145"/>
      <c r="W32" s="145"/>
      <c r="X32" s="145"/>
      <c r="Y32" s="145"/>
    </row>
    <row r="33" spans="1:25" x14ac:dyDescent="0.35">
      <c r="A33" s="142" t="s">
        <v>46</v>
      </c>
      <c r="B33" s="142" t="s">
        <v>69</v>
      </c>
      <c r="C33" s="142" t="s">
        <v>70</v>
      </c>
      <c r="D33" s="142" t="s">
        <v>34</v>
      </c>
      <c r="E33" s="142" t="s">
        <v>65</v>
      </c>
      <c r="F33" s="187">
        <f xml:space="preserve"> SUMIFS(F_Inputs_APR!F$7:F$108, F_Inputs_APR!$A$7:$A$108, $A33, F_Inputs_APR!$B$7:$B$108, $B33)</f>
        <v>7.2999999999999995E-2</v>
      </c>
      <c r="G33" s="187">
        <f xml:space="preserve"> SUMIFS(F_Inputs_APR!G$7:G$108, F_Inputs_APR!$A$7:$A$108, $A33, F_Inputs_APR!$B$7:$B$108, $B33)</f>
        <v>0.191</v>
      </c>
      <c r="H33" s="187">
        <f xml:space="preserve"> SUMIFS(F_Inputs_APR!H$7:H$108, F_Inputs_APR!$A$7:$A$108, $A33, F_Inputs_APR!$B$7:$B$108, $B33)</f>
        <v>5.1999999999999998E-2</v>
      </c>
      <c r="I33" s="187">
        <f xml:space="preserve"> SUMIFS(F_Inputs_APR!I$7:I$108, F_Inputs_APR!$A$7:$A$108, $A33, F_Inputs_APR!$B$7:$B$108, $B33)</f>
        <v>0.32500000000000001</v>
      </c>
      <c r="J33" s="145" t="s">
        <v>18</v>
      </c>
      <c r="K33" s="145" t="s">
        <v>18</v>
      </c>
      <c r="L33" s="145" t="s">
        <v>18</v>
      </c>
      <c r="M33" s="145" t="s">
        <v>18</v>
      </c>
      <c r="N33" s="145" t="s">
        <v>18</v>
      </c>
      <c r="O33" s="145" t="s">
        <v>18</v>
      </c>
      <c r="P33" s="145" t="s">
        <v>18</v>
      </c>
      <c r="Q33" s="145" t="s">
        <v>18</v>
      </c>
      <c r="R33" s="145"/>
      <c r="S33" s="145"/>
      <c r="T33" s="145"/>
      <c r="U33" s="145"/>
      <c r="V33" s="145"/>
      <c r="W33" s="145"/>
      <c r="X33" s="145"/>
      <c r="Y33" s="145"/>
    </row>
    <row r="34" spans="1:25" x14ac:dyDescent="0.35">
      <c r="A34" s="142" t="s">
        <v>46</v>
      </c>
      <c r="B34" s="142" t="s">
        <v>71</v>
      </c>
      <c r="C34" s="142" t="s">
        <v>72</v>
      </c>
      <c r="D34" s="142" t="s">
        <v>34</v>
      </c>
      <c r="E34" s="142" t="s">
        <v>65</v>
      </c>
      <c r="F34" s="187">
        <f xml:space="preserve"> SUMIFS(F_Inputs_APR!F$7:F$108, F_Inputs_APR!$A$7:$A$108, $A34, F_Inputs_APR!$B$7:$B$108, $B34)</f>
        <v>0</v>
      </c>
      <c r="G34" s="187">
        <f xml:space="preserve"> SUMIFS(F_Inputs_APR!G$7:G$108, F_Inputs_APR!$A$7:$A$108, $A34, F_Inputs_APR!$B$7:$B$108, $B34)</f>
        <v>0</v>
      </c>
      <c r="H34" s="187">
        <f xml:space="preserve"> SUMIFS(F_Inputs_APR!H$7:H$108, F_Inputs_APR!$A$7:$A$108, $A34, F_Inputs_APR!$B$7:$B$108, $B34)</f>
        <v>0</v>
      </c>
      <c r="I34" s="187">
        <f xml:space="preserve"> SUMIFS(F_Inputs_APR!I$7:I$108, F_Inputs_APR!$A$7:$A$108, $A34, F_Inputs_APR!$B$7:$B$108, $B34)</f>
        <v>0</v>
      </c>
      <c r="J34" s="145" t="s">
        <v>18</v>
      </c>
      <c r="K34" s="145" t="s">
        <v>18</v>
      </c>
      <c r="L34" s="145" t="s">
        <v>18</v>
      </c>
      <c r="M34" s="145" t="s">
        <v>18</v>
      </c>
      <c r="N34" s="145" t="s">
        <v>18</v>
      </c>
      <c r="O34" s="145" t="s">
        <v>18</v>
      </c>
      <c r="P34" s="145" t="s">
        <v>18</v>
      </c>
      <c r="Q34" s="145" t="s">
        <v>18</v>
      </c>
      <c r="R34" s="145"/>
      <c r="S34" s="145"/>
      <c r="T34" s="145"/>
      <c r="U34" s="145"/>
      <c r="V34" s="145"/>
      <c r="W34" s="145"/>
      <c r="X34" s="145"/>
      <c r="Y34" s="145"/>
    </row>
    <row r="35" spans="1:25" x14ac:dyDescent="0.35">
      <c r="A35" s="142" t="s">
        <v>46</v>
      </c>
      <c r="B35" s="142" t="s">
        <v>73</v>
      </c>
      <c r="C35" s="142" t="s">
        <v>38</v>
      </c>
      <c r="D35" s="142" t="s">
        <v>39</v>
      </c>
      <c r="E35" s="142" t="s">
        <v>65</v>
      </c>
      <c r="F35" s="188">
        <f xml:space="preserve"> SUMIFS(F_Inputs_APR!F$7:F$108, F_Inputs_APR!$A$7:$A$108, $A35, F_Inputs_APR!$B$7:$B$108, $B35)</f>
        <v>24</v>
      </c>
      <c r="G35" s="188">
        <f xml:space="preserve"> SUMIFS(F_Inputs_APR!G$7:G$108, F_Inputs_APR!$A$7:$A$108, $A35, F_Inputs_APR!$B$7:$B$108, $B35)</f>
        <v>2142.5826656898398</v>
      </c>
      <c r="H35" s="188">
        <f xml:space="preserve"> SUMIFS(F_Inputs_APR!H$7:H$108, F_Inputs_APR!$A$7:$A$108, $A35, F_Inputs_APR!$B$7:$B$108, $B35)</f>
        <v>178</v>
      </c>
      <c r="I35" s="188">
        <f xml:space="preserve"> SUMIFS(F_Inputs_APR!I$7:I$108, F_Inputs_APR!$A$7:$A$108, $A35, F_Inputs_APR!$B$7:$B$108, $B35)</f>
        <v>7971.6419999999998</v>
      </c>
      <c r="J35" s="145" t="s">
        <v>18</v>
      </c>
      <c r="K35" s="145" t="s">
        <v>18</v>
      </c>
      <c r="L35" s="145" t="s">
        <v>18</v>
      </c>
      <c r="M35" s="145" t="s">
        <v>18</v>
      </c>
      <c r="N35" s="145" t="s">
        <v>18</v>
      </c>
      <c r="O35" s="145" t="s">
        <v>18</v>
      </c>
      <c r="P35" s="145" t="s">
        <v>18</v>
      </c>
      <c r="Q35" s="145" t="s">
        <v>18</v>
      </c>
      <c r="R35" s="145"/>
      <c r="S35" s="145"/>
      <c r="T35" s="145"/>
      <c r="U35" s="145"/>
      <c r="V35" s="145"/>
      <c r="W35" s="145"/>
      <c r="X35" s="145"/>
      <c r="Y35" s="145"/>
    </row>
    <row r="36" spans="1:25" x14ac:dyDescent="0.35">
      <c r="A36" s="142" t="s">
        <v>47</v>
      </c>
      <c r="B36" s="142" t="s">
        <v>63</v>
      </c>
      <c r="C36" s="142" t="s">
        <v>64</v>
      </c>
      <c r="D36" s="142" t="s">
        <v>34</v>
      </c>
      <c r="E36" s="142" t="s">
        <v>65</v>
      </c>
      <c r="F36" s="187">
        <f xml:space="preserve"> SUMIFS(F_Inputs_APR!F$7:F$108, F_Inputs_APR!$A$7:$A$108, $A36, F_Inputs_APR!$B$7:$B$108, $B36)</f>
        <v>0</v>
      </c>
      <c r="G36" s="187">
        <f xml:space="preserve"> SUMIFS(F_Inputs_APR!G$7:G$108, F_Inputs_APR!$A$7:$A$108, $A36, F_Inputs_APR!$B$7:$B$108, $B36)</f>
        <v>4.7E-2</v>
      </c>
      <c r="H36" s="187">
        <f xml:space="preserve"> SUMIFS(F_Inputs_APR!H$7:H$108, F_Inputs_APR!$A$7:$A$108, $A36, F_Inputs_APR!$B$7:$B$108, $B36)</f>
        <v>0.20899999999999999</v>
      </c>
      <c r="I36" s="187">
        <f xml:space="preserve"> SUMIFS(F_Inputs_APR!I$7:I$108, F_Inputs_APR!$A$7:$A$108, $A36, F_Inputs_APR!$B$7:$B$108, $B36)</f>
        <v>0.83399999999999996</v>
      </c>
      <c r="J36" s="145" t="s">
        <v>18</v>
      </c>
      <c r="K36" s="145" t="s">
        <v>18</v>
      </c>
      <c r="L36" s="145" t="s">
        <v>18</v>
      </c>
      <c r="M36" s="145" t="s">
        <v>18</v>
      </c>
      <c r="N36" s="145" t="s">
        <v>18</v>
      </c>
      <c r="O36" s="145" t="s">
        <v>18</v>
      </c>
      <c r="P36" s="145" t="s">
        <v>18</v>
      </c>
      <c r="Q36" s="145" t="s">
        <v>18</v>
      </c>
      <c r="R36" s="144"/>
      <c r="S36" s="144"/>
      <c r="T36" s="144"/>
      <c r="U36" s="144"/>
      <c r="V36" s="144"/>
      <c r="W36" s="144"/>
      <c r="X36" s="144"/>
      <c r="Y36" s="144"/>
    </row>
    <row r="37" spans="1:25" x14ac:dyDescent="0.35">
      <c r="A37" s="142" t="s">
        <v>47</v>
      </c>
      <c r="B37" s="142" t="s">
        <v>66</v>
      </c>
      <c r="C37" s="142" t="s">
        <v>67</v>
      </c>
      <c r="D37" s="142" t="s">
        <v>34</v>
      </c>
      <c r="E37" s="142" t="s">
        <v>65</v>
      </c>
      <c r="F37" s="187">
        <f xml:space="preserve"> SUMIFS(F_Inputs_APR!F$7:F$108, F_Inputs_APR!$A$7:$A$108, $A37, F_Inputs_APR!$B$7:$B$108, $B37)</f>
        <v>0</v>
      </c>
      <c r="G37" s="187">
        <f xml:space="preserve"> SUMIFS(F_Inputs_APR!G$7:G$108, F_Inputs_APR!$A$7:$A$108, $A37, F_Inputs_APR!$B$7:$B$108, $B37)</f>
        <v>0</v>
      </c>
      <c r="H37" s="187">
        <f xml:space="preserve"> SUMIFS(F_Inputs_APR!H$7:H$108, F_Inputs_APR!$A$7:$A$108, $A37, F_Inputs_APR!$B$7:$B$108, $B37)</f>
        <v>0</v>
      </c>
      <c r="I37" s="187">
        <f xml:space="preserve"> SUMIFS(F_Inputs_APR!I$7:I$108, F_Inputs_APR!$A$7:$A$108, $A37, F_Inputs_APR!$B$7:$B$108, $B37)</f>
        <v>0</v>
      </c>
      <c r="J37" s="145" t="s">
        <v>18</v>
      </c>
      <c r="K37" s="145" t="s">
        <v>18</v>
      </c>
      <c r="L37" s="145" t="s">
        <v>18</v>
      </c>
      <c r="M37" s="145" t="s">
        <v>18</v>
      </c>
      <c r="N37" s="145" t="s">
        <v>18</v>
      </c>
      <c r="O37" s="145" t="s">
        <v>18</v>
      </c>
      <c r="P37" s="145" t="s">
        <v>18</v>
      </c>
      <c r="Q37" s="145" t="s">
        <v>18</v>
      </c>
      <c r="R37" s="145"/>
      <c r="S37" s="145"/>
      <c r="T37" s="145"/>
      <c r="U37" s="145"/>
      <c r="V37" s="145"/>
      <c r="W37" s="145"/>
      <c r="X37" s="145"/>
      <c r="Y37" s="145"/>
    </row>
    <row r="38" spans="1:25" x14ac:dyDescent="0.35">
      <c r="A38" s="142" t="s">
        <v>47</v>
      </c>
      <c r="B38" s="142" t="s">
        <v>68</v>
      </c>
      <c r="C38" s="142" t="s">
        <v>38</v>
      </c>
      <c r="D38" s="142" t="s">
        <v>39</v>
      </c>
      <c r="E38" s="142" t="s">
        <v>65</v>
      </c>
      <c r="F38" s="188">
        <f xml:space="preserve"> SUMIFS(F_Inputs_APR!F$7:F$108, F_Inputs_APR!$A$7:$A$108, $A38, F_Inputs_APR!$B$7:$B$108, $B38)</f>
        <v>0</v>
      </c>
      <c r="G38" s="188">
        <f xml:space="preserve"> SUMIFS(F_Inputs_APR!G$7:G$108, F_Inputs_APR!$A$7:$A$108, $A38, F_Inputs_APR!$B$7:$B$108, $B38)</f>
        <v>0</v>
      </c>
      <c r="H38" s="188">
        <f xml:space="preserve"> SUMIFS(F_Inputs_APR!H$7:H$108, F_Inputs_APR!$A$7:$A$108, $A38, F_Inputs_APR!$B$7:$B$108, $B38)</f>
        <v>0</v>
      </c>
      <c r="I38" s="188">
        <f xml:space="preserve"> SUMIFS(F_Inputs_APR!I$7:I$108, F_Inputs_APR!$A$7:$A$108, $A38, F_Inputs_APR!$B$7:$B$108, $B38)</f>
        <v>4597</v>
      </c>
      <c r="J38" s="145" t="s">
        <v>18</v>
      </c>
      <c r="K38" s="145" t="s">
        <v>18</v>
      </c>
      <c r="L38" s="145" t="s">
        <v>18</v>
      </c>
      <c r="M38" s="145" t="s">
        <v>18</v>
      </c>
      <c r="N38" s="145" t="s">
        <v>18</v>
      </c>
      <c r="O38" s="145" t="s">
        <v>18</v>
      </c>
      <c r="P38" s="145" t="s">
        <v>18</v>
      </c>
      <c r="Q38" s="145" t="s">
        <v>18</v>
      </c>
      <c r="R38" s="145"/>
      <c r="S38" s="145"/>
      <c r="T38" s="145"/>
      <c r="U38" s="145"/>
      <c r="V38" s="145"/>
      <c r="W38" s="145"/>
      <c r="X38" s="145"/>
      <c r="Y38" s="145"/>
    </row>
    <row r="39" spans="1:25" x14ac:dyDescent="0.35">
      <c r="A39" s="142" t="s">
        <v>47</v>
      </c>
      <c r="B39" s="142" t="s">
        <v>69</v>
      </c>
      <c r="C39" s="142" t="s">
        <v>70</v>
      </c>
      <c r="D39" s="142" t="s">
        <v>34</v>
      </c>
      <c r="E39" s="142" t="s">
        <v>65</v>
      </c>
      <c r="F39" s="187">
        <f xml:space="preserve"> SUMIFS(F_Inputs_APR!F$7:F$108, F_Inputs_APR!$A$7:$A$108, $A39, F_Inputs_APR!$B$7:$B$108, $B39)</f>
        <v>0</v>
      </c>
      <c r="G39" s="187">
        <f xml:space="preserve"> SUMIFS(F_Inputs_APR!G$7:G$108, F_Inputs_APR!$A$7:$A$108, $A39, F_Inputs_APR!$B$7:$B$108, $B39)</f>
        <v>8.0000000000000002E-3</v>
      </c>
      <c r="H39" s="187">
        <f xml:space="preserve"> SUMIFS(F_Inputs_APR!H$7:H$108, F_Inputs_APR!$A$7:$A$108, $A39, F_Inputs_APR!$B$7:$B$108, $B39)</f>
        <v>3.0000000000000001E-3</v>
      </c>
      <c r="I39" s="187">
        <f xml:space="preserve"> SUMIFS(F_Inputs_APR!I$7:I$108, F_Inputs_APR!$A$7:$A$108, $A39, F_Inputs_APR!$B$7:$B$108, $B39)</f>
        <v>0</v>
      </c>
      <c r="J39" s="145" t="s">
        <v>18</v>
      </c>
      <c r="K39" s="145" t="s">
        <v>18</v>
      </c>
      <c r="L39" s="145" t="s">
        <v>18</v>
      </c>
      <c r="M39" s="145" t="s">
        <v>18</v>
      </c>
      <c r="N39" s="145" t="s">
        <v>18</v>
      </c>
      <c r="O39" s="145" t="s">
        <v>18</v>
      </c>
      <c r="P39" s="145" t="s">
        <v>18</v>
      </c>
      <c r="Q39" s="145" t="s">
        <v>18</v>
      </c>
      <c r="R39" s="145"/>
      <c r="S39" s="145"/>
      <c r="T39" s="145"/>
      <c r="U39" s="145"/>
      <c r="V39" s="145"/>
      <c r="W39" s="145"/>
      <c r="X39" s="145"/>
      <c r="Y39" s="145"/>
    </row>
    <row r="40" spans="1:25" x14ac:dyDescent="0.35">
      <c r="A40" s="142" t="s">
        <v>47</v>
      </c>
      <c r="B40" s="142" t="s">
        <v>71</v>
      </c>
      <c r="C40" s="142" t="s">
        <v>72</v>
      </c>
      <c r="D40" s="142" t="s">
        <v>34</v>
      </c>
      <c r="E40" s="142" t="s">
        <v>65</v>
      </c>
      <c r="F40" s="187">
        <f xml:space="preserve"> SUMIFS(F_Inputs_APR!F$7:F$108, F_Inputs_APR!$A$7:$A$108, $A40, F_Inputs_APR!$B$7:$B$108, $B40)</f>
        <v>0</v>
      </c>
      <c r="G40" s="187">
        <f xml:space="preserve"> SUMIFS(F_Inputs_APR!G$7:G$108, F_Inputs_APR!$A$7:$A$108, $A40, F_Inputs_APR!$B$7:$B$108, $B40)</f>
        <v>0</v>
      </c>
      <c r="H40" s="187">
        <f xml:space="preserve"> SUMIFS(F_Inputs_APR!H$7:H$108, F_Inputs_APR!$A$7:$A$108, $A40, F_Inputs_APR!$B$7:$B$108, $B40)</f>
        <v>0</v>
      </c>
      <c r="I40" s="187">
        <f xml:space="preserve"> SUMIFS(F_Inputs_APR!I$7:I$108, F_Inputs_APR!$A$7:$A$108, $A40, F_Inputs_APR!$B$7:$B$108, $B40)</f>
        <v>0</v>
      </c>
      <c r="J40" s="145" t="s">
        <v>18</v>
      </c>
      <c r="K40" s="145" t="s">
        <v>18</v>
      </c>
      <c r="L40" s="145" t="s">
        <v>18</v>
      </c>
      <c r="M40" s="145" t="s">
        <v>18</v>
      </c>
      <c r="N40" s="145" t="s">
        <v>18</v>
      </c>
      <c r="O40" s="145" t="s">
        <v>18</v>
      </c>
      <c r="P40" s="145" t="s">
        <v>18</v>
      </c>
      <c r="Q40" s="145" t="s">
        <v>18</v>
      </c>
      <c r="R40" s="145"/>
      <c r="S40" s="145"/>
      <c r="T40" s="145"/>
      <c r="U40" s="145"/>
      <c r="V40" s="145"/>
      <c r="W40" s="145"/>
      <c r="X40" s="145"/>
      <c r="Y40" s="145"/>
    </row>
    <row r="41" spans="1:25" x14ac:dyDescent="0.35">
      <c r="A41" s="142" t="s">
        <v>47</v>
      </c>
      <c r="B41" s="142" t="s">
        <v>73</v>
      </c>
      <c r="C41" s="142" t="s">
        <v>38</v>
      </c>
      <c r="D41" s="142" t="s">
        <v>39</v>
      </c>
      <c r="E41" s="142" t="s">
        <v>65</v>
      </c>
      <c r="F41" s="188">
        <f xml:space="preserve"> SUMIFS(F_Inputs_APR!F$7:F$108, F_Inputs_APR!$A$7:$A$108, $A41, F_Inputs_APR!$B$7:$B$108, $B41)</f>
        <v>0</v>
      </c>
      <c r="G41" s="188">
        <f xml:space="preserve"> SUMIFS(F_Inputs_APR!G$7:G$108, F_Inputs_APR!$A$7:$A$108, $A41, F_Inputs_APR!$B$7:$B$108, $B41)</f>
        <v>0</v>
      </c>
      <c r="H41" s="188">
        <f xml:space="preserve"> SUMIFS(F_Inputs_APR!H$7:H$108, F_Inputs_APR!$A$7:$A$108, $A41, F_Inputs_APR!$B$7:$B$108, $B41)</f>
        <v>0</v>
      </c>
      <c r="I41" s="188">
        <f xml:space="preserve"> SUMIFS(F_Inputs_APR!I$7:I$108, F_Inputs_APR!$A$7:$A$108, $A41, F_Inputs_APR!$B$7:$B$108, $B41)</f>
        <v>0</v>
      </c>
      <c r="J41" s="145" t="s">
        <v>18</v>
      </c>
      <c r="K41" s="145" t="s">
        <v>18</v>
      </c>
      <c r="L41" s="145" t="s">
        <v>18</v>
      </c>
      <c r="M41" s="145" t="s">
        <v>18</v>
      </c>
      <c r="N41" s="145" t="s">
        <v>18</v>
      </c>
      <c r="O41" s="145" t="s">
        <v>18</v>
      </c>
      <c r="P41" s="145" t="s">
        <v>18</v>
      </c>
      <c r="Q41" s="145" t="s">
        <v>18</v>
      </c>
      <c r="R41" s="145"/>
      <c r="S41" s="145"/>
      <c r="T41" s="145"/>
      <c r="U41" s="145"/>
      <c r="V41" s="145"/>
      <c r="W41" s="145"/>
      <c r="X41" s="145"/>
      <c r="Y41" s="145"/>
    </row>
    <row r="42" spans="1:25" x14ac:dyDescent="0.35">
      <c r="A42" s="142" t="s">
        <v>48</v>
      </c>
      <c r="B42" s="142" t="s">
        <v>63</v>
      </c>
      <c r="C42" s="142" t="s">
        <v>64</v>
      </c>
      <c r="D42" s="142" t="s">
        <v>34</v>
      </c>
      <c r="E42" s="142" t="s">
        <v>65</v>
      </c>
      <c r="F42" s="187">
        <f xml:space="preserve"> SUMIFS(F_Inputs_APR!F$7:F$108, F_Inputs_APR!$A$7:$A$108, $A42, F_Inputs_APR!$B$7:$B$108, $B42)</f>
        <v>1.1930000000000001</v>
      </c>
      <c r="G42" s="187">
        <f xml:space="preserve"> SUMIFS(F_Inputs_APR!G$7:G$108, F_Inputs_APR!$A$7:$A$108, $A42, F_Inputs_APR!$B$7:$B$108, $B42)</f>
        <v>1.113</v>
      </c>
      <c r="H42" s="187">
        <f xml:space="preserve"> SUMIFS(F_Inputs_APR!H$7:H$108, F_Inputs_APR!$A$7:$A$108, $A42, F_Inputs_APR!$B$7:$B$108, $B42)</f>
        <v>1.4830000000000001</v>
      </c>
      <c r="I42" s="187">
        <f xml:space="preserve"> SUMIFS(F_Inputs_APR!I$7:I$108, F_Inputs_APR!$A$7:$A$108, $A42, F_Inputs_APR!$B$7:$B$108, $B42)</f>
        <v>1.597</v>
      </c>
      <c r="J42" s="145" t="s">
        <v>18</v>
      </c>
      <c r="K42" s="145" t="s">
        <v>18</v>
      </c>
      <c r="L42" s="145" t="s">
        <v>18</v>
      </c>
      <c r="M42" s="145" t="s">
        <v>18</v>
      </c>
      <c r="N42" s="145" t="s">
        <v>18</v>
      </c>
      <c r="O42" s="145" t="s">
        <v>18</v>
      </c>
      <c r="P42" s="145" t="s">
        <v>18</v>
      </c>
      <c r="Q42" s="145" t="s">
        <v>18</v>
      </c>
      <c r="R42" s="144"/>
      <c r="S42" s="144"/>
      <c r="T42" s="144"/>
      <c r="U42" s="144"/>
      <c r="V42" s="144"/>
      <c r="W42" s="144"/>
      <c r="X42" s="144"/>
      <c r="Y42" s="144"/>
    </row>
    <row r="43" spans="1:25" x14ac:dyDescent="0.35">
      <c r="A43" s="142" t="s">
        <v>48</v>
      </c>
      <c r="B43" s="142" t="s">
        <v>66</v>
      </c>
      <c r="C43" s="142" t="s">
        <v>67</v>
      </c>
      <c r="D43" s="142" t="s">
        <v>34</v>
      </c>
      <c r="E43" s="142" t="s">
        <v>65</v>
      </c>
      <c r="F43" s="187">
        <f xml:space="preserve"> SUMIFS(F_Inputs_APR!F$7:F$108, F_Inputs_APR!$A$7:$A$108, $A43, F_Inputs_APR!$B$7:$B$108, $B43)</f>
        <v>0.14799999999999999</v>
      </c>
      <c r="G43" s="187">
        <f xml:space="preserve"> SUMIFS(F_Inputs_APR!G$7:G$108, F_Inputs_APR!$A$7:$A$108, $A43, F_Inputs_APR!$B$7:$B$108, $B43)</f>
        <v>0.109</v>
      </c>
      <c r="H43" s="187">
        <f xml:space="preserve"> SUMIFS(F_Inputs_APR!H$7:H$108, F_Inputs_APR!$A$7:$A$108, $A43, F_Inputs_APR!$B$7:$B$108, $B43)</f>
        <v>0.29399999999999998</v>
      </c>
      <c r="I43" s="187">
        <f xml:space="preserve"> SUMIFS(F_Inputs_APR!I$7:I$108, F_Inputs_APR!$A$7:$A$108, $A43, F_Inputs_APR!$B$7:$B$108, $B43)</f>
        <v>0.74</v>
      </c>
      <c r="J43" s="145" t="s">
        <v>18</v>
      </c>
      <c r="K43" s="145" t="s">
        <v>18</v>
      </c>
      <c r="L43" s="145" t="s">
        <v>18</v>
      </c>
      <c r="M43" s="145" t="s">
        <v>18</v>
      </c>
      <c r="N43" s="145" t="s">
        <v>18</v>
      </c>
      <c r="O43" s="145" t="s">
        <v>18</v>
      </c>
      <c r="P43" s="145" t="s">
        <v>18</v>
      </c>
      <c r="Q43" s="145" t="s">
        <v>18</v>
      </c>
      <c r="R43" s="145"/>
      <c r="S43" s="145"/>
      <c r="T43" s="145"/>
      <c r="U43" s="145"/>
      <c r="V43" s="145"/>
      <c r="W43" s="145"/>
      <c r="X43" s="145"/>
      <c r="Y43" s="145"/>
    </row>
    <row r="44" spans="1:25" x14ac:dyDescent="0.35">
      <c r="A44" s="142" t="s">
        <v>48</v>
      </c>
      <c r="B44" s="142" t="s">
        <v>68</v>
      </c>
      <c r="C44" s="142" t="s">
        <v>38</v>
      </c>
      <c r="D44" s="142" t="s">
        <v>39</v>
      </c>
      <c r="E44" s="142" t="s">
        <v>65</v>
      </c>
      <c r="F44" s="188">
        <f xml:space="preserve"> SUMIFS(F_Inputs_APR!F$7:F$108, F_Inputs_APR!$A$7:$A$108, $A44, F_Inputs_APR!$B$7:$B$108, $B44)</f>
        <v>33546</v>
      </c>
      <c r="G44" s="188">
        <f xml:space="preserve"> SUMIFS(F_Inputs_APR!G$7:G$108, F_Inputs_APR!$A$7:$A$108, $A44, F_Inputs_APR!$B$7:$B$108, $B44)</f>
        <v>33992</v>
      </c>
      <c r="H44" s="188">
        <f xml:space="preserve"> SUMIFS(F_Inputs_APR!H$7:H$108, F_Inputs_APR!$A$7:$A$108, $A44, F_Inputs_APR!$B$7:$B$108, $B44)</f>
        <v>37760</v>
      </c>
      <c r="I44" s="188">
        <f xml:space="preserve"> SUMIFS(F_Inputs_APR!I$7:I$108, F_Inputs_APR!$A$7:$A$108, $A44, F_Inputs_APR!$B$7:$B$108, $B44)</f>
        <v>33567</v>
      </c>
      <c r="J44" s="145" t="s">
        <v>18</v>
      </c>
      <c r="K44" s="145" t="s">
        <v>18</v>
      </c>
      <c r="L44" s="145" t="s">
        <v>18</v>
      </c>
      <c r="M44" s="145" t="s">
        <v>18</v>
      </c>
      <c r="N44" s="145" t="s">
        <v>18</v>
      </c>
      <c r="O44" s="145" t="s">
        <v>18</v>
      </c>
      <c r="P44" s="145" t="s">
        <v>18</v>
      </c>
      <c r="Q44" s="145" t="s">
        <v>18</v>
      </c>
      <c r="R44" s="145"/>
      <c r="S44" s="145"/>
      <c r="T44" s="145"/>
      <c r="U44" s="145"/>
      <c r="V44" s="145"/>
      <c r="W44" s="145"/>
      <c r="X44" s="145"/>
      <c r="Y44" s="145"/>
    </row>
    <row r="45" spans="1:25" x14ac:dyDescent="0.35">
      <c r="A45" s="142" t="s">
        <v>48</v>
      </c>
      <c r="B45" s="142" t="s">
        <v>69</v>
      </c>
      <c r="C45" s="142" t="s">
        <v>70</v>
      </c>
      <c r="D45" s="142" t="s">
        <v>34</v>
      </c>
      <c r="E45" s="142" t="s">
        <v>65</v>
      </c>
      <c r="F45" s="187">
        <f xml:space="preserve"> SUMIFS(F_Inputs_APR!F$7:F$108, F_Inputs_APR!$A$7:$A$108, $A45, F_Inputs_APR!$B$7:$B$108, $B45)</f>
        <v>0.13200000000000001</v>
      </c>
      <c r="G45" s="187">
        <f xml:space="preserve"> SUMIFS(F_Inputs_APR!G$7:G$108, F_Inputs_APR!$A$7:$A$108, $A45, F_Inputs_APR!$B$7:$B$108, $B45)</f>
        <v>0.124</v>
      </c>
      <c r="H45" s="187">
        <f xml:space="preserve"> SUMIFS(F_Inputs_APR!H$7:H$108, F_Inputs_APR!$A$7:$A$108, $A45, F_Inputs_APR!$B$7:$B$108, $B45)</f>
        <v>0.16500000000000001</v>
      </c>
      <c r="I45" s="187">
        <f xml:space="preserve"> SUMIFS(F_Inputs_APR!I$7:I$108, F_Inputs_APR!$A$7:$A$108, $A45, F_Inputs_APR!$B$7:$B$108, $B45)</f>
        <v>0.17799999999999999</v>
      </c>
      <c r="J45" s="145" t="s">
        <v>18</v>
      </c>
      <c r="K45" s="145" t="s">
        <v>18</v>
      </c>
      <c r="L45" s="145" t="s">
        <v>18</v>
      </c>
      <c r="M45" s="145" t="s">
        <v>18</v>
      </c>
      <c r="N45" s="145" t="s">
        <v>18</v>
      </c>
      <c r="O45" s="145" t="s">
        <v>18</v>
      </c>
      <c r="P45" s="145" t="s">
        <v>18</v>
      </c>
      <c r="Q45" s="145" t="s">
        <v>18</v>
      </c>
      <c r="R45" s="145"/>
      <c r="S45" s="145"/>
      <c r="T45" s="145"/>
      <c r="U45" s="145"/>
      <c r="V45" s="145"/>
      <c r="W45" s="145"/>
      <c r="X45" s="145"/>
      <c r="Y45" s="145"/>
    </row>
    <row r="46" spans="1:25" x14ac:dyDescent="0.35">
      <c r="A46" s="142" t="s">
        <v>48</v>
      </c>
      <c r="B46" s="142" t="s">
        <v>71</v>
      </c>
      <c r="C46" s="142" t="s">
        <v>72</v>
      </c>
      <c r="D46" s="142" t="s">
        <v>34</v>
      </c>
      <c r="E46" s="142" t="s">
        <v>65</v>
      </c>
      <c r="F46" s="187">
        <f xml:space="preserve"> SUMIFS(F_Inputs_APR!F$7:F$108, F_Inputs_APR!$A$7:$A$108, $A46, F_Inputs_APR!$B$7:$B$108, $B46)</f>
        <v>7.0999999999999994E-2</v>
      </c>
      <c r="G46" s="187">
        <f xml:space="preserve"> SUMIFS(F_Inputs_APR!G$7:G$108, F_Inputs_APR!$A$7:$A$108, $A46, F_Inputs_APR!$B$7:$B$108, $B46)</f>
        <v>8.6999999999999994E-2</v>
      </c>
      <c r="H46" s="187">
        <f xml:space="preserve"> SUMIFS(F_Inputs_APR!H$7:H$108, F_Inputs_APR!$A$7:$A$108, $A46, F_Inputs_APR!$B$7:$B$108, $B46)</f>
        <v>0.18</v>
      </c>
      <c r="I46" s="187">
        <f xml:space="preserve"> SUMIFS(F_Inputs_APR!I$7:I$108, F_Inputs_APR!$A$7:$A$108, $A46, F_Inputs_APR!$B$7:$B$108, $B46)</f>
        <v>0.376</v>
      </c>
      <c r="J46" s="145" t="s">
        <v>18</v>
      </c>
      <c r="K46" s="145" t="s">
        <v>18</v>
      </c>
      <c r="L46" s="145" t="s">
        <v>18</v>
      </c>
      <c r="M46" s="145" t="s">
        <v>18</v>
      </c>
      <c r="N46" s="145" t="s">
        <v>18</v>
      </c>
      <c r="O46" s="145" t="s">
        <v>18</v>
      </c>
      <c r="P46" s="145" t="s">
        <v>18</v>
      </c>
      <c r="Q46" s="145" t="s">
        <v>18</v>
      </c>
      <c r="R46" s="145"/>
      <c r="S46" s="145"/>
      <c r="T46" s="145"/>
      <c r="U46" s="145"/>
      <c r="V46" s="145"/>
      <c r="W46" s="145"/>
      <c r="X46" s="145"/>
      <c r="Y46" s="145"/>
    </row>
    <row r="47" spans="1:25" x14ac:dyDescent="0.35">
      <c r="A47" s="142" t="s">
        <v>48</v>
      </c>
      <c r="B47" s="142" t="s">
        <v>73</v>
      </c>
      <c r="C47" s="142" t="s">
        <v>38</v>
      </c>
      <c r="D47" s="142" t="s">
        <v>39</v>
      </c>
      <c r="E47" s="142" t="s">
        <v>65</v>
      </c>
      <c r="F47" s="188">
        <f xml:space="preserve"> SUMIFS(F_Inputs_APR!F$7:F$108, F_Inputs_APR!$A$7:$A$108, $A47, F_Inputs_APR!$B$7:$B$108, $B47)</f>
        <v>3728</v>
      </c>
      <c r="G47" s="188">
        <f xml:space="preserve"> SUMIFS(F_Inputs_APR!G$7:G$108, F_Inputs_APR!$A$7:$A$108, $A47, F_Inputs_APR!$B$7:$B$108, $B47)</f>
        <v>3776</v>
      </c>
      <c r="H47" s="188">
        <f xml:space="preserve"> SUMIFS(F_Inputs_APR!H$7:H$108, F_Inputs_APR!$A$7:$A$108, $A47, F_Inputs_APR!$B$7:$B$108, $B47)</f>
        <v>4196</v>
      </c>
      <c r="I47" s="188">
        <f xml:space="preserve"> SUMIFS(F_Inputs_APR!I$7:I$108, F_Inputs_APR!$A$7:$A$108, $A47, F_Inputs_APR!$B$7:$B$108, $B47)</f>
        <v>3729</v>
      </c>
      <c r="J47" s="145" t="s">
        <v>18</v>
      </c>
      <c r="K47" s="145" t="s">
        <v>18</v>
      </c>
      <c r="L47" s="145" t="s">
        <v>18</v>
      </c>
      <c r="M47" s="145" t="s">
        <v>18</v>
      </c>
      <c r="N47" s="145" t="s">
        <v>18</v>
      </c>
      <c r="O47" s="145" t="s">
        <v>18</v>
      </c>
      <c r="P47" s="145" t="s">
        <v>18</v>
      </c>
      <c r="Q47" s="145" t="s">
        <v>18</v>
      </c>
      <c r="R47" s="145"/>
      <c r="S47" s="145"/>
      <c r="T47" s="145"/>
      <c r="U47" s="145"/>
      <c r="V47" s="145"/>
      <c r="W47" s="145"/>
      <c r="X47" s="145"/>
      <c r="Y47" s="145"/>
    </row>
    <row r="48" spans="1:25" x14ac:dyDescent="0.35">
      <c r="A48" s="142" t="s">
        <v>49</v>
      </c>
      <c r="B48" s="142" t="s">
        <v>63</v>
      </c>
      <c r="C48" s="142" t="s">
        <v>64</v>
      </c>
      <c r="D48" s="142" t="s">
        <v>34</v>
      </c>
      <c r="E48" s="142" t="s">
        <v>65</v>
      </c>
      <c r="F48" s="187">
        <f xml:space="preserve"> SUMIFS(F_Inputs_APR!F$7:F$108, F_Inputs_APR!$A$7:$A$108, $A48, F_Inputs_APR!$B$7:$B$108, $B48)</f>
        <v>21.295999999999999</v>
      </c>
      <c r="G48" s="187">
        <f xml:space="preserve"> SUMIFS(F_Inputs_APR!G$7:G$108, F_Inputs_APR!$A$7:$A$108, $A48, F_Inputs_APR!$B$7:$B$108, $B48)</f>
        <v>25.114999999999998</v>
      </c>
      <c r="H48" s="187">
        <f xml:space="preserve"> SUMIFS(F_Inputs_APR!H$7:H$108, F_Inputs_APR!$A$7:$A$108, $A48, F_Inputs_APR!$B$7:$B$108, $B48)</f>
        <v>32.451000000000001</v>
      </c>
      <c r="I48" s="187">
        <f xml:space="preserve"> SUMIFS(F_Inputs_APR!I$7:I$108, F_Inputs_APR!$A$7:$A$108, $A48, F_Inputs_APR!$B$7:$B$108, $B48)</f>
        <v>27.635000000000002</v>
      </c>
      <c r="J48" s="145" t="s">
        <v>18</v>
      </c>
      <c r="K48" s="145" t="s">
        <v>18</v>
      </c>
      <c r="L48" s="145" t="s">
        <v>18</v>
      </c>
      <c r="M48" s="145" t="s">
        <v>18</v>
      </c>
      <c r="N48" s="145" t="s">
        <v>18</v>
      </c>
      <c r="O48" s="145" t="s">
        <v>18</v>
      </c>
      <c r="P48" s="145" t="s">
        <v>18</v>
      </c>
      <c r="Q48" s="145" t="s">
        <v>18</v>
      </c>
      <c r="R48" s="144"/>
      <c r="S48" s="144"/>
      <c r="T48" s="144"/>
      <c r="U48" s="144"/>
      <c r="V48" s="144"/>
      <c r="W48" s="144"/>
      <c r="X48" s="144"/>
      <c r="Y48" s="144"/>
    </row>
    <row r="49" spans="1:25" x14ac:dyDescent="0.35">
      <c r="A49" s="142" t="s">
        <v>49</v>
      </c>
      <c r="B49" s="142" t="s">
        <v>66</v>
      </c>
      <c r="C49" s="142" t="s">
        <v>67</v>
      </c>
      <c r="D49" s="142" t="s">
        <v>34</v>
      </c>
      <c r="E49" s="142" t="s">
        <v>65</v>
      </c>
      <c r="F49" s="187">
        <f xml:space="preserve"> SUMIFS(F_Inputs_APR!F$7:F$108, F_Inputs_APR!$A$7:$A$108, $A49, F_Inputs_APR!$B$7:$B$108, $B49)</f>
        <v>0.85899999999999999</v>
      </c>
      <c r="G49" s="187">
        <f xml:space="preserve"> SUMIFS(F_Inputs_APR!G$7:G$108, F_Inputs_APR!$A$7:$A$108, $A49, F_Inputs_APR!$B$7:$B$108, $B49)</f>
        <v>1.0820000000000001</v>
      </c>
      <c r="H49" s="187">
        <f xml:space="preserve"> SUMIFS(F_Inputs_APR!H$7:H$108, F_Inputs_APR!$A$7:$A$108, $A49, F_Inputs_APR!$B$7:$B$108, $B49)</f>
        <v>2.7120000000000002</v>
      </c>
      <c r="I49" s="187">
        <f xml:space="preserve"> SUMIFS(F_Inputs_APR!I$7:I$108, F_Inputs_APR!$A$7:$A$108, $A49, F_Inputs_APR!$B$7:$B$108, $B49)</f>
        <v>1.6990000000000001</v>
      </c>
      <c r="J49" s="145" t="s">
        <v>18</v>
      </c>
      <c r="K49" s="145" t="s">
        <v>18</v>
      </c>
      <c r="L49" s="145" t="s">
        <v>18</v>
      </c>
      <c r="M49" s="145" t="s">
        <v>18</v>
      </c>
      <c r="N49" s="145" t="s">
        <v>18</v>
      </c>
      <c r="O49" s="145" t="s">
        <v>18</v>
      </c>
      <c r="P49" s="145" t="s">
        <v>18</v>
      </c>
      <c r="Q49" s="145" t="s">
        <v>18</v>
      </c>
      <c r="R49" s="145"/>
      <c r="S49" s="145"/>
      <c r="T49" s="145"/>
      <c r="U49" s="145"/>
      <c r="V49" s="145"/>
      <c r="W49" s="145"/>
      <c r="X49" s="145"/>
      <c r="Y49" s="145"/>
    </row>
    <row r="50" spans="1:25" x14ac:dyDescent="0.35">
      <c r="A50" s="142" t="s">
        <v>49</v>
      </c>
      <c r="B50" s="142" t="s">
        <v>68</v>
      </c>
      <c r="C50" s="142" t="s">
        <v>38</v>
      </c>
      <c r="D50" s="142" t="s">
        <v>39</v>
      </c>
      <c r="E50" s="142" t="s">
        <v>65</v>
      </c>
      <c r="F50" s="188">
        <f xml:space="preserve"> SUMIFS(F_Inputs_APR!F$7:F$108, F_Inputs_APR!$A$7:$A$108, $A50, F_Inputs_APR!$B$7:$B$108, $B50)</f>
        <v>55039</v>
      </c>
      <c r="G50" s="188">
        <f xml:space="preserve"> SUMIFS(F_Inputs_APR!G$7:G$108, F_Inputs_APR!$A$7:$A$108, $A50, F_Inputs_APR!$B$7:$B$108, $B50)</f>
        <v>89202</v>
      </c>
      <c r="H50" s="188">
        <f xml:space="preserve"> SUMIFS(F_Inputs_APR!H$7:H$108, F_Inputs_APR!$A$7:$A$108, $A50, F_Inputs_APR!$B$7:$B$108, $B50)</f>
        <v>89202</v>
      </c>
      <c r="I50" s="188">
        <f xml:space="preserve"> SUMIFS(F_Inputs_APR!I$7:I$108, F_Inputs_APR!$A$7:$A$108, $A50, F_Inputs_APR!$B$7:$B$108, $B50)</f>
        <v>67686</v>
      </c>
      <c r="J50" s="145" t="s">
        <v>18</v>
      </c>
      <c r="K50" s="145" t="s">
        <v>18</v>
      </c>
      <c r="L50" s="145" t="s">
        <v>18</v>
      </c>
      <c r="M50" s="145" t="s">
        <v>18</v>
      </c>
      <c r="N50" s="145" t="s">
        <v>18</v>
      </c>
      <c r="O50" s="145" t="s">
        <v>18</v>
      </c>
      <c r="P50" s="145" t="s">
        <v>18</v>
      </c>
      <c r="Q50" s="145" t="s">
        <v>18</v>
      </c>
      <c r="R50" s="145"/>
      <c r="S50" s="145"/>
      <c r="T50" s="145"/>
      <c r="U50" s="145"/>
      <c r="V50" s="145"/>
      <c r="W50" s="145"/>
      <c r="X50" s="145"/>
      <c r="Y50" s="145"/>
    </row>
    <row r="51" spans="1:25" x14ac:dyDescent="0.35">
      <c r="A51" s="142" t="s">
        <v>49</v>
      </c>
      <c r="B51" s="142" t="s">
        <v>69</v>
      </c>
      <c r="C51" s="142" t="s">
        <v>70</v>
      </c>
      <c r="D51" s="142" t="s">
        <v>34</v>
      </c>
      <c r="E51" s="142" t="s">
        <v>65</v>
      </c>
      <c r="F51" s="187">
        <f xml:space="preserve"> SUMIFS(F_Inputs_APR!F$7:F$108, F_Inputs_APR!$A$7:$A$108, $A51, F_Inputs_APR!$B$7:$B$108, $B51)</f>
        <v>1.4159999999999999</v>
      </c>
      <c r="G51" s="187">
        <f xml:space="preserve"> SUMIFS(F_Inputs_APR!G$7:G$108, F_Inputs_APR!$A$7:$A$108, $A51, F_Inputs_APR!$B$7:$B$108, $B51)</f>
        <v>2.319</v>
      </c>
      <c r="H51" s="187">
        <f xml:space="preserve"> SUMIFS(F_Inputs_APR!H$7:H$108, F_Inputs_APR!$A$7:$A$108, $A51, F_Inputs_APR!$B$7:$B$108, $B51)</f>
        <v>0.64900000000000002</v>
      </c>
      <c r="I51" s="187">
        <f xml:space="preserve"> SUMIFS(F_Inputs_APR!I$7:I$108, F_Inputs_APR!$A$7:$A$108, $A51, F_Inputs_APR!$B$7:$B$108, $B51)</f>
        <v>1.0169999999999999</v>
      </c>
      <c r="J51" s="145" t="s">
        <v>18</v>
      </c>
      <c r="K51" s="145" t="s">
        <v>18</v>
      </c>
      <c r="L51" s="145" t="s">
        <v>18</v>
      </c>
      <c r="M51" s="145" t="s">
        <v>18</v>
      </c>
      <c r="N51" s="145" t="s">
        <v>18</v>
      </c>
      <c r="O51" s="145" t="s">
        <v>18</v>
      </c>
      <c r="P51" s="145" t="s">
        <v>18</v>
      </c>
      <c r="Q51" s="145" t="s">
        <v>18</v>
      </c>
      <c r="R51" s="145"/>
      <c r="S51" s="145"/>
      <c r="T51" s="145"/>
      <c r="U51" s="145"/>
      <c r="V51" s="145"/>
      <c r="W51" s="145"/>
      <c r="X51" s="145"/>
      <c r="Y51" s="145"/>
    </row>
    <row r="52" spans="1:25" x14ac:dyDescent="0.35">
      <c r="A52" s="142" t="s">
        <v>49</v>
      </c>
      <c r="B52" s="142" t="s">
        <v>71</v>
      </c>
      <c r="C52" s="142" t="s">
        <v>72</v>
      </c>
      <c r="D52" s="142" t="s">
        <v>34</v>
      </c>
      <c r="E52" s="142" t="s">
        <v>65</v>
      </c>
      <c r="F52" s="187">
        <f xml:space="preserve"> SUMIFS(F_Inputs_APR!F$7:F$108, F_Inputs_APR!$A$7:$A$108, $A52, F_Inputs_APR!$B$7:$B$108, $B52)</f>
        <v>0.19900000000000001</v>
      </c>
      <c r="G52" s="187">
        <f xml:space="preserve"> SUMIFS(F_Inputs_APR!G$7:G$108, F_Inputs_APR!$A$7:$A$108, $A52, F_Inputs_APR!$B$7:$B$108, $B52)</f>
        <v>0.55300000000000005</v>
      </c>
      <c r="H52" s="187">
        <f xml:space="preserve"> SUMIFS(F_Inputs_APR!H$7:H$108, F_Inputs_APR!$A$7:$A$108, $A52, F_Inputs_APR!$B$7:$B$108, $B52)</f>
        <v>0.35</v>
      </c>
      <c r="I52" s="187">
        <f xml:space="preserve"> SUMIFS(F_Inputs_APR!I$7:I$108, F_Inputs_APR!$A$7:$A$108, $A52, F_Inputs_APR!$B$7:$B$108, $B52)</f>
        <v>0.46800000000000003</v>
      </c>
      <c r="J52" s="145" t="s">
        <v>18</v>
      </c>
      <c r="K52" s="145" t="s">
        <v>18</v>
      </c>
      <c r="L52" s="145" t="s">
        <v>18</v>
      </c>
      <c r="M52" s="145" t="s">
        <v>18</v>
      </c>
      <c r="N52" s="145" t="s">
        <v>18</v>
      </c>
      <c r="O52" s="145" t="s">
        <v>18</v>
      </c>
      <c r="P52" s="145" t="s">
        <v>18</v>
      </c>
      <c r="Q52" s="145" t="s">
        <v>18</v>
      </c>
      <c r="R52" s="145"/>
      <c r="S52" s="145"/>
      <c r="T52" s="145"/>
      <c r="U52" s="145"/>
      <c r="V52" s="145"/>
      <c r="W52" s="145"/>
      <c r="X52" s="145"/>
      <c r="Y52" s="145"/>
    </row>
    <row r="53" spans="1:25" x14ac:dyDescent="0.35">
      <c r="A53" s="142" t="s">
        <v>49</v>
      </c>
      <c r="B53" s="142" t="s">
        <v>73</v>
      </c>
      <c r="C53" s="142" t="s">
        <v>38</v>
      </c>
      <c r="D53" s="142" t="s">
        <v>39</v>
      </c>
      <c r="E53" s="142" t="s">
        <v>65</v>
      </c>
      <c r="F53" s="188">
        <f xml:space="preserve"> SUMIFS(F_Inputs_APR!F$7:F$108, F_Inputs_APR!$A$7:$A$108, $A53, F_Inputs_APR!$B$7:$B$108, $B53)</f>
        <v>6751</v>
      </c>
      <c r="G53" s="188">
        <f xml:space="preserve"> SUMIFS(F_Inputs_APR!G$7:G$108, F_Inputs_APR!$A$7:$A$108, $A53, F_Inputs_APR!$B$7:$B$108, $B53)</f>
        <v>14011</v>
      </c>
      <c r="H53" s="188">
        <f xml:space="preserve"> SUMIFS(F_Inputs_APR!H$7:H$108, F_Inputs_APR!$A$7:$A$108, $A53, F_Inputs_APR!$B$7:$B$108, $B53)</f>
        <v>7130</v>
      </c>
      <c r="I53" s="188">
        <f xml:space="preserve"> SUMIFS(F_Inputs_APR!I$7:I$108, F_Inputs_APR!$A$7:$A$108, $A53, F_Inputs_APR!$B$7:$B$108, $B53)</f>
        <v>6725</v>
      </c>
      <c r="J53" s="145" t="s">
        <v>18</v>
      </c>
      <c r="K53" s="145" t="s">
        <v>18</v>
      </c>
      <c r="L53" s="145" t="s">
        <v>18</v>
      </c>
      <c r="M53" s="145" t="s">
        <v>18</v>
      </c>
      <c r="N53" s="145" t="s">
        <v>18</v>
      </c>
      <c r="O53" s="145" t="s">
        <v>18</v>
      </c>
      <c r="P53" s="145" t="s">
        <v>18</v>
      </c>
      <c r="Q53" s="145" t="s">
        <v>18</v>
      </c>
      <c r="R53" s="145"/>
      <c r="S53" s="145"/>
      <c r="T53" s="145"/>
      <c r="U53" s="145"/>
      <c r="V53" s="145"/>
      <c r="W53" s="145"/>
      <c r="X53" s="145"/>
      <c r="Y53" s="145"/>
    </row>
    <row r="54" spans="1:25" x14ac:dyDescent="0.35">
      <c r="A54" s="142" t="s">
        <v>50</v>
      </c>
      <c r="B54" s="142" t="s">
        <v>63</v>
      </c>
      <c r="C54" s="142" t="s">
        <v>64</v>
      </c>
      <c r="D54" s="142" t="s">
        <v>34</v>
      </c>
      <c r="E54" s="142" t="s">
        <v>65</v>
      </c>
      <c r="F54" s="187">
        <f xml:space="preserve"> SUMIFS(F_Inputs_APR!F$7:F$108, F_Inputs_APR!$A$7:$A$108, $A54, F_Inputs_APR!$B$7:$B$108, $B54)</f>
        <v>1.8054489877109701</v>
      </c>
      <c r="G54" s="187">
        <f xml:space="preserve"> SUMIFS(F_Inputs_APR!G$7:G$108, F_Inputs_APR!$A$7:$A$108, $A54, F_Inputs_APR!$B$7:$B$108, $B54)</f>
        <v>2.1200541706320899</v>
      </c>
      <c r="H54" s="187">
        <f xml:space="preserve"> SUMIFS(F_Inputs_APR!H$7:H$108, F_Inputs_APR!$A$7:$A$108, $A54, F_Inputs_APR!$B$7:$B$108, $B54)</f>
        <v>2.0464701721890868</v>
      </c>
      <c r="I54" s="187">
        <f xml:space="preserve"> SUMIFS(F_Inputs_APR!I$7:I$108, F_Inputs_APR!$A$7:$A$108, $A54, F_Inputs_APR!$B$7:$B$108, $B54)</f>
        <v>1.7749973689999998</v>
      </c>
      <c r="J54" s="145" t="s">
        <v>18</v>
      </c>
      <c r="K54" s="145" t="s">
        <v>18</v>
      </c>
      <c r="L54" s="145" t="s">
        <v>18</v>
      </c>
      <c r="M54" s="145" t="s">
        <v>18</v>
      </c>
      <c r="N54" s="145" t="s">
        <v>18</v>
      </c>
      <c r="O54" s="145" t="s">
        <v>18</v>
      </c>
      <c r="P54" s="145" t="s">
        <v>18</v>
      </c>
      <c r="Q54" s="145" t="s">
        <v>18</v>
      </c>
      <c r="R54" s="144"/>
      <c r="S54" s="144"/>
      <c r="T54" s="144"/>
      <c r="U54" s="144"/>
      <c r="V54" s="144"/>
      <c r="W54" s="144"/>
      <c r="X54" s="144"/>
      <c r="Y54" s="144"/>
    </row>
    <row r="55" spans="1:25" x14ac:dyDescent="0.35">
      <c r="A55" s="142" t="s">
        <v>50</v>
      </c>
      <c r="B55" s="142" t="s">
        <v>66</v>
      </c>
      <c r="C55" s="142" t="s">
        <v>67</v>
      </c>
      <c r="D55" s="142" t="s">
        <v>34</v>
      </c>
      <c r="E55" s="142" t="s">
        <v>65</v>
      </c>
      <c r="F55" s="187">
        <f xml:space="preserve"> SUMIFS(F_Inputs_APR!F$7:F$108, F_Inputs_APR!$A$7:$A$108, $A55, F_Inputs_APR!$B$7:$B$108, $B55)</f>
        <v>0</v>
      </c>
      <c r="G55" s="187">
        <f xml:space="preserve"> SUMIFS(F_Inputs_APR!G$7:G$108, F_Inputs_APR!$A$7:$A$108, $A55, F_Inputs_APR!$B$7:$B$108, $B55)</f>
        <v>0</v>
      </c>
      <c r="H55" s="187">
        <f xml:space="preserve"> SUMIFS(F_Inputs_APR!H$7:H$108, F_Inputs_APR!$A$7:$A$108, $A55, F_Inputs_APR!$B$7:$B$108, $B55)</f>
        <v>0</v>
      </c>
      <c r="I55" s="187">
        <f xml:space="preserve"> SUMIFS(F_Inputs_APR!I$7:I$108, F_Inputs_APR!$A$7:$A$108, $A55, F_Inputs_APR!$B$7:$B$108, $B55)</f>
        <v>0</v>
      </c>
      <c r="J55" s="145" t="s">
        <v>18</v>
      </c>
      <c r="K55" s="145" t="s">
        <v>18</v>
      </c>
      <c r="L55" s="145" t="s">
        <v>18</v>
      </c>
      <c r="M55" s="145" t="s">
        <v>18</v>
      </c>
      <c r="N55" s="145" t="s">
        <v>18</v>
      </c>
      <c r="O55" s="145" t="s">
        <v>18</v>
      </c>
      <c r="P55" s="145" t="s">
        <v>18</v>
      </c>
      <c r="Q55" s="145" t="s">
        <v>18</v>
      </c>
      <c r="R55" s="145"/>
      <c r="S55" s="145"/>
      <c r="T55" s="145"/>
      <c r="U55" s="145"/>
      <c r="V55" s="145"/>
      <c r="W55" s="145"/>
      <c r="X55" s="145"/>
      <c r="Y55" s="145"/>
    </row>
    <row r="56" spans="1:25" x14ac:dyDescent="0.35">
      <c r="A56" s="142" t="s">
        <v>50</v>
      </c>
      <c r="B56" s="142" t="s">
        <v>68</v>
      </c>
      <c r="C56" s="142" t="s">
        <v>38</v>
      </c>
      <c r="D56" s="142" t="s">
        <v>39</v>
      </c>
      <c r="E56" s="142" t="s">
        <v>65</v>
      </c>
      <c r="F56" s="188">
        <f xml:space="preserve"> SUMIFS(F_Inputs_APR!F$7:F$108, F_Inputs_APR!$A$7:$A$108, $A56, F_Inputs_APR!$B$7:$B$108, $B56)</f>
        <v>33652.673808174601</v>
      </c>
      <c r="G56" s="188">
        <f xml:space="preserve"> SUMIFS(F_Inputs_APR!G$7:G$108, F_Inputs_APR!$A$7:$A$108, $A56, F_Inputs_APR!$B$7:$B$108, $B56)</f>
        <v>37705</v>
      </c>
      <c r="H56" s="188">
        <f xml:space="preserve"> SUMIFS(F_Inputs_APR!H$7:H$108, F_Inputs_APR!$A$7:$A$108, $A56, F_Inputs_APR!$B$7:$B$108, $B56)</f>
        <v>33707</v>
      </c>
      <c r="I56" s="188">
        <f xml:space="preserve"> SUMIFS(F_Inputs_APR!I$7:I$108, F_Inputs_APR!$A$7:$A$108, $A56, F_Inputs_APR!$B$7:$B$108, $B56)</f>
        <v>27210</v>
      </c>
      <c r="J56" s="145" t="s">
        <v>18</v>
      </c>
      <c r="K56" s="145" t="s">
        <v>18</v>
      </c>
      <c r="L56" s="145" t="s">
        <v>18</v>
      </c>
      <c r="M56" s="145" t="s">
        <v>18</v>
      </c>
      <c r="N56" s="145" t="s">
        <v>18</v>
      </c>
      <c r="O56" s="145" t="s">
        <v>18</v>
      </c>
      <c r="P56" s="145" t="s">
        <v>18</v>
      </c>
      <c r="Q56" s="145" t="s">
        <v>18</v>
      </c>
      <c r="R56" s="145"/>
      <c r="S56" s="145"/>
      <c r="T56" s="145"/>
      <c r="U56" s="145"/>
      <c r="V56" s="145"/>
      <c r="W56" s="145"/>
      <c r="X56" s="145"/>
      <c r="Y56" s="145"/>
    </row>
    <row r="57" spans="1:25" x14ac:dyDescent="0.35">
      <c r="A57" s="142" t="s">
        <v>50</v>
      </c>
      <c r="B57" s="142" t="s">
        <v>69</v>
      </c>
      <c r="C57" s="142" t="s">
        <v>70</v>
      </c>
      <c r="D57" s="142" t="s">
        <v>34</v>
      </c>
      <c r="E57" s="142" t="s">
        <v>65</v>
      </c>
      <c r="F57" s="187">
        <f xml:space="preserve"> SUMIFS(F_Inputs_APR!F$7:F$108, F_Inputs_APR!$A$7:$A$108, $A57, F_Inputs_APR!$B$7:$B$108, $B57)</f>
        <v>0.27933662824398298</v>
      </c>
      <c r="G57" s="187">
        <f xml:space="preserve"> SUMIFS(F_Inputs_APR!G$7:G$108, F_Inputs_APR!$A$7:$A$108, $A57, F_Inputs_APR!$B$7:$B$108, $B57)</f>
        <v>0.48173985456739798</v>
      </c>
      <c r="H57" s="187">
        <f xml:space="preserve"> SUMIFS(F_Inputs_APR!H$7:H$108, F_Inputs_APR!$A$7:$A$108, $A57, F_Inputs_APR!$B$7:$B$108, $B57)</f>
        <v>0.64722937905458577</v>
      </c>
      <c r="I57" s="187">
        <f xml:space="preserve"> SUMIFS(F_Inputs_APR!I$7:I$108, F_Inputs_APR!$A$7:$A$108, $A57, F_Inputs_APR!$B$7:$B$108, $B57)</f>
        <v>0.52875006632599997</v>
      </c>
      <c r="J57" s="145" t="s">
        <v>18</v>
      </c>
      <c r="K57" s="145" t="s">
        <v>18</v>
      </c>
      <c r="L57" s="145" t="s">
        <v>18</v>
      </c>
      <c r="M57" s="145" t="s">
        <v>18</v>
      </c>
      <c r="N57" s="145" t="s">
        <v>18</v>
      </c>
      <c r="O57" s="145" t="s">
        <v>18</v>
      </c>
      <c r="P57" s="145" t="s">
        <v>18</v>
      </c>
      <c r="Q57" s="145" t="s">
        <v>18</v>
      </c>
      <c r="R57" s="145"/>
      <c r="S57" s="145"/>
      <c r="T57" s="145"/>
      <c r="U57" s="145"/>
      <c r="V57" s="145"/>
      <c r="W57" s="145"/>
      <c r="X57" s="145"/>
      <c r="Y57" s="145"/>
    </row>
    <row r="58" spans="1:25" x14ac:dyDescent="0.35">
      <c r="A58" s="142" t="s">
        <v>50</v>
      </c>
      <c r="B58" s="142" t="s">
        <v>71</v>
      </c>
      <c r="C58" s="142" t="s">
        <v>72</v>
      </c>
      <c r="D58" s="142" t="s">
        <v>34</v>
      </c>
      <c r="E58" s="142" t="s">
        <v>65</v>
      </c>
      <c r="F58" s="187">
        <f xml:space="preserve"> SUMIFS(F_Inputs_APR!F$7:F$108, F_Inputs_APR!$A$7:$A$108, $A58, F_Inputs_APR!$B$7:$B$108, $B58)</f>
        <v>0</v>
      </c>
      <c r="G58" s="187">
        <f xml:space="preserve"> SUMIFS(F_Inputs_APR!G$7:G$108, F_Inputs_APR!$A$7:$A$108, $A58, F_Inputs_APR!$B$7:$B$108, $B58)</f>
        <v>0</v>
      </c>
      <c r="H58" s="187">
        <f xml:space="preserve"> SUMIFS(F_Inputs_APR!H$7:H$108, F_Inputs_APR!$A$7:$A$108, $A58, F_Inputs_APR!$B$7:$B$108, $B58)</f>
        <v>0</v>
      </c>
      <c r="I58" s="187">
        <f xml:space="preserve"> SUMIFS(F_Inputs_APR!I$7:I$108, F_Inputs_APR!$A$7:$A$108, $A58, F_Inputs_APR!$B$7:$B$108, $B58)</f>
        <v>0</v>
      </c>
      <c r="J58" s="145" t="s">
        <v>18</v>
      </c>
      <c r="K58" s="145" t="s">
        <v>18</v>
      </c>
      <c r="L58" s="145" t="s">
        <v>18</v>
      </c>
      <c r="M58" s="145" t="s">
        <v>18</v>
      </c>
      <c r="N58" s="145" t="s">
        <v>18</v>
      </c>
      <c r="O58" s="145" t="s">
        <v>18</v>
      </c>
      <c r="P58" s="145" t="s">
        <v>18</v>
      </c>
      <c r="Q58" s="145" t="s">
        <v>18</v>
      </c>
      <c r="R58" s="145"/>
      <c r="S58" s="145"/>
      <c r="T58" s="145"/>
      <c r="U58" s="145"/>
      <c r="V58" s="145"/>
      <c r="W58" s="145"/>
      <c r="X58" s="145"/>
      <c r="Y58" s="145"/>
    </row>
    <row r="59" spans="1:25" x14ac:dyDescent="0.35">
      <c r="A59" s="142" t="s">
        <v>50</v>
      </c>
      <c r="B59" s="142" t="s">
        <v>73</v>
      </c>
      <c r="C59" s="142" t="s">
        <v>38</v>
      </c>
      <c r="D59" s="142" t="s">
        <v>39</v>
      </c>
      <c r="E59" s="142" t="s">
        <v>65</v>
      </c>
      <c r="F59" s="188">
        <f xml:space="preserve"> SUMIFS(F_Inputs_APR!F$7:F$108, F_Inputs_APR!$A$7:$A$108, $A59, F_Inputs_APR!$B$7:$B$108, $B59)</f>
        <v>3837.0067741360199</v>
      </c>
      <c r="G59" s="188">
        <f xml:space="preserve"> SUMIFS(F_Inputs_APR!G$7:G$108, F_Inputs_APR!$A$7:$A$108, $A59, F_Inputs_APR!$B$7:$B$108, $B59)</f>
        <v>7023</v>
      </c>
      <c r="H59" s="188">
        <f xml:space="preserve"> SUMIFS(F_Inputs_APR!H$7:H$108, F_Inputs_APR!$A$7:$A$108, $A59, F_Inputs_APR!$B$7:$B$108, $B59)</f>
        <v>8236</v>
      </c>
      <c r="I59" s="188">
        <f xml:space="preserve"> SUMIFS(F_Inputs_APR!I$7:I$108, F_Inputs_APR!$A$7:$A$108, $A59, F_Inputs_APR!$B$7:$B$108, $B59)</f>
        <v>5975</v>
      </c>
      <c r="J59" s="145" t="s">
        <v>18</v>
      </c>
      <c r="K59" s="145" t="s">
        <v>18</v>
      </c>
      <c r="L59" s="145" t="s">
        <v>18</v>
      </c>
      <c r="M59" s="145" t="s">
        <v>18</v>
      </c>
      <c r="N59" s="145" t="s">
        <v>18</v>
      </c>
      <c r="O59" s="145" t="s">
        <v>18</v>
      </c>
      <c r="P59" s="145" t="s">
        <v>18</v>
      </c>
      <c r="Q59" s="145" t="s">
        <v>18</v>
      </c>
      <c r="R59" s="145"/>
      <c r="S59" s="145"/>
      <c r="T59" s="145"/>
      <c r="U59" s="145"/>
      <c r="V59" s="145"/>
      <c r="W59" s="145"/>
      <c r="X59" s="145"/>
      <c r="Y59" s="145"/>
    </row>
    <row r="60" spans="1:25" x14ac:dyDescent="0.35">
      <c r="A60" s="142" t="s">
        <v>51</v>
      </c>
      <c r="B60" s="142" t="s">
        <v>63</v>
      </c>
      <c r="C60" s="142" t="s">
        <v>64</v>
      </c>
      <c r="D60" s="142" t="s">
        <v>34</v>
      </c>
      <c r="E60" s="142" t="s">
        <v>65</v>
      </c>
      <c r="F60" s="187">
        <f xml:space="preserve"> SUMIFS(F_Inputs_APR!F$7:F$108, F_Inputs_APR!$A$7:$A$108, $A60, F_Inputs_APR!$B$7:$B$108, $B60)</f>
        <v>9.8472400000000002E-2</v>
      </c>
      <c r="G60" s="187">
        <f xml:space="preserve"> SUMIFS(F_Inputs_APR!G$7:G$108, F_Inputs_APR!$A$7:$A$108, $A60, F_Inputs_APR!$B$7:$B$108, $B60)</f>
        <v>0.122</v>
      </c>
      <c r="H60" s="187">
        <f xml:space="preserve"> SUMIFS(F_Inputs_APR!H$7:H$108, F_Inputs_APR!$A$7:$A$108, $A60, F_Inputs_APR!$B$7:$B$108, $B60)</f>
        <v>0.153</v>
      </c>
      <c r="I60" s="187">
        <f xml:space="preserve"> SUMIFS(F_Inputs_APR!I$7:I$108, F_Inputs_APR!$A$7:$A$108, $A60, F_Inputs_APR!$B$7:$B$108, $B60)</f>
        <v>0.123</v>
      </c>
      <c r="J60" s="145" t="s">
        <v>18</v>
      </c>
      <c r="K60" s="145" t="s">
        <v>18</v>
      </c>
      <c r="L60" s="145" t="s">
        <v>18</v>
      </c>
      <c r="M60" s="145" t="s">
        <v>18</v>
      </c>
      <c r="N60" s="145" t="s">
        <v>18</v>
      </c>
      <c r="O60" s="145" t="s">
        <v>18</v>
      </c>
      <c r="P60" s="145" t="s">
        <v>18</v>
      </c>
      <c r="Q60" s="145" t="s">
        <v>18</v>
      </c>
      <c r="R60" s="144"/>
      <c r="S60" s="144"/>
      <c r="T60" s="144"/>
      <c r="U60" s="144"/>
      <c r="V60" s="144"/>
      <c r="W60" s="144"/>
      <c r="X60" s="144"/>
      <c r="Y60" s="144"/>
    </row>
    <row r="61" spans="1:25" x14ac:dyDescent="0.35">
      <c r="A61" s="142" t="s">
        <v>51</v>
      </c>
      <c r="B61" s="142" t="s">
        <v>66</v>
      </c>
      <c r="C61" s="142" t="s">
        <v>67</v>
      </c>
      <c r="D61" s="142" t="s">
        <v>34</v>
      </c>
      <c r="E61" s="142" t="s">
        <v>65</v>
      </c>
      <c r="F61" s="187">
        <f xml:space="preserve"> SUMIFS(F_Inputs_APR!F$7:F$108, F_Inputs_APR!$A$7:$A$108, $A61, F_Inputs_APR!$B$7:$B$108, $B61)</f>
        <v>0</v>
      </c>
      <c r="G61" s="187">
        <f xml:space="preserve"> SUMIFS(F_Inputs_APR!G$7:G$108, F_Inputs_APR!$A$7:$A$108, $A61, F_Inputs_APR!$B$7:$B$108, $B61)</f>
        <v>0</v>
      </c>
      <c r="H61" s="187">
        <f xml:space="preserve"> SUMIFS(F_Inputs_APR!H$7:H$108, F_Inputs_APR!$A$7:$A$108, $A61, F_Inputs_APR!$B$7:$B$108, $B61)</f>
        <v>0</v>
      </c>
      <c r="I61" s="187">
        <f xml:space="preserve"> SUMIFS(F_Inputs_APR!I$7:I$108, F_Inputs_APR!$A$7:$A$108, $A61, F_Inputs_APR!$B$7:$B$108, $B61)</f>
        <v>0</v>
      </c>
      <c r="J61" s="145" t="s">
        <v>18</v>
      </c>
      <c r="K61" s="145" t="s">
        <v>18</v>
      </c>
      <c r="L61" s="145" t="s">
        <v>18</v>
      </c>
      <c r="M61" s="145" t="s">
        <v>18</v>
      </c>
      <c r="N61" s="145" t="s">
        <v>18</v>
      </c>
      <c r="O61" s="145" t="s">
        <v>18</v>
      </c>
      <c r="P61" s="145" t="s">
        <v>18</v>
      </c>
      <c r="Q61" s="145" t="s">
        <v>18</v>
      </c>
      <c r="R61" s="145"/>
      <c r="S61" s="145"/>
      <c r="T61" s="145"/>
      <c r="U61" s="145"/>
      <c r="V61" s="145"/>
      <c r="W61" s="145"/>
      <c r="X61" s="145"/>
      <c r="Y61" s="145"/>
    </row>
    <row r="62" spans="1:25" x14ac:dyDescent="0.35">
      <c r="A62" s="142" t="s">
        <v>51</v>
      </c>
      <c r="B62" s="142" t="s">
        <v>68</v>
      </c>
      <c r="C62" s="142" t="s">
        <v>38</v>
      </c>
      <c r="D62" s="142" t="s">
        <v>39</v>
      </c>
      <c r="E62" s="142" t="s">
        <v>65</v>
      </c>
      <c r="F62" s="188">
        <f xml:space="preserve"> SUMIFS(F_Inputs_APR!F$7:F$108, F_Inputs_APR!$A$7:$A$108, $A62, F_Inputs_APR!$B$7:$B$108, $B62)</f>
        <v>2653</v>
      </c>
      <c r="G62" s="188">
        <f xml:space="preserve"> SUMIFS(F_Inputs_APR!G$7:G$108, F_Inputs_APR!$A$7:$A$108, $A62, F_Inputs_APR!$B$7:$B$108, $B62)</f>
        <v>3612</v>
      </c>
      <c r="H62" s="188">
        <f xml:space="preserve"> SUMIFS(F_Inputs_APR!H$7:H$108, F_Inputs_APR!$A$7:$A$108, $A62, F_Inputs_APR!$B$7:$B$108, $B62)</f>
        <v>4193</v>
      </c>
      <c r="I62" s="188">
        <f xml:space="preserve"> SUMIFS(F_Inputs_APR!I$7:I$108, F_Inputs_APR!$A$7:$A$108, $A62, F_Inputs_APR!$B$7:$B$108, $B62)</f>
        <v>2468</v>
      </c>
      <c r="J62" s="145" t="s">
        <v>18</v>
      </c>
      <c r="K62" s="145" t="s">
        <v>18</v>
      </c>
      <c r="L62" s="145" t="s">
        <v>18</v>
      </c>
      <c r="M62" s="145" t="s">
        <v>18</v>
      </c>
      <c r="N62" s="145" t="s">
        <v>18</v>
      </c>
      <c r="O62" s="145" t="s">
        <v>18</v>
      </c>
      <c r="P62" s="145" t="s">
        <v>18</v>
      </c>
      <c r="Q62" s="145" t="s">
        <v>18</v>
      </c>
      <c r="R62" s="145"/>
      <c r="S62" s="145"/>
      <c r="T62" s="145"/>
      <c r="U62" s="145"/>
      <c r="V62" s="145"/>
      <c r="W62" s="145"/>
      <c r="X62" s="145"/>
      <c r="Y62" s="145"/>
    </row>
    <row r="63" spans="1:25" x14ac:dyDescent="0.35">
      <c r="A63" s="142" t="s">
        <v>51</v>
      </c>
      <c r="B63" s="142" t="s">
        <v>69</v>
      </c>
      <c r="C63" s="142" t="s">
        <v>70</v>
      </c>
      <c r="D63" s="142" t="s">
        <v>34</v>
      </c>
      <c r="E63" s="142" t="s">
        <v>65</v>
      </c>
      <c r="F63" s="187">
        <f xml:space="preserve"> SUMIFS(F_Inputs_APR!F$7:F$108, F_Inputs_APR!$A$7:$A$108, $A63, F_Inputs_APR!$B$7:$B$108, $B63)</f>
        <v>9.6793000000000105E-3</v>
      </c>
      <c r="G63" s="187">
        <f xml:space="preserve"> SUMIFS(F_Inputs_APR!G$7:G$108, F_Inputs_APR!$A$7:$A$108, $A63, F_Inputs_APR!$B$7:$B$108, $B63)</f>
        <v>1.9E-2</v>
      </c>
      <c r="H63" s="187">
        <f xml:space="preserve"> SUMIFS(F_Inputs_APR!H$7:H$108, F_Inputs_APR!$A$7:$A$108, $A63, F_Inputs_APR!$B$7:$B$108, $B63)</f>
        <v>2.5999999999999999E-2</v>
      </c>
      <c r="I63" s="187">
        <f xml:space="preserve"> SUMIFS(F_Inputs_APR!I$7:I$108, F_Inputs_APR!$A$7:$A$108, $A63, F_Inputs_APR!$B$7:$B$108, $B63)</f>
        <v>2.1000000000000001E-2</v>
      </c>
      <c r="J63" s="145" t="s">
        <v>18</v>
      </c>
      <c r="K63" s="145" t="s">
        <v>18</v>
      </c>
      <c r="L63" s="145" t="s">
        <v>18</v>
      </c>
      <c r="M63" s="145" t="s">
        <v>18</v>
      </c>
      <c r="N63" s="145" t="s">
        <v>18</v>
      </c>
      <c r="O63" s="145" t="s">
        <v>18</v>
      </c>
      <c r="P63" s="145" t="s">
        <v>18</v>
      </c>
      <c r="Q63" s="145" t="s">
        <v>18</v>
      </c>
      <c r="R63" s="145"/>
      <c r="S63" s="145"/>
      <c r="T63" s="145"/>
      <c r="U63" s="145"/>
      <c r="V63" s="145"/>
      <c r="W63" s="145"/>
      <c r="X63" s="145"/>
      <c r="Y63" s="145"/>
    </row>
    <row r="64" spans="1:25" x14ac:dyDescent="0.35">
      <c r="A64" s="142" t="s">
        <v>51</v>
      </c>
      <c r="B64" s="142" t="s">
        <v>71</v>
      </c>
      <c r="C64" s="142" t="s">
        <v>72</v>
      </c>
      <c r="D64" s="142" t="s">
        <v>34</v>
      </c>
      <c r="E64" s="142" t="s">
        <v>65</v>
      </c>
      <c r="F64" s="187">
        <f xml:space="preserve"> SUMIFS(F_Inputs_APR!F$7:F$108, F_Inputs_APR!$A$7:$A$108, $A64, F_Inputs_APR!$B$7:$B$108, $B64)</f>
        <v>0</v>
      </c>
      <c r="G64" s="187">
        <f xml:space="preserve"> SUMIFS(F_Inputs_APR!G$7:G$108, F_Inputs_APR!$A$7:$A$108, $A64, F_Inputs_APR!$B$7:$B$108, $B64)</f>
        <v>0</v>
      </c>
      <c r="H64" s="187">
        <f xml:space="preserve"> SUMIFS(F_Inputs_APR!H$7:H$108, F_Inputs_APR!$A$7:$A$108, $A64, F_Inputs_APR!$B$7:$B$108, $B64)</f>
        <v>0</v>
      </c>
      <c r="I64" s="187">
        <f xml:space="preserve"> SUMIFS(F_Inputs_APR!I$7:I$108, F_Inputs_APR!$A$7:$A$108, $A64, F_Inputs_APR!$B$7:$B$108, $B64)</f>
        <v>0</v>
      </c>
      <c r="J64" s="145" t="s">
        <v>18</v>
      </c>
      <c r="K64" s="145" t="s">
        <v>18</v>
      </c>
      <c r="L64" s="145" t="s">
        <v>18</v>
      </c>
      <c r="M64" s="145" t="s">
        <v>18</v>
      </c>
      <c r="N64" s="145" t="s">
        <v>18</v>
      </c>
      <c r="O64" s="145" t="s">
        <v>18</v>
      </c>
      <c r="P64" s="145" t="s">
        <v>18</v>
      </c>
      <c r="Q64" s="145" t="s">
        <v>18</v>
      </c>
      <c r="R64" s="145"/>
      <c r="S64" s="145"/>
      <c r="T64" s="145"/>
      <c r="U64" s="145"/>
      <c r="V64" s="145"/>
      <c r="W64" s="145"/>
      <c r="X64" s="145"/>
      <c r="Y64" s="145"/>
    </row>
    <row r="65" spans="1:25" x14ac:dyDescent="0.35">
      <c r="A65" s="142" t="s">
        <v>51</v>
      </c>
      <c r="B65" s="142" t="s">
        <v>73</v>
      </c>
      <c r="C65" s="142" t="s">
        <v>38</v>
      </c>
      <c r="D65" s="142" t="s">
        <v>39</v>
      </c>
      <c r="E65" s="142" t="s">
        <v>65</v>
      </c>
      <c r="F65" s="188">
        <f xml:space="preserve"> SUMIFS(F_Inputs_APR!F$7:F$108, F_Inputs_APR!$A$7:$A$108, $A65, F_Inputs_APR!$B$7:$B$108, $B65)</f>
        <v>223</v>
      </c>
      <c r="G65" s="188">
        <f xml:space="preserve"> SUMIFS(F_Inputs_APR!G$7:G$108, F_Inputs_APR!$A$7:$A$108, $A65, F_Inputs_APR!$B$7:$B$108, $B65)</f>
        <v>461</v>
      </c>
      <c r="H65" s="188">
        <f xml:space="preserve"> SUMIFS(F_Inputs_APR!H$7:H$108, F_Inputs_APR!$A$7:$A$108, $A65, F_Inputs_APR!$B$7:$B$108, $B65)</f>
        <v>390</v>
      </c>
      <c r="I65" s="188">
        <f xml:space="preserve"> SUMIFS(F_Inputs_APR!I$7:I$108, F_Inputs_APR!$A$7:$A$108, $A65, F_Inputs_APR!$B$7:$B$108, $B65)</f>
        <v>299</v>
      </c>
      <c r="J65" s="145" t="s">
        <v>18</v>
      </c>
      <c r="K65" s="145" t="s">
        <v>18</v>
      </c>
      <c r="L65" s="145" t="s">
        <v>18</v>
      </c>
      <c r="M65" s="145" t="s">
        <v>18</v>
      </c>
      <c r="N65" s="145" t="s">
        <v>18</v>
      </c>
      <c r="O65" s="145" t="s">
        <v>18</v>
      </c>
      <c r="P65" s="145" t="s">
        <v>18</v>
      </c>
      <c r="Q65" s="145" t="s">
        <v>18</v>
      </c>
      <c r="R65" s="145"/>
      <c r="S65" s="145"/>
      <c r="T65" s="145"/>
      <c r="U65" s="145"/>
      <c r="V65" s="145"/>
      <c r="W65" s="145"/>
      <c r="X65" s="145"/>
      <c r="Y65" s="145"/>
    </row>
    <row r="66" spans="1:25" x14ac:dyDescent="0.35">
      <c r="A66" s="142" t="s">
        <v>52</v>
      </c>
      <c r="B66" s="142" t="s">
        <v>63</v>
      </c>
      <c r="C66" s="142" t="s">
        <v>64</v>
      </c>
      <c r="D66" s="142" t="s">
        <v>34</v>
      </c>
      <c r="E66" s="142" t="s">
        <v>65</v>
      </c>
      <c r="F66" s="187">
        <f xml:space="preserve"> SUMIFS(F_Inputs_APR!F$7:F$108, F_Inputs_APR!$A$7:$A$108, $A66, F_Inputs_APR!$B$7:$B$108, $B66)</f>
        <v>4.1989999999999998</v>
      </c>
      <c r="G66" s="187">
        <f xml:space="preserve"> SUMIFS(F_Inputs_APR!G$7:G$108, F_Inputs_APR!$A$7:$A$108, $A66, F_Inputs_APR!$B$7:$B$108, $B66)</f>
        <v>3.4485552127639498</v>
      </c>
      <c r="H66" s="187">
        <f xml:space="preserve"> SUMIFS(F_Inputs_APR!H$7:H$108, F_Inputs_APR!$A$7:$A$108, $A66, F_Inputs_APR!$B$7:$B$108, $B66)</f>
        <v>3.706</v>
      </c>
      <c r="I66" s="187">
        <f xml:space="preserve"> SUMIFS(F_Inputs_APR!I$7:I$108, F_Inputs_APR!$A$7:$A$108, $A66, F_Inputs_APR!$B$7:$B$108, $B66)</f>
        <v>3.1994937211257151</v>
      </c>
      <c r="J66" s="145" t="s">
        <v>18</v>
      </c>
      <c r="K66" s="145" t="s">
        <v>18</v>
      </c>
      <c r="L66" s="145" t="s">
        <v>18</v>
      </c>
      <c r="M66" s="145" t="s">
        <v>18</v>
      </c>
      <c r="N66" s="145" t="s">
        <v>18</v>
      </c>
      <c r="O66" s="145" t="s">
        <v>18</v>
      </c>
      <c r="P66" s="145" t="s">
        <v>18</v>
      </c>
      <c r="Q66" s="145" t="s">
        <v>18</v>
      </c>
      <c r="R66" s="144"/>
      <c r="S66" s="144"/>
      <c r="T66" s="144"/>
      <c r="U66" s="144"/>
      <c r="V66" s="144"/>
      <c r="W66" s="144"/>
      <c r="X66" s="144"/>
      <c r="Y66" s="144"/>
    </row>
    <row r="67" spans="1:25" x14ac:dyDescent="0.35">
      <c r="A67" s="142" t="s">
        <v>52</v>
      </c>
      <c r="B67" s="142" t="s">
        <v>66</v>
      </c>
      <c r="C67" s="142" t="s">
        <v>67</v>
      </c>
      <c r="D67" s="142" t="s">
        <v>34</v>
      </c>
      <c r="E67" s="142" t="s">
        <v>65</v>
      </c>
      <c r="F67" s="187">
        <f xml:space="preserve"> SUMIFS(F_Inputs_APR!F$7:F$108, F_Inputs_APR!$A$7:$A$108, $A67, F_Inputs_APR!$B$7:$B$108, $B67)</f>
        <v>0</v>
      </c>
      <c r="G67" s="187">
        <f xml:space="preserve"> SUMIFS(F_Inputs_APR!G$7:G$108, F_Inputs_APR!$A$7:$A$108, $A67, F_Inputs_APR!$B$7:$B$108, $B67)</f>
        <v>0</v>
      </c>
      <c r="H67" s="187">
        <f xml:space="preserve"> SUMIFS(F_Inputs_APR!H$7:H$108, F_Inputs_APR!$A$7:$A$108, $A67, F_Inputs_APR!$B$7:$B$108, $B67)</f>
        <v>0</v>
      </c>
      <c r="I67" s="187">
        <f xml:space="preserve"> SUMIFS(F_Inputs_APR!I$7:I$108, F_Inputs_APR!$A$7:$A$108, $A67, F_Inputs_APR!$B$7:$B$108, $B67)</f>
        <v>0</v>
      </c>
      <c r="J67" s="145" t="s">
        <v>18</v>
      </c>
      <c r="K67" s="145" t="s">
        <v>18</v>
      </c>
      <c r="L67" s="145" t="s">
        <v>18</v>
      </c>
      <c r="M67" s="145" t="s">
        <v>18</v>
      </c>
      <c r="N67" s="145" t="s">
        <v>18</v>
      </c>
      <c r="O67" s="145" t="s">
        <v>18</v>
      </c>
      <c r="P67" s="145" t="s">
        <v>18</v>
      </c>
      <c r="Q67" s="145" t="s">
        <v>18</v>
      </c>
      <c r="R67" s="145"/>
      <c r="S67" s="145"/>
      <c r="T67" s="145"/>
      <c r="U67" s="145"/>
      <c r="V67" s="145"/>
      <c r="W67" s="145"/>
      <c r="X67" s="145"/>
      <c r="Y67" s="145"/>
    </row>
    <row r="68" spans="1:25" x14ac:dyDescent="0.35">
      <c r="A68" s="142" t="s">
        <v>52</v>
      </c>
      <c r="B68" s="142" t="s">
        <v>68</v>
      </c>
      <c r="C68" s="142" t="s">
        <v>38</v>
      </c>
      <c r="D68" s="142" t="s">
        <v>39</v>
      </c>
      <c r="E68" s="142" t="s">
        <v>65</v>
      </c>
      <c r="F68" s="188">
        <f xml:space="preserve"> SUMIFS(F_Inputs_APR!F$7:F$108, F_Inputs_APR!$A$7:$A$108, $A68, F_Inputs_APR!$B$7:$B$108, $B68)</f>
        <v>27208</v>
      </c>
      <c r="G68" s="188">
        <f xml:space="preserve"> SUMIFS(F_Inputs_APR!G$7:G$108, F_Inputs_APR!$A$7:$A$108, $A68, F_Inputs_APR!$B$7:$B$108, $B68)</f>
        <v>21430.17</v>
      </c>
      <c r="H68" s="188">
        <f xml:space="preserve"> SUMIFS(F_Inputs_APR!H$7:H$108, F_Inputs_APR!$A$7:$A$108, $A68, F_Inputs_APR!$B$7:$B$108, $B68)</f>
        <v>20800</v>
      </c>
      <c r="I68" s="188">
        <f xml:space="preserve"> SUMIFS(F_Inputs_APR!I$7:I$108, F_Inputs_APR!$A$7:$A$108, $A68, F_Inputs_APR!$B$7:$B$108, $B68)</f>
        <v>23607.160577196886</v>
      </c>
      <c r="J68" s="145" t="s">
        <v>18</v>
      </c>
      <c r="K68" s="145" t="s">
        <v>18</v>
      </c>
      <c r="L68" s="145" t="s">
        <v>18</v>
      </c>
      <c r="M68" s="145" t="s">
        <v>18</v>
      </c>
      <c r="N68" s="145" t="s">
        <v>18</v>
      </c>
      <c r="O68" s="145" t="s">
        <v>18</v>
      </c>
      <c r="P68" s="145" t="s">
        <v>18</v>
      </c>
      <c r="Q68" s="145" t="s">
        <v>18</v>
      </c>
      <c r="R68" s="145"/>
      <c r="S68" s="145"/>
      <c r="T68" s="145"/>
      <c r="U68" s="145"/>
      <c r="V68" s="145"/>
      <c r="W68" s="145"/>
      <c r="X68" s="145"/>
      <c r="Y68" s="145"/>
    </row>
    <row r="69" spans="1:25" x14ac:dyDescent="0.35">
      <c r="A69" s="142" t="s">
        <v>52</v>
      </c>
      <c r="B69" s="142" t="s">
        <v>69</v>
      </c>
      <c r="C69" s="142" t="s">
        <v>70</v>
      </c>
      <c r="D69" s="142" t="s">
        <v>34</v>
      </c>
      <c r="E69" s="142" t="s">
        <v>65</v>
      </c>
      <c r="F69" s="187">
        <f xml:space="preserve"> SUMIFS(F_Inputs_APR!F$7:F$108, F_Inputs_APR!$A$7:$A$108, $A69, F_Inputs_APR!$B$7:$B$108, $B69)</f>
        <v>0.29799999999999999</v>
      </c>
      <c r="G69" s="187">
        <f xml:space="preserve"> SUMIFS(F_Inputs_APR!G$7:G$108, F_Inputs_APR!$A$7:$A$108, $A69, F_Inputs_APR!$B$7:$B$108, $B69)</f>
        <v>0.16600000000000001</v>
      </c>
      <c r="H69" s="187">
        <f xml:space="preserve"> SUMIFS(F_Inputs_APR!H$7:H$108, F_Inputs_APR!$A$7:$A$108, $A69, F_Inputs_APR!$B$7:$B$108, $B69)</f>
        <v>0.13171905116610619</v>
      </c>
      <c r="I69" s="187">
        <f xml:space="preserve"> SUMIFS(F_Inputs_APR!I$7:I$108, F_Inputs_APR!$A$7:$A$108, $A69, F_Inputs_APR!$B$7:$B$108, $B69)</f>
        <v>0.23767539694945838</v>
      </c>
      <c r="J69" s="145" t="s">
        <v>18</v>
      </c>
      <c r="K69" s="145" t="s">
        <v>18</v>
      </c>
      <c r="L69" s="145" t="s">
        <v>18</v>
      </c>
      <c r="M69" s="145" t="s">
        <v>18</v>
      </c>
      <c r="N69" s="145" t="s">
        <v>18</v>
      </c>
      <c r="O69" s="145" t="s">
        <v>18</v>
      </c>
      <c r="P69" s="145" t="s">
        <v>18</v>
      </c>
      <c r="Q69" s="145" t="s">
        <v>18</v>
      </c>
      <c r="R69" s="145"/>
      <c r="S69" s="145"/>
      <c r="T69" s="145"/>
      <c r="U69" s="145"/>
      <c r="V69" s="145"/>
      <c r="W69" s="145"/>
      <c r="X69" s="145"/>
      <c r="Y69" s="145"/>
    </row>
    <row r="70" spans="1:25" x14ac:dyDescent="0.35">
      <c r="A70" s="142" t="s">
        <v>52</v>
      </c>
      <c r="B70" s="142" t="s">
        <v>71</v>
      </c>
      <c r="C70" s="142" t="s">
        <v>72</v>
      </c>
      <c r="D70" s="142" t="s">
        <v>34</v>
      </c>
      <c r="E70" s="142" t="s">
        <v>65</v>
      </c>
      <c r="F70" s="187">
        <f xml:space="preserve"> SUMIFS(F_Inputs_APR!F$7:F$108, F_Inputs_APR!$A$7:$A$108, $A70, F_Inputs_APR!$B$7:$B$108, $B70)</f>
        <v>0</v>
      </c>
      <c r="G70" s="187">
        <f xml:space="preserve"> SUMIFS(F_Inputs_APR!G$7:G$108, F_Inputs_APR!$A$7:$A$108, $A70, F_Inputs_APR!$B$7:$B$108, $B70)</f>
        <v>0</v>
      </c>
      <c r="H70" s="187">
        <f xml:space="preserve"> SUMIFS(F_Inputs_APR!H$7:H$108, F_Inputs_APR!$A$7:$A$108, $A70, F_Inputs_APR!$B$7:$B$108, $B70)</f>
        <v>0</v>
      </c>
      <c r="I70" s="187">
        <f xml:space="preserve"> SUMIFS(F_Inputs_APR!I$7:I$108, F_Inputs_APR!$A$7:$A$108, $A70, F_Inputs_APR!$B$7:$B$108, $B70)</f>
        <v>0</v>
      </c>
      <c r="J70" s="145" t="s">
        <v>18</v>
      </c>
      <c r="K70" s="145" t="s">
        <v>18</v>
      </c>
      <c r="L70" s="145" t="s">
        <v>18</v>
      </c>
      <c r="M70" s="145" t="s">
        <v>18</v>
      </c>
      <c r="N70" s="145" t="s">
        <v>18</v>
      </c>
      <c r="O70" s="145" t="s">
        <v>18</v>
      </c>
      <c r="P70" s="145" t="s">
        <v>18</v>
      </c>
      <c r="Q70" s="145" t="s">
        <v>18</v>
      </c>
      <c r="R70" s="145"/>
      <c r="S70" s="145"/>
      <c r="T70" s="145"/>
      <c r="U70" s="145"/>
      <c r="V70" s="145"/>
      <c r="W70" s="145"/>
      <c r="X70" s="145"/>
      <c r="Y70" s="145"/>
    </row>
    <row r="71" spans="1:25" x14ac:dyDescent="0.35">
      <c r="A71" s="142" t="s">
        <v>52</v>
      </c>
      <c r="B71" s="142" t="s">
        <v>73</v>
      </c>
      <c r="C71" s="142" t="s">
        <v>38</v>
      </c>
      <c r="D71" s="142" t="s">
        <v>39</v>
      </c>
      <c r="E71" s="142" t="s">
        <v>65</v>
      </c>
      <c r="F71" s="188">
        <f xml:space="preserve"> SUMIFS(F_Inputs_APR!F$7:F$108, F_Inputs_APR!$A$7:$A$108, $A71, F_Inputs_APR!$B$7:$B$108, $B71)</f>
        <v>1500</v>
      </c>
      <c r="G71" s="188">
        <f xml:space="preserve"> SUMIFS(F_Inputs_APR!G$7:G$108, F_Inputs_APR!$A$7:$A$108, $A71, F_Inputs_APR!$B$7:$B$108, $B71)</f>
        <v>811.94</v>
      </c>
      <c r="H71" s="188">
        <f xml:space="preserve"> SUMIFS(F_Inputs_APR!H$7:H$108, F_Inputs_APR!$A$7:$A$108, $A71, F_Inputs_APR!$B$7:$B$108, $B71)</f>
        <v>811</v>
      </c>
      <c r="I71" s="188">
        <f xml:space="preserve"> SUMIFS(F_Inputs_APR!I$7:I$108, F_Inputs_APR!$A$7:$A$108, $A71, F_Inputs_APR!$B$7:$B$108, $B71)</f>
        <v>1915.8038969578993</v>
      </c>
      <c r="J71" s="145" t="s">
        <v>18</v>
      </c>
      <c r="K71" s="145" t="s">
        <v>18</v>
      </c>
      <c r="L71" s="145" t="s">
        <v>18</v>
      </c>
      <c r="M71" s="145" t="s">
        <v>18</v>
      </c>
      <c r="N71" s="145" t="s">
        <v>18</v>
      </c>
      <c r="O71" s="145" t="s">
        <v>18</v>
      </c>
      <c r="P71" s="145" t="s">
        <v>18</v>
      </c>
      <c r="Q71" s="145" t="s">
        <v>18</v>
      </c>
      <c r="R71" s="145"/>
      <c r="S71" s="145"/>
      <c r="T71" s="145"/>
      <c r="U71" s="145"/>
      <c r="V71" s="145"/>
      <c r="W71" s="145"/>
      <c r="X71" s="145"/>
      <c r="Y71" s="145"/>
    </row>
    <row r="72" spans="1:25" x14ac:dyDescent="0.35">
      <c r="A72" s="142" t="s">
        <v>53</v>
      </c>
      <c r="B72" s="142" t="s">
        <v>63</v>
      </c>
      <c r="C72" s="142" t="s">
        <v>64</v>
      </c>
      <c r="D72" s="142" t="s">
        <v>34</v>
      </c>
      <c r="E72" s="142" t="s">
        <v>65</v>
      </c>
      <c r="F72" s="187">
        <f xml:space="preserve"> SUMIFS(F_Inputs_APR!F$7:F$108, F_Inputs_APR!$A$7:$A$108, $A72, F_Inputs_APR!$B$7:$B$108, $B72)</f>
        <v>1.8660000000000001</v>
      </c>
      <c r="G72" s="187">
        <f xml:space="preserve"> SUMIFS(F_Inputs_APR!G$7:G$108, F_Inputs_APR!$A$7:$A$108, $A72, F_Inputs_APR!$B$7:$B$108, $B72)</f>
        <v>1.0509999999999999</v>
      </c>
      <c r="H72" s="187">
        <f xml:space="preserve"> SUMIFS(F_Inputs_APR!H$7:H$108, F_Inputs_APR!$A$7:$A$108, $A72, F_Inputs_APR!$B$7:$B$108, $B72)</f>
        <v>0.61699999999999999</v>
      </c>
      <c r="I72" s="187">
        <f xml:space="preserve"> SUMIFS(F_Inputs_APR!I$7:I$108, F_Inputs_APR!$A$7:$A$108, $A72, F_Inputs_APR!$B$7:$B$108, $B72)</f>
        <v>0.50800000000000001</v>
      </c>
      <c r="J72" s="145" t="s">
        <v>18</v>
      </c>
      <c r="K72" s="145" t="s">
        <v>18</v>
      </c>
      <c r="L72" s="145" t="s">
        <v>18</v>
      </c>
      <c r="M72" s="145" t="s">
        <v>18</v>
      </c>
      <c r="N72" s="145" t="s">
        <v>18</v>
      </c>
      <c r="O72" s="145" t="s">
        <v>18</v>
      </c>
      <c r="P72" s="145" t="s">
        <v>18</v>
      </c>
      <c r="Q72" s="145" t="s">
        <v>18</v>
      </c>
      <c r="R72" s="144"/>
      <c r="S72" s="144"/>
      <c r="T72" s="144"/>
      <c r="U72" s="144"/>
      <c r="V72" s="144"/>
      <c r="W72" s="144"/>
      <c r="X72" s="144"/>
      <c r="Y72" s="144"/>
    </row>
    <row r="73" spans="1:25" x14ac:dyDescent="0.35">
      <c r="A73" s="142" t="s">
        <v>53</v>
      </c>
      <c r="B73" s="142" t="s">
        <v>66</v>
      </c>
      <c r="C73" s="142" t="s">
        <v>67</v>
      </c>
      <c r="D73" s="142" t="s">
        <v>34</v>
      </c>
      <c r="E73" s="142" t="s">
        <v>65</v>
      </c>
      <c r="F73" s="187">
        <f xml:space="preserve"> SUMIFS(F_Inputs_APR!F$7:F$108, F_Inputs_APR!$A$7:$A$108, $A73, F_Inputs_APR!$B$7:$B$108, $B73)</f>
        <v>0</v>
      </c>
      <c r="G73" s="187">
        <f xml:space="preserve"> SUMIFS(F_Inputs_APR!G$7:G$108, F_Inputs_APR!$A$7:$A$108, $A73, F_Inputs_APR!$B$7:$B$108, $B73)</f>
        <v>0.03</v>
      </c>
      <c r="H73" s="187">
        <f xml:space="preserve"> SUMIFS(F_Inputs_APR!H$7:H$108, F_Inputs_APR!$A$7:$A$108, $A73, F_Inputs_APR!$B$7:$B$108, $B73)</f>
        <v>1.2999999999999999E-2</v>
      </c>
      <c r="I73" s="187">
        <f xml:space="preserve"> SUMIFS(F_Inputs_APR!I$7:I$108, F_Inputs_APR!$A$7:$A$108, $A73, F_Inputs_APR!$B$7:$B$108, $B73)</f>
        <v>7.0000000000000001E-3</v>
      </c>
      <c r="J73" s="145" t="s">
        <v>18</v>
      </c>
      <c r="K73" s="145" t="s">
        <v>18</v>
      </c>
      <c r="L73" s="145" t="s">
        <v>18</v>
      </c>
      <c r="M73" s="145" t="s">
        <v>18</v>
      </c>
      <c r="N73" s="145" t="s">
        <v>18</v>
      </c>
      <c r="O73" s="145" t="s">
        <v>18</v>
      </c>
      <c r="P73" s="145" t="s">
        <v>18</v>
      </c>
      <c r="Q73" s="145" t="s">
        <v>18</v>
      </c>
      <c r="R73" s="145"/>
      <c r="S73" s="145"/>
      <c r="T73" s="145"/>
      <c r="U73" s="145"/>
      <c r="V73" s="145"/>
      <c r="W73" s="145"/>
      <c r="X73" s="145"/>
      <c r="Y73" s="145"/>
    </row>
    <row r="74" spans="1:25" x14ac:dyDescent="0.35">
      <c r="A74" s="142" t="s">
        <v>53</v>
      </c>
      <c r="B74" s="142" t="s">
        <v>68</v>
      </c>
      <c r="C74" s="142" t="s">
        <v>38</v>
      </c>
      <c r="D74" s="142" t="s">
        <v>39</v>
      </c>
      <c r="E74" s="142" t="s">
        <v>65</v>
      </c>
      <c r="F74" s="188">
        <f xml:space="preserve"> SUMIFS(F_Inputs_APR!F$7:F$108, F_Inputs_APR!$A$7:$A$108, $A74, F_Inputs_APR!$B$7:$B$108, $B74)</f>
        <v>25.216000000000001</v>
      </c>
      <c r="G74" s="188">
        <f xml:space="preserve"> SUMIFS(F_Inputs_APR!G$7:G$108, F_Inputs_APR!$A$7:$A$108, $A74, F_Inputs_APR!$B$7:$B$108, $B74)</f>
        <v>24441.440867070502</v>
      </c>
      <c r="H74" s="188">
        <f xml:space="preserve"> SUMIFS(F_Inputs_APR!H$7:H$108, F_Inputs_APR!$A$7:$A$108, $A74, F_Inputs_APR!$B$7:$B$108, $B74)</f>
        <v>25354.19091949637</v>
      </c>
      <c r="I74" s="188">
        <f xml:space="preserve"> SUMIFS(F_Inputs_APR!I$7:I$108, F_Inputs_APR!$A$7:$A$108, $A74, F_Inputs_APR!$B$7:$B$108, $B74)</f>
        <v>23744.716</v>
      </c>
      <c r="J74" s="145" t="s">
        <v>18</v>
      </c>
      <c r="K74" s="145" t="s">
        <v>18</v>
      </c>
      <c r="L74" s="145" t="s">
        <v>18</v>
      </c>
      <c r="M74" s="145" t="s">
        <v>18</v>
      </c>
      <c r="N74" s="145" t="s">
        <v>18</v>
      </c>
      <c r="O74" s="145" t="s">
        <v>18</v>
      </c>
      <c r="P74" s="145" t="s">
        <v>18</v>
      </c>
      <c r="Q74" s="145" t="s">
        <v>18</v>
      </c>
      <c r="R74" s="145"/>
      <c r="S74" s="145"/>
      <c r="T74" s="145"/>
      <c r="U74" s="145"/>
      <c r="V74" s="145"/>
      <c r="W74" s="145"/>
      <c r="X74" s="145"/>
      <c r="Y74" s="145"/>
    </row>
    <row r="75" spans="1:25" x14ac:dyDescent="0.35">
      <c r="A75" s="142" t="s">
        <v>53</v>
      </c>
      <c r="B75" s="142" t="s">
        <v>69</v>
      </c>
      <c r="C75" s="142" t="s">
        <v>70</v>
      </c>
      <c r="D75" s="142" t="s">
        <v>34</v>
      </c>
      <c r="E75" s="142" t="s">
        <v>65</v>
      </c>
      <c r="F75" s="187">
        <f xml:space="preserve"> SUMIFS(F_Inputs_APR!F$7:F$108, F_Inputs_APR!$A$7:$A$108, $A75, F_Inputs_APR!$B$7:$B$108, $B75)</f>
        <v>0</v>
      </c>
      <c r="G75" s="187">
        <f xml:space="preserve"> SUMIFS(F_Inputs_APR!G$7:G$108, F_Inputs_APR!$A$7:$A$108, $A75, F_Inputs_APR!$B$7:$B$108, $B75)</f>
        <v>0</v>
      </c>
      <c r="H75" s="187">
        <f xml:space="preserve"> SUMIFS(F_Inputs_APR!H$7:H$108, F_Inputs_APR!$A$7:$A$108, $A75, F_Inputs_APR!$B$7:$B$108, $B75)</f>
        <v>0</v>
      </c>
      <c r="I75" s="187">
        <f xml:space="preserve"> SUMIFS(F_Inputs_APR!I$7:I$108, F_Inputs_APR!$A$7:$A$108, $A75, F_Inputs_APR!$B$7:$B$108, $B75)</f>
        <v>0</v>
      </c>
      <c r="J75" s="145" t="s">
        <v>18</v>
      </c>
      <c r="K75" s="145" t="s">
        <v>18</v>
      </c>
      <c r="L75" s="145" t="s">
        <v>18</v>
      </c>
      <c r="M75" s="145" t="s">
        <v>18</v>
      </c>
      <c r="N75" s="145" t="s">
        <v>18</v>
      </c>
      <c r="O75" s="145" t="s">
        <v>18</v>
      </c>
      <c r="P75" s="145" t="s">
        <v>18</v>
      </c>
      <c r="Q75" s="145" t="s">
        <v>18</v>
      </c>
      <c r="R75" s="145"/>
      <c r="S75" s="145"/>
      <c r="T75" s="145"/>
      <c r="U75" s="145"/>
      <c r="V75" s="145"/>
      <c r="W75" s="145"/>
      <c r="X75" s="145"/>
      <c r="Y75" s="145"/>
    </row>
    <row r="76" spans="1:25" x14ac:dyDescent="0.35">
      <c r="A76" s="142" t="s">
        <v>53</v>
      </c>
      <c r="B76" s="142" t="s">
        <v>71</v>
      </c>
      <c r="C76" s="142" t="s">
        <v>72</v>
      </c>
      <c r="D76" s="142" t="s">
        <v>34</v>
      </c>
      <c r="E76" s="142" t="s">
        <v>65</v>
      </c>
      <c r="F76" s="187">
        <f xml:space="preserve"> SUMIFS(F_Inputs_APR!F$7:F$108, F_Inputs_APR!$A$7:$A$108, $A76, F_Inputs_APR!$B$7:$B$108, $B76)</f>
        <v>0</v>
      </c>
      <c r="G76" s="187">
        <f xml:space="preserve"> SUMIFS(F_Inputs_APR!G$7:G$108, F_Inputs_APR!$A$7:$A$108, $A76, F_Inputs_APR!$B$7:$B$108, $B76)</f>
        <v>0</v>
      </c>
      <c r="H76" s="187">
        <f xml:space="preserve"> SUMIFS(F_Inputs_APR!H$7:H$108, F_Inputs_APR!$A$7:$A$108, $A76, F_Inputs_APR!$B$7:$B$108, $B76)</f>
        <v>0</v>
      </c>
      <c r="I76" s="187">
        <f xml:space="preserve"> SUMIFS(F_Inputs_APR!I$7:I$108, F_Inputs_APR!$A$7:$A$108, $A76, F_Inputs_APR!$B$7:$B$108, $B76)</f>
        <v>0</v>
      </c>
      <c r="J76" s="145" t="s">
        <v>18</v>
      </c>
      <c r="K76" s="145" t="s">
        <v>18</v>
      </c>
      <c r="L76" s="145" t="s">
        <v>18</v>
      </c>
      <c r="M76" s="145" t="s">
        <v>18</v>
      </c>
      <c r="N76" s="145" t="s">
        <v>18</v>
      </c>
      <c r="O76" s="145" t="s">
        <v>18</v>
      </c>
      <c r="P76" s="145" t="s">
        <v>18</v>
      </c>
      <c r="Q76" s="145" t="s">
        <v>18</v>
      </c>
      <c r="R76" s="145"/>
      <c r="S76" s="145"/>
      <c r="T76" s="145"/>
      <c r="U76" s="145"/>
      <c r="V76" s="145"/>
      <c r="W76" s="145"/>
      <c r="X76" s="145"/>
      <c r="Y76" s="145"/>
    </row>
    <row r="77" spans="1:25" x14ac:dyDescent="0.35">
      <c r="A77" s="142" t="s">
        <v>53</v>
      </c>
      <c r="B77" s="142" t="s">
        <v>73</v>
      </c>
      <c r="C77" s="142" t="s">
        <v>38</v>
      </c>
      <c r="D77" s="142" t="s">
        <v>39</v>
      </c>
      <c r="E77" s="142" t="s">
        <v>65</v>
      </c>
      <c r="F77" s="188">
        <f xml:space="preserve"> SUMIFS(F_Inputs_APR!F$7:F$108, F_Inputs_APR!$A$7:$A$108, $A77, F_Inputs_APR!$B$7:$B$108, $B77)</f>
        <v>0</v>
      </c>
      <c r="G77" s="188">
        <f xml:space="preserve"> SUMIFS(F_Inputs_APR!G$7:G$108, F_Inputs_APR!$A$7:$A$108, $A77, F_Inputs_APR!$B$7:$B$108, $B77)</f>
        <v>0</v>
      </c>
      <c r="H77" s="188">
        <f xml:space="preserve"> SUMIFS(F_Inputs_APR!H$7:H$108, F_Inputs_APR!$A$7:$A$108, $A77, F_Inputs_APR!$B$7:$B$108, $B77)</f>
        <v>0</v>
      </c>
      <c r="I77" s="188">
        <f xml:space="preserve"> SUMIFS(F_Inputs_APR!I$7:I$108, F_Inputs_APR!$A$7:$A$108, $A77, F_Inputs_APR!$B$7:$B$108, $B77)</f>
        <v>0</v>
      </c>
      <c r="J77" s="145" t="s">
        <v>18</v>
      </c>
      <c r="K77" s="145" t="s">
        <v>18</v>
      </c>
      <c r="L77" s="145" t="s">
        <v>18</v>
      </c>
      <c r="M77" s="145" t="s">
        <v>18</v>
      </c>
      <c r="N77" s="145" t="s">
        <v>18</v>
      </c>
      <c r="O77" s="145" t="s">
        <v>18</v>
      </c>
      <c r="P77" s="145" t="s">
        <v>18</v>
      </c>
      <c r="Q77" s="145" t="s">
        <v>18</v>
      </c>
      <c r="R77" s="145"/>
      <c r="S77" s="145"/>
      <c r="T77" s="145"/>
      <c r="U77" s="145"/>
      <c r="V77" s="145"/>
      <c r="W77" s="145"/>
      <c r="X77" s="145"/>
      <c r="Y77" s="145"/>
    </row>
    <row r="78" spans="1:25" x14ac:dyDescent="0.35">
      <c r="A78" s="142" t="s">
        <v>54</v>
      </c>
      <c r="B78" s="142" t="s">
        <v>63</v>
      </c>
      <c r="C78" s="142" t="s">
        <v>64</v>
      </c>
      <c r="D78" s="142" t="s">
        <v>34</v>
      </c>
      <c r="E78" s="142" t="s">
        <v>65</v>
      </c>
      <c r="F78" s="187">
        <f xml:space="preserve"> SUMIFS(F_Inputs_APR!F$7:F$108, F_Inputs_APR!$A$7:$A$108, $A78, F_Inputs_APR!$B$7:$B$108, $B78)</f>
        <v>0.33600000000000002</v>
      </c>
      <c r="G78" s="187">
        <f xml:space="preserve"> SUMIFS(F_Inputs_APR!G$7:G$108, F_Inputs_APR!$A$7:$A$108, $A78, F_Inputs_APR!$B$7:$B$108, $B78)</f>
        <v>0.36899999999999999</v>
      </c>
      <c r="H78" s="187">
        <f xml:space="preserve"> SUMIFS(F_Inputs_APR!H$7:H$108, F_Inputs_APR!$A$7:$A$108, $A78, F_Inputs_APR!$B$7:$B$108, $B78)</f>
        <v>0.20599999999999999</v>
      </c>
      <c r="I78" s="187">
        <f xml:space="preserve"> SUMIFS(F_Inputs_APR!I$7:I$108, F_Inputs_APR!$A$7:$A$108, $A78, F_Inputs_APR!$B$7:$B$108, $B78)</f>
        <v>0.47199999999999998</v>
      </c>
      <c r="J78" s="145" t="s">
        <v>18</v>
      </c>
      <c r="K78" s="145" t="s">
        <v>18</v>
      </c>
      <c r="L78" s="145" t="s">
        <v>18</v>
      </c>
      <c r="M78" s="145" t="s">
        <v>18</v>
      </c>
      <c r="N78" s="145" t="s">
        <v>18</v>
      </c>
      <c r="O78" s="145" t="s">
        <v>18</v>
      </c>
      <c r="P78" s="145" t="s">
        <v>18</v>
      </c>
      <c r="Q78" s="145" t="s">
        <v>18</v>
      </c>
      <c r="R78" s="144"/>
      <c r="S78" s="144"/>
      <c r="T78" s="144"/>
      <c r="U78" s="144"/>
      <c r="V78" s="144"/>
      <c r="W78" s="144"/>
      <c r="X78" s="144"/>
      <c r="Y78" s="144"/>
    </row>
    <row r="79" spans="1:25" x14ac:dyDescent="0.35">
      <c r="A79" s="142" t="s">
        <v>54</v>
      </c>
      <c r="B79" s="142" t="s">
        <v>66</v>
      </c>
      <c r="C79" s="142" t="s">
        <v>67</v>
      </c>
      <c r="D79" s="142" t="s">
        <v>34</v>
      </c>
      <c r="E79" s="142" t="s">
        <v>65</v>
      </c>
      <c r="F79" s="187">
        <f xml:space="preserve"> SUMIFS(F_Inputs_APR!F$7:F$108, F_Inputs_APR!$A$7:$A$108, $A79, F_Inputs_APR!$B$7:$B$108, $B79)</f>
        <v>0</v>
      </c>
      <c r="G79" s="187">
        <f xml:space="preserve"> SUMIFS(F_Inputs_APR!G$7:G$108, F_Inputs_APR!$A$7:$A$108, $A79, F_Inputs_APR!$B$7:$B$108, $B79)</f>
        <v>0</v>
      </c>
      <c r="H79" s="187">
        <f xml:space="preserve"> SUMIFS(F_Inputs_APR!H$7:H$108, F_Inputs_APR!$A$7:$A$108, $A79, F_Inputs_APR!$B$7:$B$108, $B79)</f>
        <v>0</v>
      </c>
      <c r="I79" s="187">
        <f xml:space="preserve"> SUMIFS(F_Inputs_APR!I$7:I$108, F_Inputs_APR!$A$7:$A$108, $A79, F_Inputs_APR!$B$7:$B$108, $B79)</f>
        <v>0</v>
      </c>
      <c r="J79" s="145" t="s">
        <v>18</v>
      </c>
      <c r="K79" s="145" t="s">
        <v>18</v>
      </c>
      <c r="L79" s="145" t="s">
        <v>18</v>
      </c>
      <c r="M79" s="145" t="s">
        <v>18</v>
      </c>
      <c r="N79" s="145" t="s">
        <v>18</v>
      </c>
      <c r="O79" s="145" t="s">
        <v>18</v>
      </c>
      <c r="P79" s="145" t="s">
        <v>18</v>
      </c>
      <c r="Q79" s="145" t="s">
        <v>18</v>
      </c>
      <c r="R79" s="145"/>
      <c r="S79" s="145"/>
      <c r="T79" s="145"/>
      <c r="U79" s="145"/>
      <c r="V79" s="145"/>
      <c r="W79" s="145"/>
      <c r="X79" s="145"/>
      <c r="Y79" s="145"/>
    </row>
    <row r="80" spans="1:25" x14ac:dyDescent="0.35">
      <c r="A80" s="142" t="s">
        <v>54</v>
      </c>
      <c r="B80" s="142" t="s">
        <v>68</v>
      </c>
      <c r="C80" s="142" t="s">
        <v>38</v>
      </c>
      <c r="D80" s="142" t="s">
        <v>39</v>
      </c>
      <c r="E80" s="142" t="s">
        <v>65</v>
      </c>
      <c r="F80" s="188">
        <f xml:space="preserve"> SUMIFS(F_Inputs_APR!F$7:F$108, F_Inputs_APR!$A$7:$A$108, $A80, F_Inputs_APR!$B$7:$B$108, $B80)</f>
        <v>181</v>
      </c>
      <c r="G80" s="188">
        <f xml:space="preserve"> SUMIFS(F_Inputs_APR!G$7:G$108, F_Inputs_APR!$A$7:$A$108, $A80, F_Inputs_APR!$B$7:$B$108, $B80)</f>
        <v>11681</v>
      </c>
      <c r="H80" s="188">
        <f xml:space="preserve"> SUMIFS(F_Inputs_APR!H$7:H$108, F_Inputs_APR!$A$7:$A$108, $A80, F_Inputs_APR!$B$7:$B$108, $B80)</f>
        <v>13989</v>
      </c>
      <c r="I80" s="188">
        <f xml:space="preserve"> SUMIFS(F_Inputs_APR!I$7:I$108, F_Inputs_APR!$A$7:$A$108, $A80, F_Inputs_APR!$B$7:$B$108, $B80)</f>
        <v>14099</v>
      </c>
      <c r="J80" s="145" t="s">
        <v>18</v>
      </c>
      <c r="K80" s="145" t="s">
        <v>18</v>
      </c>
      <c r="L80" s="145" t="s">
        <v>18</v>
      </c>
      <c r="M80" s="145" t="s">
        <v>18</v>
      </c>
      <c r="N80" s="145" t="s">
        <v>18</v>
      </c>
      <c r="O80" s="145" t="s">
        <v>18</v>
      </c>
      <c r="P80" s="145" t="s">
        <v>18</v>
      </c>
      <c r="Q80" s="145" t="s">
        <v>18</v>
      </c>
      <c r="R80" s="145"/>
      <c r="S80" s="145"/>
      <c r="T80" s="145"/>
      <c r="U80" s="145"/>
      <c r="V80" s="145"/>
      <c r="W80" s="145"/>
      <c r="X80" s="145"/>
      <c r="Y80" s="145"/>
    </row>
    <row r="81" spans="1:25" x14ac:dyDescent="0.35">
      <c r="A81" s="142" t="s">
        <v>54</v>
      </c>
      <c r="B81" s="142" t="s">
        <v>69</v>
      </c>
      <c r="C81" s="142" t="s">
        <v>70</v>
      </c>
      <c r="D81" s="142" t="s">
        <v>34</v>
      </c>
      <c r="E81" s="142" t="s">
        <v>65</v>
      </c>
      <c r="F81" s="187">
        <f xml:space="preserve"> SUMIFS(F_Inputs_APR!F$7:F$108, F_Inputs_APR!$A$7:$A$108, $A81, F_Inputs_APR!$B$7:$B$108, $B81)</f>
        <v>0</v>
      </c>
      <c r="G81" s="187">
        <f xml:space="preserve"> SUMIFS(F_Inputs_APR!G$7:G$108, F_Inputs_APR!$A$7:$A$108, $A81, F_Inputs_APR!$B$7:$B$108, $B81)</f>
        <v>0</v>
      </c>
      <c r="H81" s="187">
        <f xml:space="preserve"> SUMIFS(F_Inputs_APR!H$7:H$108, F_Inputs_APR!$A$7:$A$108, $A81, F_Inputs_APR!$B$7:$B$108, $B81)</f>
        <v>0</v>
      </c>
      <c r="I81" s="187">
        <f xml:space="preserve"> SUMIFS(F_Inputs_APR!I$7:I$108, F_Inputs_APR!$A$7:$A$108, $A81, F_Inputs_APR!$B$7:$B$108, $B81)</f>
        <v>0</v>
      </c>
      <c r="J81" s="145" t="s">
        <v>18</v>
      </c>
      <c r="K81" s="145" t="s">
        <v>18</v>
      </c>
      <c r="L81" s="145" t="s">
        <v>18</v>
      </c>
      <c r="M81" s="145" t="s">
        <v>18</v>
      </c>
      <c r="N81" s="145" t="s">
        <v>18</v>
      </c>
      <c r="O81" s="145" t="s">
        <v>18</v>
      </c>
      <c r="P81" s="145" t="s">
        <v>18</v>
      </c>
      <c r="Q81" s="145" t="s">
        <v>18</v>
      </c>
      <c r="R81" s="145"/>
      <c r="S81" s="145"/>
      <c r="T81" s="145"/>
      <c r="U81" s="145"/>
      <c r="V81" s="145"/>
      <c r="W81" s="145"/>
      <c r="X81" s="145"/>
      <c r="Y81" s="145"/>
    </row>
    <row r="82" spans="1:25" x14ac:dyDescent="0.35">
      <c r="A82" s="142" t="s">
        <v>54</v>
      </c>
      <c r="B82" s="142" t="s">
        <v>71</v>
      </c>
      <c r="C82" s="142" t="s">
        <v>72</v>
      </c>
      <c r="D82" s="142" t="s">
        <v>34</v>
      </c>
      <c r="E82" s="142" t="s">
        <v>65</v>
      </c>
      <c r="F82" s="187">
        <f xml:space="preserve"> SUMIFS(F_Inputs_APR!F$7:F$108, F_Inputs_APR!$A$7:$A$108, $A82, F_Inputs_APR!$B$7:$B$108, $B82)</f>
        <v>0</v>
      </c>
      <c r="G82" s="187">
        <f xml:space="preserve"> SUMIFS(F_Inputs_APR!G$7:G$108, F_Inputs_APR!$A$7:$A$108, $A82, F_Inputs_APR!$B$7:$B$108, $B82)</f>
        <v>0</v>
      </c>
      <c r="H82" s="187">
        <f xml:space="preserve"> SUMIFS(F_Inputs_APR!H$7:H$108, F_Inputs_APR!$A$7:$A$108, $A82, F_Inputs_APR!$B$7:$B$108, $B82)</f>
        <v>0</v>
      </c>
      <c r="I82" s="187">
        <f xml:space="preserve"> SUMIFS(F_Inputs_APR!I$7:I$108, F_Inputs_APR!$A$7:$A$108, $A82, F_Inputs_APR!$B$7:$B$108, $B82)</f>
        <v>0</v>
      </c>
      <c r="J82" s="145" t="s">
        <v>18</v>
      </c>
      <c r="K82" s="145" t="s">
        <v>18</v>
      </c>
      <c r="L82" s="145" t="s">
        <v>18</v>
      </c>
      <c r="M82" s="145" t="s">
        <v>18</v>
      </c>
      <c r="N82" s="145" t="s">
        <v>18</v>
      </c>
      <c r="O82" s="145" t="s">
        <v>18</v>
      </c>
      <c r="P82" s="145" t="s">
        <v>18</v>
      </c>
      <c r="Q82" s="145" t="s">
        <v>18</v>
      </c>
      <c r="R82" s="145"/>
      <c r="S82" s="145"/>
      <c r="T82" s="145"/>
      <c r="U82" s="145"/>
      <c r="V82" s="145"/>
      <c r="W82" s="145"/>
      <c r="X82" s="145"/>
      <c r="Y82" s="145"/>
    </row>
    <row r="83" spans="1:25" x14ac:dyDescent="0.35">
      <c r="A83" s="142" t="s">
        <v>54</v>
      </c>
      <c r="B83" s="142" t="s">
        <v>73</v>
      </c>
      <c r="C83" s="142" t="s">
        <v>38</v>
      </c>
      <c r="D83" s="142" t="s">
        <v>39</v>
      </c>
      <c r="E83" s="142" t="s">
        <v>65</v>
      </c>
      <c r="F83" s="188">
        <f xml:space="preserve"> SUMIFS(F_Inputs_APR!F$7:F$108, F_Inputs_APR!$A$7:$A$108, $A83, F_Inputs_APR!$B$7:$B$108, $B83)</f>
        <v>0</v>
      </c>
      <c r="G83" s="188">
        <f xml:space="preserve"> SUMIFS(F_Inputs_APR!G$7:G$108, F_Inputs_APR!$A$7:$A$108, $A83, F_Inputs_APR!$B$7:$B$108, $B83)</f>
        <v>0</v>
      </c>
      <c r="H83" s="188">
        <f xml:space="preserve"> SUMIFS(F_Inputs_APR!H$7:H$108, F_Inputs_APR!$A$7:$A$108, $A83, F_Inputs_APR!$B$7:$B$108, $B83)</f>
        <v>0</v>
      </c>
      <c r="I83" s="188">
        <f xml:space="preserve"> SUMIFS(F_Inputs_APR!I$7:I$108, F_Inputs_APR!$A$7:$A$108, $A83, F_Inputs_APR!$B$7:$B$108, $B83)</f>
        <v>0</v>
      </c>
      <c r="J83" s="145" t="s">
        <v>18</v>
      </c>
      <c r="K83" s="145" t="s">
        <v>18</v>
      </c>
      <c r="L83" s="145" t="s">
        <v>18</v>
      </c>
      <c r="M83" s="145" t="s">
        <v>18</v>
      </c>
      <c r="N83" s="145" t="s">
        <v>18</v>
      </c>
      <c r="O83" s="145" t="s">
        <v>18</v>
      </c>
      <c r="P83" s="145" t="s">
        <v>18</v>
      </c>
      <c r="Q83" s="145" t="s">
        <v>18</v>
      </c>
      <c r="R83" s="145"/>
      <c r="S83" s="145"/>
      <c r="T83" s="145"/>
      <c r="U83" s="145"/>
      <c r="V83" s="145"/>
      <c r="W83" s="145"/>
      <c r="X83" s="145"/>
      <c r="Y83" s="145"/>
    </row>
    <row r="84" spans="1:25" x14ac:dyDescent="0.35">
      <c r="A84" s="142" t="s">
        <v>55</v>
      </c>
      <c r="B84" s="142" t="s">
        <v>63</v>
      </c>
      <c r="C84" s="142" t="s">
        <v>64</v>
      </c>
      <c r="D84" s="142" t="s">
        <v>34</v>
      </c>
      <c r="E84" s="142" t="s">
        <v>65</v>
      </c>
      <c r="F84" s="187">
        <f xml:space="preserve"> SUMIFS(F_Inputs_APR!F$7:F$108, F_Inputs_APR!$A$7:$A$108, $A84, F_Inputs_APR!$B$7:$B$108, $B84)</f>
        <v>0.245</v>
      </c>
      <c r="G84" s="187">
        <f xml:space="preserve"> SUMIFS(F_Inputs_APR!G$7:G$108, F_Inputs_APR!$A$7:$A$108, $A84, F_Inputs_APR!$B$7:$B$108, $B84)</f>
        <v>0.28100000000000003</v>
      </c>
      <c r="H84" s="187">
        <f xml:space="preserve"> SUMIFS(F_Inputs_APR!H$7:H$108, F_Inputs_APR!$A$7:$A$108, $A84, F_Inputs_APR!$B$7:$B$108, $B84)</f>
        <v>0.22900000000000001</v>
      </c>
      <c r="I84" s="187">
        <f xml:space="preserve"> SUMIFS(F_Inputs_APR!I$7:I$108, F_Inputs_APR!$A$7:$A$108, $A84, F_Inputs_APR!$B$7:$B$108, $B84)</f>
        <v>0.128</v>
      </c>
      <c r="J84" s="145" t="s">
        <v>18</v>
      </c>
      <c r="K84" s="145" t="s">
        <v>18</v>
      </c>
      <c r="L84" s="145" t="s">
        <v>18</v>
      </c>
      <c r="M84" s="145" t="s">
        <v>18</v>
      </c>
      <c r="N84" s="145" t="s">
        <v>18</v>
      </c>
      <c r="O84" s="145" t="s">
        <v>18</v>
      </c>
      <c r="P84" s="145" t="s">
        <v>18</v>
      </c>
      <c r="Q84" s="145" t="s">
        <v>18</v>
      </c>
      <c r="R84" s="144"/>
      <c r="S84" s="144"/>
      <c r="T84" s="144"/>
      <c r="U84" s="144"/>
      <c r="V84" s="144"/>
      <c r="W84" s="144"/>
      <c r="X84" s="144"/>
      <c r="Y84" s="144"/>
    </row>
    <row r="85" spans="1:25" x14ac:dyDescent="0.35">
      <c r="A85" s="142" t="s">
        <v>55</v>
      </c>
      <c r="B85" s="142" t="s">
        <v>66</v>
      </c>
      <c r="C85" s="142" t="s">
        <v>67</v>
      </c>
      <c r="D85" s="142" t="s">
        <v>34</v>
      </c>
      <c r="E85" s="142" t="s">
        <v>65</v>
      </c>
      <c r="F85" s="187">
        <f xml:space="preserve"> SUMIFS(F_Inputs_APR!F$7:F$108, F_Inputs_APR!$A$7:$A$108, $A85, F_Inputs_APR!$B$7:$B$108, $B85)</f>
        <v>0</v>
      </c>
      <c r="G85" s="187">
        <f xml:space="preserve"> SUMIFS(F_Inputs_APR!G$7:G$108, F_Inputs_APR!$A$7:$A$108, $A85, F_Inputs_APR!$B$7:$B$108, $B85)</f>
        <v>0</v>
      </c>
      <c r="H85" s="187">
        <f xml:space="preserve"> SUMIFS(F_Inputs_APR!H$7:H$108, F_Inputs_APR!$A$7:$A$108, $A85, F_Inputs_APR!$B$7:$B$108, $B85)</f>
        <v>0</v>
      </c>
      <c r="I85" s="187">
        <f xml:space="preserve"> SUMIFS(F_Inputs_APR!I$7:I$108, F_Inputs_APR!$A$7:$A$108, $A85, F_Inputs_APR!$B$7:$B$108, $B85)</f>
        <v>0.16</v>
      </c>
      <c r="J85" s="145" t="s">
        <v>18</v>
      </c>
      <c r="K85" s="145" t="s">
        <v>18</v>
      </c>
      <c r="L85" s="145" t="s">
        <v>18</v>
      </c>
      <c r="M85" s="145" t="s">
        <v>18</v>
      </c>
      <c r="N85" s="145" t="s">
        <v>18</v>
      </c>
      <c r="O85" s="145" t="s">
        <v>18</v>
      </c>
      <c r="P85" s="145" t="s">
        <v>18</v>
      </c>
      <c r="Q85" s="145" t="s">
        <v>18</v>
      </c>
      <c r="R85" s="145"/>
      <c r="S85" s="145"/>
      <c r="T85" s="145"/>
      <c r="U85" s="145"/>
      <c r="V85" s="145"/>
      <c r="W85" s="145"/>
      <c r="X85" s="145"/>
      <c r="Y85" s="145"/>
    </row>
    <row r="86" spans="1:25" x14ac:dyDescent="0.35">
      <c r="A86" s="142" t="s">
        <v>55</v>
      </c>
      <c r="B86" s="142" t="s">
        <v>68</v>
      </c>
      <c r="C86" s="142" t="s">
        <v>38</v>
      </c>
      <c r="D86" s="142" t="s">
        <v>39</v>
      </c>
      <c r="E86" s="142" t="s">
        <v>65</v>
      </c>
      <c r="F86" s="188">
        <f xml:space="preserve"> SUMIFS(F_Inputs_APR!F$7:F$108, F_Inputs_APR!$A$7:$A$108, $A86, F_Inputs_APR!$B$7:$B$108, $B86)</f>
        <v>0</v>
      </c>
      <c r="G86" s="188">
        <f xml:space="preserve"> SUMIFS(F_Inputs_APR!G$7:G$108, F_Inputs_APR!$A$7:$A$108, $A86, F_Inputs_APR!$B$7:$B$108, $B86)</f>
        <v>0</v>
      </c>
      <c r="H86" s="188">
        <f xml:space="preserve"> SUMIFS(F_Inputs_APR!H$7:H$108, F_Inputs_APR!$A$7:$A$108, $A86, F_Inputs_APR!$B$7:$B$108, $B86)</f>
        <v>0</v>
      </c>
      <c r="I86" s="188">
        <f xml:space="preserve"> SUMIFS(F_Inputs_APR!I$7:I$108, F_Inputs_APR!$A$7:$A$108, $A86, F_Inputs_APR!$B$7:$B$108, $B86)</f>
        <v>0</v>
      </c>
      <c r="J86" s="145" t="s">
        <v>18</v>
      </c>
      <c r="K86" s="145" t="s">
        <v>18</v>
      </c>
      <c r="L86" s="145" t="s">
        <v>18</v>
      </c>
      <c r="M86" s="145" t="s">
        <v>18</v>
      </c>
      <c r="N86" s="145" t="s">
        <v>18</v>
      </c>
      <c r="O86" s="145" t="s">
        <v>18</v>
      </c>
      <c r="P86" s="145" t="s">
        <v>18</v>
      </c>
      <c r="Q86" s="145" t="s">
        <v>18</v>
      </c>
      <c r="R86" s="145"/>
      <c r="S86" s="145"/>
      <c r="T86" s="145"/>
      <c r="U86" s="145"/>
      <c r="V86" s="145"/>
      <c r="W86" s="145"/>
      <c r="X86" s="145"/>
      <c r="Y86" s="145"/>
    </row>
    <row r="87" spans="1:25" x14ac:dyDescent="0.35">
      <c r="A87" s="142" t="s">
        <v>55</v>
      </c>
      <c r="B87" s="142" t="s">
        <v>69</v>
      </c>
      <c r="C87" s="142" t="s">
        <v>70</v>
      </c>
      <c r="D87" s="142" t="s">
        <v>34</v>
      </c>
      <c r="E87" s="142" t="s">
        <v>65</v>
      </c>
      <c r="F87" s="187">
        <f xml:space="preserve"> SUMIFS(F_Inputs_APR!F$7:F$108, F_Inputs_APR!$A$7:$A$108, $A87, F_Inputs_APR!$B$7:$B$108, $B87)</f>
        <v>0</v>
      </c>
      <c r="G87" s="187">
        <f xml:space="preserve"> SUMIFS(F_Inputs_APR!G$7:G$108, F_Inputs_APR!$A$7:$A$108, $A87, F_Inputs_APR!$B$7:$B$108, $B87)</f>
        <v>0</v>
      </c>
      <c r="H87" s="187">
        <f xml:space="preserve"> SUMIFS(F_Inputs_APR!H$7:H$108, F_Inputs_APR!$A$7:$A$108, $A87, F_Inputs_APR!$B$7:$B$108, $B87)</f>
        <v>0</v>
      </c>
      <c r="I87" s="187">
        <f xml:space="preserve"> SUMIFS(F_Inputs_APR!I$7:I$108, F_Inputs_APR!$A$7:$A$108, $A87, F_Inputs_APR!$B$7:$B$108, $B87)</f>
        <v>0</v>
      </c>
      <c r="J87" s="145" t="s">
        <v>18</v>
      </c>
      <c r="K87" s="145" t="s">
        <v>18</v>
      </c>
      <c r="L87" s="145" t="s">
        <v>18</v>
      </c>
      <c r="M87" s="145" t="s">
        <v>18</v>
      </c>
      <c r="N87" s="145" t="s">
        <v>18</v>
      </c>
      <c r="O87" s="145" t="s">
        <v>18</v>
      </c>
      <c r="P87" s="145" t="s">
        <v>18</v>
      </c>
      <c r="Q87" s="145" t="s">
        <v>18</v>
      </c>
      <c r="R87" s="145"/>
      <c r="S87" s="145"/>
      <c r="T87" s="145"/>
      <c r="U87" s="145"/>
      <c r="V87" s="145"/>
      <c r="W87" s="145"/>
      <c r="X87" s="145"/>
      <c r="Y87" s="145"/>
    </row>
    <row r="88" spans="1:25" x14ac:dyDescent="0.35">
      <c r="A88" s="142" t="s">
        <v>55</v>
      </c>
      <c r="B88" s="142" t="s">
        <v>71</v>
      </c>
      <c r="C88" s="142" t="s">
        <v>72</v>
      </c>
      <c r="D88" s="142" t="s">
        <v>34</v>
      </c>
      <c r="E88" s="142" t="s">
        <v>65</v>
      </c>
      <c r="F88" s="187">
        <f xml:space="preserve"> SUMIFS(F_Inputs_APR!F$7:F$108, F_Inputs_APR!$A$7:$A$108, $A88, F_Inputs_APR!$B$7:$B$108, $B88)</f>
        <v>0</v>
      </c>
      <c r="G88" s="187">
        <f xml:space="preserve"> SUMIFS(F_Inputs_APR!G$7:G$108, F_Inputs_APR!$A$7:$A$108, $A88, F_Inputs_APR!$B$7:$B$108, $B88)</f>
        <v>0</v>
      </c>
      <c r="H88" s="187">
        <f xml:space="preserve"> SUMIFS(F_Inputs_APR!H$7:H$108, F_Inputs_APR!$A$7:$A$108, $A88, F_Inputs_APR!$B$7:$B$108, $B88)</f>
        <v>0</v>
      </c>
      <c r="I88" s="187">
        <f xml:space="preserve"> SUMIFS(F_Inputs_APR!I$7:I$108, F_Inputs_APR!$A$7:$A$108, $A88, F_Inputs_APR!$B$7:$B$108, $B88)</f>
        <v>0</v>
      </c>
      <c r="J88" s="145" t="s">
        <v>18</v>
      </c>
      <c r="K88" s="145" t="s">
        <v>18</v>
      </c>
      <c r="L88" s="145" t="s">
        <v>18</v>
      </c>
      <c r="M88" s="145" t="s">
        <v>18</v>
      </c>
      <c r="N88" s="145" t="s">
        <v>18</v>
      </c>
      <c r="O88" s="145" t="s">
        <v>18</v>
      </c>
      <c r="P88" s="145" t="s">
        <v>18</v>
      </c>
      <c r="Q88" s="145" t="s">
        <v>18</v>
      </c>
      <c r="R88" s="145"/>
      <c r="S88" s="145"/>
      <c r="T88" s="145"/>
      <c r="U88" s="145"/>
      <c r="V88" s="145"/>
      <c r="W88" s="145"/>
      <c r="X88" s="145"/>
      <c r="Y88" s="145"/>
    </row>
    <row r="89" spans="1:25" x14ac:dyDescent="0.35">
      <c r="A89" s="142" t="s">
        <v>55</v>
      </c>
      <c r="B89" s="142" t="s">
        <v>73</v>
      </c>
      <c r="C89" s="142" t="s">
        <v>38</v>
      </c>
      <c r="D89" s="142" t="s">
        <v>39</v>
      </c>
      <c r="E89" s="142" t="s">
        <v>65</v>
      </c>
      <c r="F89" s="188">
        <f xml:space="preserve"> SUMIFS(F_Inputs_APR!F$7:F$108, F_Inputs_APR!$A$7:$A$108, $A89, F_Inputs_APR!$B$7:$B$108, $B89)</f>
        <v>0</v>
      </c>
      <c r="G89" s="188">
        <f xml:space="preserve"> SUMIFS(F_Inputs_APR!G$7:G$108, F_Inputs_APR!$A$7:$A$108, $A89, F_Inputs_APR!$B$7:$B$108, $B89)</f>
        <v>0</v>
      </c>
      <c r="H89" s="188">
        <f xml:space="preserve"> SUMIFS(F_Inputs_APR!H$7:H$108, F_Inputs_APR!$A$7:$A$108, $A89, F_Inputs_APR!$B$7:$B$108, $B89)</f>
        <v>0</v>
      </c>
      <c r="I89" s="188">
        <f xml:space="preserve"> SUMIFS(F_Inputs_APR!I$7:I$108, F_Inputs_APR!$A$7:$A$108, $A89, F_Inputs_APR!$B$7:$B$108, $B89)</f>
        <v>0</v>
      </c>
      <c r="J89" s="145" t="s">
        <v>18</v>
      </c>
      <c r="K89" s="145" t="s">
        <v>18</v>
      </c>
      <c r="L89" s="145" t="s">
        <v>18</v>
      </c>
      <c r="M89" s="145" t="s">
        <v>18</v>
      </c>
      <c r="N89" s="145" t="s">
        <v>18</v>
      </c>
      <c r="O89" s="145" t="s">
        <v>18</v>
      </c>
      <c r="P89" s="145" t="s">
        <v>18</v>
      </c>
      <c r="Q89" s="145" t="s">
        <v>18</v>
      </c>
      <c r="R89" s="145"/>
      <c r="S89" s="145"/>
      <c r="T89" s="145"/>
      <c r="U89" s="145"/>
      <c r="V89" s="145"/>
      <c r="W89" s="145"/>
      <c r="X89" s="145"/>
      <c r="Y89" s="145"/>
    </row>
    <row r="90" spans="1:25" x14ac:dyDescent="0.35">
      <c r="A90" s="142" t="s">
        <v>56</v>
      </c>
      <c r="B90" s="142" t="s">
        <v>63</v>
      </c>
      <c r="C90" s="142" t="s">
        <v>64</v>
      </c>
      <c r="D90" s="142" t="s">
        <v>34</v>
      </c>
      <c r="E90" s="142" t="s">
        <v>65</v>
      </c>
      <c r="F90" s="187">
        <f xml:space="preserve"> SUMIFS(F_Inputs_APR!F$7:F$108, F_Inputs_APR!$A$7:$A$108, $A90, F_Inputs_APR!$B$7:$B$108, $B90)</f>
        <v>0.64300000000000002</v>
      </c>
      <c r="G90" s="187">
        <f xml:space="preserve"> SUMIFS(F_Inputs_APR!G$7:G$108, F_Inputs_APR!$A$7:$A$108, $A90, F_Inputs_APR!$B$7:$B$108, $B90)</f>
        <v>0.72</v>
      </c>
      <c r="H90" s="187">
        <f xml:space="preserve"> SUMIFS(F_Inputs_APR!H$7:H$108, F_Inputs_APR!$A$7:$A$108, $A90, F_Inputs_APR!$B$7:$B$108, $B90)</f>
        <v>0.57299999999999995</v>
      </c>
      <c r="I90" s="187">
        <f xml:space="preserve"> SUMIFS(F_Inputs_APR!I$7:I$108, F_Inputs_APR!$A$7:$A$108, $A90, F_Inputs_APR!$B$7:$B$108, $B90)</f>
        <v>1.109</v>
      </c>
      <c r="J90" s="145" t="s">
        <v>18</v>
      </c>
      <c r="K90" s="145" t="s">
        <v>18</v>
      </c>
      <c r="L90" s="145" t="s">
        <v>18</v>
      </c>
      <c r="M90" s="145" t="s">
        <v>18</v>
      </c>
      <c r="N90" s="145" t="s">
        <v>18</v>
      </c>
      <c r="O90" s="145" t="s">
        <v>18</v>
      </c>
      <c r="P90" s="145" t="s">
        <v>18</v>
      </c>
      <c r="Q90" s="145" t="s">
        <v>18</v>
      </c>
      <c r="R90" s="144"/>
      <c r="S90" s="144"/>
      <c r="T90" s="144"/>
      <c r="U90" s="144"/>
      <c r="V90" s="144"/>
      <c r="W90" s="144"/>
      <c r="X90" s="144"/>
      <c r="Y90" s="144"/>
    </row>
    <row r="91" spans="1:25" x14ac:dyDescent="0.35">
      <c r="A91" s="142" t="s">
        <v>56</v>
      </c>
      <c r="B91" s="142" t="s">
        <v>66</v>
      </c>
      <c r="C91" s="142" t="s">
        <v>67</v>
      </c>
      <c r="D91" s="142" t="s">
        <v>34</v>
      </c>
      <c r="E91" s="142" t="s">
        <v>65</v>
      </c>
      <c r="F91" s="187">
        <f xml:space="preserve"> SUMIFS(F_Inputs_APR!F$7:F$108, F_Inputs_APR!$A$7:$A$108, $A91, F_Inputs_APR!$B$7:$B$108, $B91)</f>
        <v>7.0999999999999994E-2</v>
      </c>
      <c r="G91" s="187">
        <f xml:space="preserve"> SUMIFS(F_Inputs_APR!G$7:G$108, F_Inputs_APR!$A$7:$A$108, $A91, F_Inputs_APR!$B$7:$B$108, $B91)</f>
        <v>0.192</v>
      </c>
      <c r="H91" s="187">
        <f xml:space="preserve"> SUMIFS(F_Inputs_APR!H$7:H$108, F_Inputs_APR!$A$7:$A$108, $A91, F_Inputs_APR!$B$7:$B$108, $B91)</f>
        <v>0.109</v>
      </c>
      <c r="I91" s="187">
        <f xml:space="preserve"> SUMIFS(F_Inputs_APR!I$7:I$108, F_Inputs_APR!$A$7:$A$108, $A91, F_Inputs_APR!$B$7:$B$108, $B91)</f>
        <v>0.39</v>
      </c>
      <c r="J91" s="145" t="s">
        <v>18</v>
      </c>
      <c r="K91" s="145" t="s">
        <v>18</v>
      </c>
      <c r="L91" s="145" t="s">
        <v>18</v>
      </c>
      <c r="M91" s="145" t="s">
        <v>18</v>
      </c>
      <c r="N91" s="145" t="s">
        <v>18</v>
      </c>
      <c r="O91" s="145" t="s">
        <v>18</v>
      </c>
      <c r="P91" s="145" t="s">
        <v>18</v>
      </c>
      <c r="Q91" s="145" t="s">
        <v>18</v>
      </c>
      <c r="R91" s="145"/>
      <c r="S91" s="145"/>
      <c r="T91" s="145"/>
      <c r="U91" s="145"/>
      <c r="V91" s="145"/>
      <c r="W91" s="145"/>
      <c r="X91" s="145"/>
      <c r="Y91" s="145"/>
    </row>
    <row r="92" spans="1:25" x14ac:dyDescent="0.35">
      <c r="A92" s="142" t="s">
        <v>56</v>
      </c>
      <c r="B92" s="142" t="s">
        <v>68</v>
      </c>
      <c r="C92" s="142" t="s">
        <v>38</v>
      </c>
      <c r="D92" s="142" t="s">
        <v>39</v>
      </c>
      <c r="E92" s="142" t="s">
        <v>65</v>
      </c>
      <c r="F92" s="188">
        <f xml:space="preserve"> SUMIFS(F_Inputs_APR!F$7:F$108, F_Inputs_APR!$A$7:$A$108, $A92, F_Inputs_APR!$B$7:$B$108, $B92)</f>
        <v>24470</v>
      </c>
      <c r="G92" s="188">
        <f xml:space="preserve"> SUMIFS(F_Inputs_APR!G$7:G$108, F_Inputs_APR!$A$7:$A$108, $A92, F_Inputs_APR!$B$7:$B$108, $B92)</f>
        <v>22888</v>
      </c>
      <c r="H92" s="188">
        <f xml:space="preserve"> SUMIFS(F_Inputs_APR!H$7:H$108, F_Inputs_APR!$A$7:$A$108, $A92, F_Inputs_APR!$B$7:$B$108, $B92)</f>
        <v>18931</v>
      </c>
      <c r="I92" s="188">
        <f xml:space="preserve"> SUMIFS(F_Inputs_APR!I$7:I$108, F_Inputs_APR!$A$7:$A$108, $A92, F_Inputs_APR!$B$7:$B$108, $B92)</f>
        <v>20399</v>
      </c>
      <c r="J92" s="145" t="s">
        <v>18</v>
      </c>
      <c r="K92" s="145" t="s">
        <v>18</v>
      </c>
      <c r="L92" s="145" t="s">
        <v>18</v>
      </c>
      <c r="M92" s="145" t="s">
        <v>18</v>
      </c>
      <c r="N92" s="145" t="s">
        <v>18</v>
      </c>
      <c r="O92" s="145" t="s">
        <v>18</v>
      </c>
      <c r="P92" s="145" t="s">
        <v>18</v>
      </c>
      <c r="Q92" s="145" t="s">
        <v>18</v>
      </c>
      <c r="R92" s="145"/>
      <c r="S92" s="145"/>
      <c r="T92" s="145"/>
      <c r="U92" s="145"/>
      <c r="V92" s="145"/>
      <c r="W92" s="145"/>
      <c r="X92" s="145"/>
      <c r="Y92" s="145"/>
    </row>
    <row r="93" spans="1:25" x14ac:dyDescent="0.35">
      <c r="A93" s="142" t="s">
        <v>56</v>
      </c>
      <c r="B93" s="142" t="s">
        <v>69</v>
      </c>
      <c r="C93" s="142" t="s">
        <v>70</v>
      </c>
      <c r="D93" s="142" t="s">
        <v>34</v>
      </c>
      <c r="E93" s="142" t="s">
        <v>65</v>
      </c>
      <c r="F93" s="187">
        <f xml:space="preserve"> SUMIFS(F_Inputs_APR!F$7:F$108, F_Inputs_APR!$A$7:$A$108, $A93, F_Inputs_APR!$B$7:$B$108, $B93)</f>
        <v>0</v>
      </c>
      <c r="G93" s="187">
        <f xml:space="preserve"> SUMIFS(F_Inputs_APR!G$7:G$108, F_Inputs_APR!$A$7:$A$108, $A93, F_Inputs_APR!$B$7:$B$108, $B93)</f>
        <v>0</v>
      </c>
      <c r="H93" s="187">
        <f xml:space="preserve"> SUMIFS(F_Inputs_APR!H$7:H$108, F_Inputs_APR!$A$7:$A$108, $A93, F_Inputs_APR!$B$7:$B$108, $B93)</f>
        <v>0</v>
      </c>
      <c r="I93" s="187">
        <f xml:space="preserve"> SUMIFS(F_Inputs_APR!I$7:I$108, F_Inputs_APR!$A$7:$A$108, $A93, F_Inputs_APR!$B$7:$B$108, $B93)</f>
        <v>0</v>
      </c>
      <c r="J93" s="145" t="s">
        <v>18</v>
      </c>
      <c r="K93" s="145" t="s">
        <v>18</v>
      </c>
      <c r="L93" s="145" t="s">
        <v>18</v>
      </c>
      <c r="M93" s="145" t="s">
        <v>18</v>
      </c>
      <c r="N93" s="145" t="s">
        <v>18</v>
      </c>
      <c r="O93" s="145" t="s">
        <v>18</v>
      </c>
      <c r="P93" s="145" t="s">
        <v>18</v>
      </c>
      <c r="Q93" s="145" t="s">
        <v>18</v>
      </c>
      <c r="R93" s="145"/>
      <c r="S93" s="145"/>
      <c r="T93" s="145"/>
      <c r="U93" s="145"/>
      <c r="V93" s="145"/>
      <c r="W93" s="145"/>
      <c r="X93" s="145"/>
      <c r="Y93" s="145"/>
    </row>
    <row r="94" spans="1:25" x14ac:dyDescent="0.35">
      <c r="A94" s="142" t="s">
        <v>56</v>
      </c>
      <c r="B94" s="142" t="s">
        <v>71</v>
      </c>
      <c r="C94" s="142" t="s">
        <v>72</v>
      </c>
      <c r="D94" s="142" t="s">
        <v>34</v>
      </c>
      <c r="E94" s="142" t="s">
        <v>65</v>
      </c>
      <c r="F94" s="187">
        <f xml:space="preserve"> SUMIFS(F_Inputs_APR!F$7:F$108, F_Inputs_APR!$A$7:$A$108, $A94, F_Inputs_APR!$B$7:$B$108, $B94)</f>
        <v>0</v>
      </c>
      <c r="G94" s="187">
        <f xml:space="preserve"> SUMIFS(F_Inputs_APR!G$7:G$108, F_Inputs_APR!$A$7:$A$108, $A94, F_Inputs_APR!$B$7:$B$108, $B94)</f>
        <v>0</v>
      </c>
      <c r="H94" s="187">
        <f xml:space="preserve"> SUMIFS(F_Inputs_APR!H$7:H$108, F_Inputs_APR!$A$7:$A$108, $A94, F_Inputs_APR!$B$7:$B$108, $B94)</f>
        <v>0</v>
      </c>
      <c r="I94" s="187">
        <f xml:space="preserve"> SUMIFS(F_Inputs_APR!I$7:I$108, F_Inputs_APR!$A$7:$A$108, $A94, F_Inputs_APR!$B$7:$B$108, $B94)</f>
        <v>0</v>
      </c>
      <c r="J94" s="145" t="s">
        <v>18</v>
      </c>
      <c r="K94" s="145" t="s">
        <v>18</v>
      </c>
      <c r="L94" s="145" t="s">
        <v>18</v>
      </c>
      <c r="M94" s="145" t="s">
        <v>18</v>
      </c>
      <c r="N94" s="145" t="s">
        <v>18</v>
      </c>
      <c r="O94" s="145" t="s">
        <v>18</v>
      </c>
      <c r="P94" s="145" t="s">
        <v>18</v>
      </c>
      <c r="Q94" s="145" t="s">
        <v>18</v>
      </c>
      <c r="R94" s="145"/>
      <c r="S94" s="145"/>
      <c r="T94" s="145"/>
      <c r="U94" s="145"/>
      <c r="V94" s="145"/>
      <c r="W94" s="145"/>
      <c r="X94" s="145"/>
      <c r="Y94" s="145"/>
    </row>
    <row r="95" spans="1:25" x14ac:dyDescent="0.35">
      <c r="A95" s="142" t="s">
        <v>56</v>
      </c>
      <c r="B95" s="142" t="s">
        <v>73</v>
      </c>
      <c r="C95" s="142" t="s">
        <v>38</v>
      </c>
      <c r="D95" s="142" t="s">
        <v>39</v>
      </c>
      <c r="E95" s="142" t="s">
        <v>65</v>
      </c>
      <c r="F95" s="188">
        <f xml:space="preserve"> SUMIFS(F_Inputs_APR!F$7:F$108, F_Inputs_APR!$A$7:$A$108, $A95, F_Inputs_APR!$B$7:$B$108, $B95)</f>
        <v>0</v>
      </c>
      <c r="G95" s="188">
        <f xml:space="preserve"> SUMIFS(F_Inputs_APR!G$7:G$108, F_Inputs_APR!$A$7:$A$108, $A95, F_Inputs_APR!$B$7:$B$108, $B95)</f>
        <v>0</v>
      </c>
      <c r="H95" s="188">
        <f xml:space="preserve"> SUMIFS(F_Inputs_APR!H$7:H$108, F_Inputs_APR!$A$7:$A$108, $A95, F_Inputs_APR!$B$7:$B$108, $B95)</f>
        <v>0</v>
      </c>
      <c r="I95" s="188">
        <f xml:space="preserve"> SUMIFS(F_Inputs_APR!I$7:I$108, F_Inputs_APR!$A$7:$A$108, $A95, F_Inputs_APR!$B$7:$B$108, $B95)</f>
        <v>0</v>
      </c>
      <c r="J95" s="145" t="s">
        <v>18</v>
      </c>
      <c r="K95" s="145" t="s">
        <v>18</v>
      </c>
      <c r="L95" s="145" t="s">
        <v>18</v>
      </c>
      <c r="M95" s="145" t="s">
        <v>18</v>
      </c>
      <c r="N95" s="145" t="s">
        <v>18</v>
      </c>
      <c r="O95" s="145" t="s">
        <v>18</v>
      </c>
      <c r="P95" s="145" t="s">
        <v>18</v>
      </c>
      <c r="Q95" s="145" t="s">
        <v>18</v>
      </c>
      <c r="R95" s="145"/>
      <c r="S95" s="145"/>
      <c r="T95" s="145"/>
      <c r="U95" s="145"/>
      <c r="V95" s="145"/>
      <c r="W95" s="145"/>
      <c r="X95" s="145"/>
      <c r="Y95" s="145"/>
    </row>
    <row r="96" spans="1:25" x14ac:dyDescent="0.35">
      <c r="A96" s="142" t="s">
        <v>57</v>
      </c>
      <c r="B96" s="142" t="s">
        <v>63</v>
      </c>
      <c r="C96" s="142" t="s">
        <v>64</v>
      </c>
      <c r="D96" s="142" t="s">
        <v>34</v>
      </c>
      <c r="E96" s="142" t="s">
        <v>65</v>
      </c>
      <c r="F96" s="187">
        <f xml:space="preserve"> SUMIFS(F_Inputs_APR!F$7:F$108, F_Inputs_APR!$A$7:$A$108, $A96, F_Inputs_APR!$B$7:$B$108, $B96)</f>
        <v>0.32500000000000001</v>
      </c>
      <c r="G96" s="187">
        <f xml:space="preserve"> SUMIFS(F_Inputs_APR!G$7:G$108, F_Inputs_APR!$A$7:$A$108, $A96, F_Inputs_APR!$B$7:$B$108, $B96)</f>
        <v>0.45900000000000002</v>
      </c>
      <c r="H96" s="187">
        <f xml:space="preserve"> SUMIFS(F_Inputs_APR!H$7:H$108, F_Inputs_APR!$A$7:$A$108, $A96, F_Inputs_APR!$B$7:$B$108, $B96)</f>
        <v>0.48899999999999999</v>
      </c>
      <c r="I96" s="187">
        <f xml:space="preserve"> SUMIFS(F_Inputs_APR!I$7:I$108, F_Inputs_APR!$A$7:$A$108, $A96, F_Inputs_APR!$B$7:$B$108, $B96)</f>
        <v>0.66271648999999999</v>
      </c>
      <c r="J96" s="145" t="s">
        <v>18</v>
      </c>
      <c r="K96" s="145" t="s">
        <v>18</v>
      </c>
      <c r="L96" s="145" t="s">
        <v>18</v>
      </c>
      <c r="M96" s="145" t="s">
        <v>18</v>
      </c>
      <c r="N96" s="145" t="s">
        <v>18</v>
      </c>
      <c r="O96" s="145" t="s">
        <v>18</v>
      </c>
      <c r="P96" s="145" t="s">
        <v>18</v>
      </c>
      <c r="Q96" s="145" t="s">
        <v>18</v>
      </c>
      <c r="R96" s="144"/>
      <c r="S96" s="144"/>
      <c r="T96" s="144"/>
      <c r="U96" s="144"/>
      <c r="V96" s="144"/>
      <c r="W96" s="144"/>
      <c r="X96" s="144"/>
      <c r="Y96" s="144"/>
    </row>
    <row r="97" spans="1:25" x14ac:dyDescent="0.35">
      <c r="A97" s="142" t="s">
        <v>57</v>
      </c>
      <c r="B97" s="142" t="s">
        <v>66</v>
      </c>
      <c r="C97" s="142" t="s">
        <v>67</v>
      </c>
      <c r="D97" s="142" t="s">
        <v>34</v>
      </c>
      <c r="E97" s="142" t="s">
        <v>65</v>
      </c>
      <c r="F97" s="187">
        <f xml:space="preserve"> SUMIFS(F_Inputs_APR!F$7:F$108, F_Inputs_APR!$A$7:$A$108, $A97, F_Inputs_APR!$B$7:$B$108, $B97)</f>
        <v>0.224</v>
      </c>
      <c r="G97" s="187">
        <f xml:space="preserve"> SUMIFS(F_Inputs_APR!G$7:G$108, F_Inputs_APR!$A$7:$A$108, $A97, F_Inputs_APR!$B$7:$B$108, $B97)</f>
        <v>0.27100000000000002</v>
      </c>
      <c r="H97" s="187">
        <f xml:space="preserve"> SUMIFS(F_Inputs_APR!H$7:H$108, F_Inputs_APR!$A$7:$A$108, $A97, F_Inputs_APR!$B$7:$B$108, $B97)</f>
        <v>0.253</v>
      </c>
      <c r="I97" s="187">
        <f xml:space="preserve"> SUMIFS(F_Inputs_APR!I$7:I$108, F_Inputs_APR!$A$7:$A$108, $A97, F_Inputs_APR!$B$7:$B$108, $B97)</f>
        <v>0.37846044000000012</v>
      </c>
      <c r="J97" s="145" t="s">
        <v>18</v>
      </c>
      <c r="K97" s="145" t="s">
        <v>18</v>
      </c>
      <c r="L97" s="145" t="s">
        <v>18</v>
      </c>
      <c r="M97" s="145" t="s">
        <v>18</v>
      </c>
      <c r="N97" s="145" t="s">
        <v>18</v>
      </c>
      <c r="O97" s="145" t="s">
        <v>18</v>
      </c>
      <c r="P97" s="145" t="s">
        <v>18</v>
      </c>
      <c r="Q97" s="145" t="s">
        <v>18</v>
      </c>
      <c r="R97" s="145"/>
      <c r="S97" s="145"/>
      <c r="T97" s="145"/>
      <c r="U97" s="145"/>
      <c r="V97" s="145"/>
      <c r="W97" s="145"/>
      <c r="X97" s="145"/>
      <c r="Y97" s="145"/>
    </row>
    <row r="98" spans="1:25" x14ac:dyDescent="0.35">
      <c r="A98" s="142" t="s">
        <v>57</v>
      </c>
      <c r="B98" s="142" t="s">
        <v>68</v>
      </c>
      <c r="C98" s="142" t="s">
        <v>38</v>
      </c>
      <c r="D98" s="142" t="s">
        <v>39</v>
      </c>
      <c r="E98" s="142" t="s">
        <v>65</v>
      </c>
      <c r="F98" s="188">
        <f xml:space="preserve"> SUMIFS(F_Inputs_APR!F$7:F$108, F_Inputs_APR!$A$7:$A$108, $A98, F_Inputs_APR!$B$7:$B$108, $B98)</f>
        <v>6108</v>
      </c>
      <c r="G98" s="188">
        <f xml:space="preserve"> SUMIFS(F_Inputs_APR!G$7:G$108, F_Inputs_APR!$A$7:$A$108, $A98, F_Inputs_APR!$B$7:$B$108, $B98)</f>
        <v>4117</v>
      </c>
      <c r="H98" s="188">
        <f xml:space="preserve"> SUMIFS(F_Inputs_APR!H$7:H$108, F_Inputs_APR!$A$7:$A$108, $A98, F_Inputs_APR!$B$7:$B$108, $B98)</f>
        <v>9974</v>
      </c>
      <c r="I98" s="188">
        <f xml:space="preserve"> SUMIFS(F_Inputs_APR!I$7:I$108, F_Inputs_APR!$A$7:$A$108, $A98, F_Inputs_APR!$B$7:$B$108, $B98)</f>
        <v>13162</v>
      </c>
      <c r="J98" s="145" t="s">
        <v>18</v>
      </c>
      <c r="K98" s="145" t="s">
        <v>18</v>
      </c>
      <c r="L98" s="145" t="s">
        <v>18</v>
      </c>
      <c r="M98" s="145" t="s">
        <v>18</v>
      </c>
      <c r="N98" s="145" t="s">
        <v>18</v>
      </c>
      <c r="O98" s="145" t="s">
        <v>18</v>
      </c>
      <c r="P98" s="145" t="s">
        <v>18</v>
      </c>
      <c r="Q98" s="145" t="s">
        <v>18</v>
      </c>
      <c r="R98" s="145"/>
      <c r="S98" s="145"/>
      <c r="T98" s="145"/>
      <c r="U98" s="145"/>
      <c r="V98" s="145"/>
      <c r="W98" s="145"/>
      <c r="X98" s="145"/>
      <c r="Y98" s="145"/>
    </row>
    <row r="99" spans="1:25" x14ac:dyDescent="0.35">
      <c r="A99" s="142" t="s">
        <v>57</v>
      </c>
      <c r="B99" s="142" t="s">
        <v>69</v>
      </c>
      <c r="C99" s="142" t="s">
        <v>70</v>
      </c>
      <c r="D99" s="142" t="s">
        <v>34</v>
      </c>
      <c r="E99" s="142" t="s">
        <v>65</v>
      </c>
      <c r="F99" s="187">
        <f xml:space="preserve"> SUMIFS(F_Inputs_APR!F$7:F$108, F_Inputs_APR!$A$7:$A$108, $A99, F_Inputs_APR!$B$7:$B$108, $B99)</f>
        <v>0</v>
      </c>
      <c r="G99" s="187">
        <f xml:space="preserve"> SUMIFS(F_Inputs_APR!G$7:G$108, F_Inputs_APR!$A$7:$A$108, $A99, F_Inputs_APR!$B$7:$B$108, $B99)</f>
        <v>0</v>
      </c>
      <c r="H99" s="187">
        <f xml:space="preserve"> SUMIFS(F_Inputs_APR!H$7:H$108, F_Inputs_APR!$A$7:$A$108, $A99, F_Inputs_APR!$B$7:$B$108, $B99)</f>
        <v>0</v>
      </c>
      <c r="I99" s="187">
        <f xml:space="preserve"> SUMIFS(F_Inputs_APR!I$7:I$108, F_Inputs_APR!$A$7:$A$108, $A99, F_Inputs_APR!$B$7:$B$108, $B99)</f>
        <v>0</v>
      </c>
      <c r="J99" s="145" t="s">
        <v>18</v>
      </c>
      <c r="K99" s="145" t="s">
        <v>18</v>
      </c>
      <c r="L99" s="145" t="s">
        <v>18</v>
      </c>
      <c r="M99" s="145" t="s">
        <v>18</v>
      </c>
      <c r="N99" s="145" t="s">
        <v>18</v>
      </c>
      <c r="O99" s="145" t="s">
        <v>18</v>
      </c>
      <c r="P99" s="145" t="s">
        <v>18</v>
      </c>
      <c r="Q99" s="145" t="s">
        <v>18</v>
      </c>
      <c r="R99" s="145"/>
      <c r="S99" s="145"/>
      <c r="T99" s="145"/>
      <c r="U99" s="145"/>
      <c r="V99" s="145"/>
      <c r="W99" s="145"/>
      <c r="X99" s="145"/>
      <c r="Y99" s="145"/>
    </row>
    <row r="100" spans="1:25" x14ac:dyDescent="0.35">
      <c r="A100" s="142" t="s">
        <v>57</v>
      </c>
      <c r="B100" s="142" t="s">
        <v>71</v>
      </c>
      <c r="C100" s="142" t="s">
        <v>72</v>
      </c>
      <c r="D100" s="142" t="s">
        <v>34</v>
      </c>
      <c r="E100" s="142" t="s">
        <v>65</v>
      </c>
      <c r="F100" s="187">
        <f xml:space="preserve"> SUMIFS(F_Inputs_APR!F$7:F$108, F_Inputs_APR!$A$7:$A$108, $A100, F_Inputs_APR!$B$7:$B$108, $B100)</f>
        <v>0</v>
      </c>
      <c r="G100" s="187">
        <f xml:space="preserve"> SUMIFS(F_Inputs_APR!G$7:G$108, F_Inputs_APR!$A$7:$A$108, $A100, F_Inputs_APR!$B$7:$B$108, $B100)</f>
        <v>0</v>
      </c>
      <c r="H100" s="187">
        <f xml:space="preserve"> SUMIFS(F_Inputs_APR!H$7:H$108, F_Inputs_APR!$A$7:$A$108, $A100, F_Inputs_APR!$B$7:$B$108, $B100)</f>
        <v>0</v>
      </c>
      <c r="I100" s="187">
        <f xml:space="preserve"> SUMIFS(F_Inputs_APR!I$7:I$108, F_Inputs_APR!$A$7:$A$108, $A100, F_Inputs_APR!$B$7:$B$108, $B100)</f>
        <v>0</v>
      </c>
      <c r="J100" s="145" t="s">
        <v>18</v>
      </c>
      <c r="K100" s="145" t="s">
        <v>18</v>
      </c>
      <c r="L100" s="145" t="s">
        <v>18</v>
      </c>
      <c r="M100" s="145" t="s">
        <v>18</v>
      </c>
      <c r="N100" s="145" t="s">
        <v>18</v>
      </c>
      <c r="O100" s="145" t="s">
        <v>18</v>
      </c>
      <c r="P100" s="145" t="s">
        <v>18</v>
      </c>
      <c r="Q100" s="145" t="s">
        <v>18</v>
      </c>
      <c r="R100" s="145"/>
      <c r="S100" s="145"/>
      <c r="T100" s="145"/>
      <c r="U100" s="145"/>
      <c r="V100" s="145"/>
      <c r="W100" s="145"/>
      <c r="X100" s="145"/>
      <c r="Y100" s="145"/>
    </row>
    <row r="101" spans="1:25" x14ac:dyDescent="0.35">
      <c r="A101" s="142" t="s">
        <v>57</v>
      </c>
      <c r="B101" s="142" t="s">
        <v>73</v>
      </c>
      <c r="C101" s="142" t="s">
        <v>38</v>
      </c>
      <c r="D101" s="142" t="s">
        <v>39</v>
      </c>
      <c r="E101" s="142" t="s">
        <v>65</v>
      </c>
      <c r="F101" s="188">
        <f xml:space="preserve"> SUMIFS(F_Inputs_APR!F$7:F$108, F_Inputs_APR!$A$7:$A$108, $A101, F_Inputs_APR!$B$7:$B$108, $B101)</f>
        <v>0</v>
      </c>
      <c r="G101" s="188">
        <f xml:space="preserve"> SUMIFS(F_Inputs_APR!G$7:G$108, F_Inputs_APR!$A$7:$A$108, $A101, F_Inputs_APR!$B$7:$B$108, $B101)</f>
        <v>0</v>
      </c>
      <c r="H101" s="188">
        <f xml:space="preserve"> SUMIFS(F_Inputs_APR!H$7:H$108, F_Inputs_APR!$A$7:$A$108, $A101, F_Inputs_APR!$B$7:$B$108, $B101)</f>
        <v>0</v>
      </c>
      <c r="I101" s="188">
        <f xml:space="preserve"> SUMIFS(F_Inputs_APR!I$7:I$108, F_Inputs_APR!$A$7:$A$108, $A101, F_Inputs_APR!$B$7:$B$108, $B101)</f>
        <v>0</v>
      </c>
      <c r="J101" s="145" t="s">
        <v>18</v>
      </c>
      <c r="K101" s="145" t="s">
        <v>18</v>
      </c>
      <c r="L101" s="145" t="s">
        <v>18</v>
      </c>
      <c r="M101" s="145" t="s">
        <v>18</v>
      </c>
      <c r="N101" s="145" t="s">
        <v>18</v>
      </c>
      <c r="O101" s="145" t="s">
        <v>18</v>
      </c>
      <c r="P101" s="145" t="s">
        <v>18</v>
      </c>
      <c r="Q101" s="145" t="s">
        <v>18</v>
      </c>
      <c r="R101" s="145"/>
      <c r="S101" s="145"/>
      <c r="T101" s="145"/>
      <c r="U101" s="145"/>
      <c r="V101" s="145"/>
      <c r="W101" s="145"/>
      <c r="X101" s="145"/>
      <c r="Y101" s="145"/>
    </row>
    <row r="102" spans="1:25" x14ac:dyDescent="0.35">
      <c r="A102" s="142" t="s">
        <v>58</v>
      </c>
      <c r="B102" s="142" t="s">
        <v>63</v>
      </c>
      <c r="C102" s="142" t="s">
        <v>64</v>
      </c>
      <c r="D102" s="142" t="s">
        <v>34</v>
      </c>
      <c r="E102" s="142" t="s">
        <v>65</v>
      </c>
      <c r="F102" s="187">
        <f xml:space="preserve"> SUMIFS(F_Inputs_APR!F$7:F$108, F_Inputs_APR!$A$7:$A$108, $A102, F_Inputs_APR!$B$7:$B$108, $B102)</f>
        <v>0.17836995999999999</v>
      </c>
      <c r="G102" s="187">
        <f xml:space="preserve"> SUMIFS(F_Inputs_APR!G$7:G$108, F_Inputs_APR!$A$7:$A$108, $A102, F_Inputs_APR!$B$7:$B$108, $B102)</f>
        <v>0.12624754999999999</v>
      </c>
      <c r="H102" s="187">
        <f xml:space="preserve"> SUMIFS(F_Inputs_APR!H$7:H$108, F_Inputs_APR!$A$7:$A$108, $A102, F_Inputs_APR!$B$7:$B$108, $B102)</f>
        <v>0.31</v>
      </c>
      <c r="I102" s="187">
        <f xml:space="preserve"> SUMIFS(F_Inputs_APR!I$7:I$108, F_Inputs_APR!$A$7:$A$108, $A102, F_Inputs_APR!$B$7:$B$108, $B102)</f>
        <v>0.36171215999999995</v>
      </c>
      <c r="J102" s="145" t="s">
        <v>18</v>
      </c>
      <c r="K102" s="145" t="s">
        <v>18</v>
      </c>
      <c r="L102" s="145" t="s">
        <v>18</v>
      </c>
      <c r="M102" s="145" t="s">
        <v>18</v>
      </c>
      <c r="N102" s="145" t="s">
        <v>18</v>
      </c>
      <c r="O102" s="145" t="s">
        <v>18</v>
      </c>
      <c r="P102" s="145" t="s">
        <v>18</v>
      </c>
      <c r="Q102" s="145" t="s">
        <v>18</v>
      </c>
      <c r="R102" s="144"/>
      <c r="S102" s="144"/>
      <c r="T102" s="144"/>
      <c r="U102" s="144"/>
      <c r="V102" s="144"/>
      <c r="W102" s="144"/>
      <c r="X102" s="144"/>
      <c r="Y102" s="144"/>
    </row>
    <row r="103" spans="1:25" x14ac:dyDescent="0.35">
      <c r="A103" s="142" t="s">
        <v>58</v>
      </c>
      <c r="B103" s="142" t="s">
        <v>66</v>
      </c>
      <c r="C103" s="142" t="s">
        <v>67</v>
      </c>
      <c r="D103" s="142" t="s">
        <v>34</v>
      </c>
      <c r="E103" s="142" t="s">
        <v>65</v>
      </c>
      <c r="F103" s="187">
        <f xml:space="preserve"> SUMIFS(F_Inputs_APR!F$7:F$108, F_Inputs_APR!$A$7:$A$108, $A103, F_Inputs_APR!$B$7:$B$108, $B103)</f>
        <v>0</v>
      </c>
      <c r="G103" s="187">
        <f xml:space="preserve"> SUMIFS(F_Inputs_APR!G$7:G$108, F_Inputs_APR!$A$7:$A$108, $A103, F_Inputs_APR!$B$7:$B$108, $B103)</f>
        <v>0</v>
      </c>
      <c r="H103" s="187">
        <f xml:space="preserve"> SUMIFS(F_Inputs_APR!H$7:H$108, F_Inputs_APR!$A$7:$A$108, $A103, F_Inputs_APR!$B$7:$B$108, $B103)</f>
        <v>0</v>
      </c>
      <c r="I103" s="187">
        <f xml:space="preserve"> SUMIFS(F_Inputs_APR!I$7:I$108, F_Inputs_APR!$A$7:$A$108, $A103, F_Inputs_APR!$B$7:$B$108, $B103)</f>
        <v>0</v>
      </c>
      <c r="J103" s="145" t="s">
        <v>18</v>
      </c>
      <c r="K103" s="145" t="s">
        <v>18</v>
      </c>
      <c r="L103" s="145" t="s">
        <v>18</v>
      </c>
      <c r="M103" s="145" t="s">
        <v>18</v>
      </c>
      <c r="N103" s="145" t="s">
        <v>18</v>
      </c>
      <c r="O103" s="145" t="s">
        <v>18</v>
      </c>
      <c r="P103" s="145" t="s">
        <v>18</v>
      </c>
      <c r="Q103" s="145" t="s">
        <v>18</v>
      </c>
      <c r="R103" s="145" t="s">
        <v>18</v>
      </c>
      <c r="S103" s="145" t="s">
        <v>18</v>
      </c>
      <c r="T103" s="145" t="s">
        <v>18</v>
      </c>
      <c r="U103" s="145" t="s">
        <v>18</v>
      </c>
      <c r="V103" s="145" t="s">
        <v>18</v>
      </c>
      <c r="W103" s="145" t="s">
        <v>18</v>
      </c>
      <c r="X103" s="145" t="s">
        <v>18</v>
      </c>
      <c r="Y103" s="145" t="s">
        <v>18</v>
      </c>
    </row>
    <row r="104" spans="1:25" x14ac:dyDescent="0.35">
      <c r="A104" s="142" t="s">
        <v>58</v>
      </c>
      <c r="B104" s="142" t="s">
        <v>68</v>
      </c>
      <c r="C104" s="142" t="s">
        <v>38</v>
      </c>
      <c r="D104" s="142" t="s">
        <v>39</v>
      </c>
      <c r="E104" s="142" t="s">
        <v>65</v>
      </c>
      <c r="F104" s="188">
        <f xml:space="preserve"> SUMIFS(F_Inputs_APR!F$7:F$108, F_Inputs_APR!$A$7:$A$108, $A104, F_Inputs_APR!$B$7:$B$108, $B104)</f>
        <v>3538</v>
      </c>
      <c r="G104" s="188">
        <f xml:space="preserve"> SUMIFS(F_Inputs_APR!G$7:G$108, F_Inputs_APR!$A$7:$A$108, $A104, F_Inputs_APR!$B$7:$B$108, $B104)</f>
        <v>7606</v>
      </c>
      <c r="H104" s="188">
        <f xml:space="preserve"> SUMIFS(F_Inputs_APR!H$7:H$108, F_Inputs_APR!$A$7:$A$108, $A104, F_Inputs_APR!$B$7:$B$108, $B104)</f>
        <v>6275</v>
      </c>
      <c r="I104" s="188">
        <f xml:space="preserve"> SUMIFS(F_Inputs_APR!I$7:I$108, F_Inputs_APR!$A$7:$A$108, $A104, F_Inputs_APR!$B$7:$B$108, $B104)</f>
        <v>248</v>
      </c>
      <c r="J104" s="145" t="s">
        <v>18</v>
      </c>
      <c r="K104" s="145" t="s">
        <v>18</v>
      </c>
      <c r="L104" s="145" t="s">
        <v>18</v>
      </c>
      <c r="M104" s="145" t="s">
        <v>18</v>
      </c>
      <c r="N104" s="145" t="s">
        <v>18</v>
      </c>
      <c r="O104" s="145" t="s">
        <v>18</v>
      </c>
      <c r="P104" s="145" t="s">
        <v>18</v>
      </c>
      <c r="Q104" s="145" t="s">
        <v>18</v>
      </c>
      <c r="R104" s="145" t="s">
        <v>18</v>
      </c>
      <c r="S104" s="145" t="s">
        <v>18</v>
      </c>
      <c r="T104" s="145" t="s">
        <v>18</v>
      </c>
      <c r="U104" s="145" t="s">
        <v>18</v>
      </c>
      <c r="V104" s="145" t="s">
        <v>18</v>
      </c>
      <c r="W104" s="145" t="s">
        <v>18</v>
      </c>
      <c r="X104" s="145" t="s">
        <v>18</v>
      </c>
      <c r="Y104" s="145" t="s">
        <v>18</v>
      </c>
    </row>
    <row r="105" spans="1:25" x14ac:dyDescent="0.35">
      <c r="A105" s="142" t="s">
        <v>58</v>
      </c>
      <c r="B105" s="142" t="s">
        <v>69</v>
      </c>
      <c r="C105" s="142" t="s">
        <v>70</v>
      </c>
      <c r="D105" s="142" t="s">
        <v>34</v>
      </c>
      <c r="E105" s="142" t="s">
        <v>65</v>
      </c>
      <c r="F105" s="187">
        <f xml:space="preserve"> SUMIFS(F_Inputs_APR!F$7:F$108, F_Inputs_APR!$A$7:$A$108, $A105, F_Inputs_APR!$B$7:$B$108, $B105)</f>
        <v>0</v>
      </c>
      <c r="G105" s="187">
        <f xml:space="preserve"> SUMIFS(F_Inputs_APR!G$7:G$108, F_Inputs_APR!$A$7:$A$108, $A105, F_Inputs_APR!$B$7:$B$108, $B105)</f>
        <v>0</v>
      </c>
      <c r="H105" s="187">
        <f xml:space="preserve"> SUMIFS(F_Inputs_APR!H$7:H$108, F_Inputs_APR!$A$7:$A$108, $A105, F_Inputs_APR!$B$7:$B$108, $B105)</f>
        <v>0</v>
      </c>
      <c r="I105" s="187">
        <f xml:space="preserve"> SUMIFS(F_Inputs_APR!I$7:I$108, F_Inputs_APR!$A$7:$A$108, $A105, F_Inputs_APR!$B$7:$B$108, $B105)</f>
        <v>0</v>
      </c>
      <c r="J105" s="145" t="s">
        <v>18</v>
      </c>
      <c r="K105" s="145" t="s">
        <v>18</v>
      </c>
      <c r="L105" s="145" t="s">
        <v>18</v>
      </c>
      <c r="M105" s="145" t="s">
        <v>18</v>
      </c>
      <c r="N105" s="145" t="s">
        <v>18</v>
      </c>
      <c r="O105" s="145" t="s">
        <v>18</v>
      </c>
      <c r="P105" s="145" t="s">
        <v>18</v>
      </c>
      <c r="Q105" s="145" t="s">
        <v>18</v>
      </c>
      <c r="R105" s="145" t="s">
        <v>18</v>
      </c>
      <c r="S105" s="145" t="s">
        <v>18</v>
      </c>
      <c r="T105" s="145" t="s">
        <v>18</v>
      </c>
      <c r="U105" s="145" t="s">
        <v>18</v>
      </c>
      <c r="V105" s="145" t="s">
        <v>18</v>
      </c>
      <c r="W105" s="145" t="s">
        <v>18</v>
      </c>
      <c r="X105" s="145" t="s">
        <v>18</v>
      </c>
      <c r="Y105" s="145" t="s">
        <v>18</v>
      </c>
    </row>
    <row r="106" spans="1:25" x14ac:dyDescent="0.35">
      <c r="A106" s="142" t="s">
        <v>58</v>
      </c>
      <c r="B106" s="142" t="s">
        <v>71</v>
      </c>
      <c r="C106" s="142" t="s">
        <v>72</v>
      </c>
      <c r="D106" s="142" t="s">
        <v>34</v>
      </c>
      <c r="E106" s="142" t="s">
        <v>65</v>
      </c>
      <c r="F106" s="187">
        <f xml:space="preserve"> SUMIFS(F_Inputs_APR!F$7:F$108, F_Inputs_APR!$A$7:$A$108, $A106, F_Inputs_APR!$B$7:$B$108, $B106)</f>
        <v>0</v>
      </c>
      <c r="G106" s="187">
        <f xml:space="preserve"> SUMIFS(F_Inputs_APR!G$7:G$108, F_Inputs_APR!$A$7:$A$108, $A106, F_Inputs_APR!$B$7:$B$108, $B106)</f>
        <v>0</v>
      </c>
      <c r="H106" s="187">
        <f xml:space="preserve"> SUMIFS(F_Inputs_APR!H$7:H$108, F_Inputs_APR!$A$7:$A$108, $A106, F_Inputs_APR!$B$7:$B$108, $B106)</f>
        <v>0</v>
      </c>
      <c r="I106" s="187">
        <f xml:space="preserve"> SUMIFS(F_Inputs_APR!I$7:I$108, F_Inputs_APR!$A$7:$A$108, $A106, F_Inputs_APR!$B$7:$B$108, $B106)</f>
        <v>0</v>
      </c>
      <c r="J106" s="145" t="s">
        <v>18</v>
      </c>
      <c r="K106" s="145" t="s">
        <v>18</v>
      </c>
      <c r="L106" s="145" t="s">
        <v>18</v>
      </c>
      <c r="M106" s="145" t="s">
        <v>18</v>
      </c>
      <c r="N106" s="145" t="s">
        <v>18</v>
      </c>
      <c r="O106" s="145" t="s">
        <v>18</v>
      </c>
      <c r="P106" s="145" t="s">
        <v>18</v>
      </c>
      <c r="Q106" s="145" t="s">
        <v>18</v>
      </c>
      <c r="R106" s="145" t="s">
        <v>18</v>
      </c>
      <c r="S106" s="145" t="s">
        <v>18</v>
      </c>
      <c r="T106" s="145" t="s">
        <v>18</v>
      </c>
      <c r="U106" s="145" t="s">
        <v>18</v>
      </c>
      <c r="V106" s="145" t="s">
        <v>18</v>
      </c>
      <c r="W106" s="145" t="s">
        <v>18</v>
      </c>
      <c r="X106" s="145" t="s">
        <v>18</v>
      </c>
      <c r="Y106" s="145" t="s">
        <v>18</v>
      </c>
    </row>
    <row r="107" spans="1:25" x14ac:dyDescent="0.35">
      <c r="A107" s="142" t="s">
        <v>58</v>
      </c>
      <c r="B107" s="142" t="s">
        <v>73</v>
      </c>
      <c r="C107" s="142" t="s">
        <v>38</v>
      </c>
      <c r="D107" s="142" t="s">
        <v>39</v>
      </c>
      <c r="E107" s="142" t="s">
        <v>65</v>
      </c>
      <c r="F107" s="188">
        <f xml:space="preserve"> SUMIFS(F_Inputs_APR!F$7:F$108, F_Inputs_APR!$A$7:$A$108, $A107, F_Inputs_APR!$B$7:$B$108, $B107)</f>
        <v>0</v>
      </c>
      <c r="G107" s="188">
        <f xml:space="preserve"> SUMIFS(F_Inputs_APR!G$7:G$108, F_Inputs_APR!$A$7:$A$108, $A107, F_Inputs_APR!$B$7:$B$108, $B107)</f>
        <v>0</v>
      </c>
      <c r="H107" s="188">
        <f xml:space="preserve"> SUMIFS(F_Inputs_APR!H$7:H$108, F_Inputs_APR!$A$7:$A$108, $A107, F_Inputs_APR!$B$7:$B$108, $B107)</f>
        <v>0</v>
      </c>
      <c r="I107" s="188">
        <f xml:space="preserve"> SUMIFS(F_Inputs_APR!I$7:I$108, F_Inputs_APR!$A$7:$A$108, $A107, F_Inputs_APR!$B$7:$B$108, $B107)</f>
        <v>0</v>
      </c>
      <c r="J107" s="145" t="s">
        <v>18</v>
      </c>
      <c r="K107" s="145" t="s">
        <v>18</v>
      </c>
      <c r="L107" s="145" t="s">
        <v>18</v>
      </c>
      <c r="M107" s="145" t="s">
        <v>18</v>
      </c>
      <c r="N107" s="145" t="s">
        <v>18</v>
      </c>
      <c r="O107" s="145" t="s">
        <v>18</v>
      </c>
      <c r="P107" s="145" t="s">
        <v>18</v>
      </c>
      <c r="Q107" s="145" t="s">
        <v>18</v>
      </c>
      <c r="R107" s="145" t="s">
        <v>18</v>
      </c>
      <c r="S107" s="145" t="s">
        <v>18</v>
      </c>
      <c r="T107" s="145" t="s">
        <v>18</v>
      </c>
      <c r="U107" s="145" t="s">
        <v>18</v>
      </c>
      <c r="V107" s="145" t="s">
        <v>18</v>
      </c>
      <c r="W107" s="145" t="s">
        <v>18</v>
      </c>
      <c r="X107" s="145" t="s">
        <v>18</v>
      </c>
      <c r="Y107" s="145" t="s">
        <v>18</v>
      </c>
    </row>
    <row r="108" spans="1:25" x14ac:dyDescent="0.35">
      <c r="A108" s="142" t="s">
        <v>31</v>
      </c>
      <c r="B108" s="142" t="s">
        <v>32</v>
      </c>
      <c r="C108" s="142" t="s">
        <v>33</v>
      </c>
      <c r="D108" s="142" t="s">
        <v>34</v>
      </c>
      <c r="E108" s="142" t="s">
        <v>17</v>
      </c>
      <c r="F108" s="145" t="s">
        <v>18</v>
      </c>
      <c r="G108" s="145" t="s">
        <v>18</v>
      </c>
      <c r="H108" s="145" t="s">
        <v>18</v>
      </c>
      <c r="I108" s="145" t="s">
        <v>18</v>
      </c>
      <c r="J108" s="145" t="s">
        <v>18</v>
      </c>
      <c r="K108" s="145" t="s">
        <v>18</v>
      </c>
      <c r="L108" s="145" t="s">
        <v>18</v>
      </c>
      <c r="M108" s="145" t="s">
        <v>18</v>
      </c>
      <c r="N108" s="145" t="s">
        <v>18</v>
      </c>
      <c r="O108" s="145" t="s">
        <v>18</v>
      </c>
      <c r="P108" s="145" t="s">
        <v>18</v>
      </c>
      <c r="Q108" s="145" t="s">
        <v>18</v>
      </c>
      <c r="R108" s="187">
        <f xml:space="preserve"> SUMIFS(F_Inputs_BP!H$7:H$108, F_Inputs_BP!$A$7:$A$108, $A108, F_Inputs_BP!$B$7:$B$108, $B108)</f>
        <v>0.94399999999999995</v>
      </c>
      <c r="S108" s="187">
        <f xml:space="preserve"> SUMIFS(F_Inputs_BP!I$7:I$108, F_Inputs_BP!$A$7:$A$108, $A108, F_Inputs_BP!$B$7:$B$108, $B108)</f>
        <v>0.69471010168891179</v>
      </c>
      <c r="T108" s="187">
        <f xml:space="preserve"> SUMIFS(F_Inputs_BP!J$7:J$108, F_Inputs_BP!$A$7:$A$108, $A108, F_Inputs_BP!$B$7:$B$108, $B108)</f>
        <v>0.88712999360201172</v>
      </c>
      <c r="U108" s="187">
        <f xml:space="preserve"> SUMIFS(F_Inputs_BP!K$7:K$108, F_Inputs_BP!$A$7:$A$108, $A108, F_Inputs_BP!$B$7:$B$108, $B108)</f>
        <v>1.4730689481860959</v>
      </c>
      <c r="V108" s="187">
        <f xml:space="preserve"> SUMIFS(F_Inputs_BP!L$7:L$108, F_Inputs_BP!$A$7:$A$108, $A108, F_Inputs_BP!$B$7:$B$108, $B108)</f>
        <v>1.4730689481860959</v>
      </c>
      <c r="W108" s="187">
        <f xml:space="preserve"> SUMIFS(F_Inputs_BP!M$7:M$108, F_Inputs_BP!$A$7:$A$108, $A108, F_Inputs_BP!$B$7:$B$108, $B108)</f>
        <v>1.4730689481860959</v>
      </c>
      <c r="X108" s="187">
        <f xml:space="preserve"> SUMIFS(F_Inputs_BP!N$7:N$108, F_Inputs_BP!$A$7:$A$108, $A108, F_Inputs_BP!$B$7:$B$108, $B108)</f>
        <v>1.4730689481860959</v>
      </c>
      <c r="Y108" s="187">
        <f xml:space="preserve"> SUMIFS(F_Inputs_BP!O$7:O$108, F_Inputs_BP!$A$7:$A$108, $A108, F_Inputs_BP!$B$7:$B$108, $B108)</f>
        <v>1.4730689481860959</v>
      </c>
    </row>
    <row r="109" spans="1:25" x14ac:dyDescent="0.35">
      <c r="A109" s="142" t="s">
        <v>31</v>
      </c>
      <c r="B109" s="142" t="s">
        <v>35</v>
      </c>
      <c r="C109" s="142" t="s">
        <v>36</v>
      </c>
      <c r="D109" s="142" t="s">
        <v>34</v>
      </c>
      <c r="E109" s="142" t="s">
        <v>17</v>
      </c>
      <c r="F109" s="145" t="s">
        <v>18</v>
      </c>
      <c r="G109" s="145" t="s">
        <v>18</v>
      </c>
      <c r="H109" s="145" t="s">
        <v>18</v>
      </c>
      <c r="I109" s="145" t="s">
        <v>18</v>
      </c>
      <c r="J109" s="145" t="s">
        <v>18</v>
      </c>
      <c r="K109" s="145" t="s">
        <v>18</v>
      </c>
      <c r="L109" s="145" t="s">
        <v>18</v>
      </c>
      <c r="M109" s="145" t="s">
        <v>18</v>
      </c>
      <c r="N109" s="145" t="s">
        <v>18</v>
      </c>
      <c r="O109" s="145" t="s">
        <v>18</v>
      </c>
      <c r="P109" s="145" t="s">
        <v>18</v>
      </c>
      <c r="Q109" s="145" t="s">
        <v>18</v>
      </c>
      <c r="R109" s="187">
        <f xml:space="preserve"> SUMIFS(F_Inputs_BP!H$7:H$108, F_Inputs_BP!$A$7:$A$108, $A109, F_Inputs_BP!$B$7:$B$108, $B109)</f>
        <v>0</v>
      </c>
      <c r="S109" s="187">
        <f xml:space="preserve"> SUMIFS(F_Inputs_BP!I$7:I$108, F_Inputs_BP!$A$7:$A$108, $A109, F_Inputs_BP!$B$7:$B$108, $B109)</f>
        <v>0</v>
      </c>
      <c r="T109" s="187">
        <f xml:space="preserve"> SUMIFS(F_Inputs_BP!J$7:J$108, F_Inputs_BP!$A$7:$A$108, $A109, F_Inputs_BP!$B$7:$B$108, $B109)</f>
        <v>0</v>
      </c>
      <c r="U109" s="187">
        <f xml:space="preserve"> SUMIFS(F_Inputs_BP!K$7:K$108, F_Inputs_BP!$A$7:$A$108, $A109, F_Inputs_BP!$B$7:$B$108, $B109)</f>
        <v>0</v>
      </c>
      <c r="V109" s="187">
        <f xml:space="preserve"> SUMIFS(F_Inputs_BP!L$7:L$108, F_Inputs_BP!$A$7:$A$108, $A109, F_Inputs_BP!$B$7:$B$108, $B109)</f>
        <v>0</v>
      </c>
      <c r="W109" s="187">
        <f xml:space="preserve"> SUMIFS(F_Inputs_BP!M$7:M$108, F_Inputs_BP!$A$7:$A$108, $A109, F_Inputs_BP!$B$7:$B$108, $B109)</f>
        <v>0</v>
      </c>
      <c r="X109" s="187">
        <f xml:space="preserve"> SUMIFS(F_Inputs_BP!N$7:N$108, F_Inputs_BP!$A$7:$A$108, $A109, F_Inputs_BP!$B$7:$B$108, $B109)</f>
        <v>0</v>
      </c>
      <c r="Y109" s="187">
        <f xml:space="preserve"> SUMIFS(F_Inputs_BP!O$7:O$108, F_Inputs_BP!$A$7:$A$108, $A109, F_Inputs_BP!$B$7:$B$108, $B109)</f>
        <v>0</v>
      </c>
    </row>
    <row r="110" spans="1:25" x14ac:dyDescent="0.35">
      <c r="A110" s="142" t="s">
        <v>31</v>
      </c>
      <c r="B110" s="142" t="s">
        <v>37</v>
      </c>
      <c r="C110" s="142" t="s">
        <v>38</v>
      </c>
      <c r="D110" s="142" t="s">
        <v>39</v>
      </c>
      <c r="E110" s="142" t="s">
        <v>17</v>
      </c>
      <c r="F110" s="145" t="s">
        <v>18</v>
      </c>
      <c r="G110" s="145" t="s">
        <v>18</v>
      </c>
      <c r="H110" s="145" t="s">
        <v>18</v>
      </c>
      <c r="I110" s="145" t="s">
        <v>18</v>
      </c>
      <c r="J110" s="145" t="s">
        <v>18</v>
      </c>
      <c r="K110" s="145" t="s">
        <v>18</v>
      </c>
      <c r="L110" s="145" t="s">
        <v>18</v>
      </c>
      <c r="M110" s="145" t="s">
        <v>18</v>
      </c>
      <c r="N110" s="145" t="s">
        <v>18</v>
      </c>
      <c r="O110" s="145" t="s">
        <v>18</v>
      </c>
      <c r="P110" s="145" t="s">
        <v>18</v>
      </c>
      <c r="Q110" s="145" t="s">
        <v>18</v>
      </c>
      <c r="R110" s="188">
        <f xml:space="preserve"> SUMIFS(F_Inputs_BP!H$7:H$108, F_Inputs_BP!$A$7:$A$108, $A110, F_Inputs_BP!$B$7:$B$108, $B110)</f>
        <v>18002</v>
      </c>
      <c r="S110" s="188">
        <f xml:space="preserve"> SUMIFS(F_Inputs_BP!I$7:I$108, F_Inputs_BP!$A$7:$A$108, $A110, F_Inputs_BP!$B$7:$B$108, $B110)</f>
        <v>12342</v>
      </c>
      <c r="T110" s="188">
        <f xml:space="preserve"> SUMIFS(F_Inputs_BP!J$7:J$108, F_Inputs_BP!$A$7:$A$108, $A110, F_Inputs_BP!$B$7:$B$108, $B110)</f>
        <v>19000</v>
      </c>
      <c r="U110" s="188">
        <f xml:space="preserve"> SUMIFS(F_Inputs_BP!K$7:K$108, F_Inputs_BP!$A$7:$A$108, $A110, F_Inputs_BP!$B$7:$B$108, $B110)</f>
        <v>19000</v>
      </c>
      <c r="V110" s="188">
        <f xml:space="preserve"> SUMIFS(F_Inputs_BP!L$7:L$108, F_Inputs_BP!$A$7:$A$108, $A110, F_Inputs_BP!$B$7:$B$108, $B110)</f>
        <v>19000</v>
      </c>
      <c r="W110" s="188">
        <f xml:space="preserve"> SUMIFS(F_Inputs_BP!M$7:M$108, F_Inputs_BP!$A$7:$A$108, $A110, F_Inputs_BP!$B$7:$B$108, $B110)</f>
        <v>19000</v>
      </c>
      <c r="X110" s="188">
        <f xml:space="preserve"> SUMIFS(F_Inputs_BP!N$7:N$108, F_Inputs_BP!$A$7:$A$108, $A110, F_Inputs_BP!$B$7:$B$108, $B110)</f>
        <v>19000</v>
      </c>
      <c r="Y110" s="188">
        <f xml:space="preserve"> SUMIFS(F_Inputs_BP!O$7:O$108, F_Inputs_BP!$A$7:$A$108, $A110, F_Inputs_BP!$B$7:$B$108, $B110)</f>
        <v>19000</v>
      </c>
    </row>
    <row r="111" spans="1:25" x14ac:dyDescent="0.35">
      <c r="A111" s="142" t="s">
        <v>31</v>
      </c>
      <c r="B111" s="142" t="s">
        <v>40</v>
      </c>
      <c r="C111" s="142" t="s">
        <v>33</v>
      </c>
      <c r="D111" s="142" t="s">
        <v>34</v>
      </c>
      <c r="E111" s="142" t="s">
        <v>17</v>
      </c>
      <c r="F111" s="145" t="s">
        <v>18</v>
      </c>
      <c r="G111" s="145" t="s">
        <v>18</v>
      </c>
      <c r="H111" s="145" t="s">
        <v>18</v>
      </c>
      <c r="I111" s="145" t="s">
        <v>18</v>
      </c>
      <c r="J111" s="145" t="s">
        <v>18</v>
      </c>
      <c r="K111" s="145" t="s">
        <v>18</v>
      </c>
      <c r="L111" s="145" t="s">
        <v>18</v>
      </c>
      <c r="M111" s="145" t="s">
        <v>18</v>
      </c>
      <c r="N111" s="145" t="s">
        <v>18</v>
      </c>
      <c r="O111" s="145" t="s">
        <v>18</v>
      </c>
      <c r="P111" s="145" t="s">
        <v>18</v>
      </c>
      <c r="Q111" s="145" t="s">
        <v>18</v>
      </c>
      <c r="R111" s="187">
        <f xml:space="preserve"> SUMIFS(F_Inputs_BP!H$7:H$108, F_Inputs_BP!$A$7:$A$108, $A111, F_Inputs_BP!$B$7:$B$108, $B111)</f>
        <v>8.2000000000000003E-2</v>
      </c>
      <c r="S111" s="187">
        <f xml:space="preserve"> SUMIFS(F_Inputs_BP!I$7:I$108, F_Inputs_BP!$A$7:$A$108, $A111, F_Inputs_BP!$B$7:$B$108, $B111)</f>
        <v>5.5899471252566738E-2</v>
      </c>
      <c r="T111" s="187">
        <f xml:space="preserve"> SUMIFS(F_Inputs_BP!J$7:J$108, F_Inputs_BP!$A$7:$A$108, $A111, F_Inputs_BP!$B$7:$B$108, $B111)</f>
        <v>8.0419551962904054E-2</v>
      </c>
      <c r="U111" s="187">
        <f xml:space="preserve"> SUMIFS(F_Inputs_BP!K$7:K$108, F_Inputs_BP!$A$7:$A$108, $A111, F_Inputs_BP!$B$7:$B$108, $B111)</f>
        <v>8.3699999999999997E-2</v>
      </c>
      <c r="V111" s="187">
        <f xml:space="preserve"> SUMIFS(F_Inputs_BP!L$7:L$108, F_Inputs_BP!$A$7:$A$108, $A111, F_Inputs_BP!$B$7:$B$108, $B111)</f>
        <v>8.3699999999999997E-2</v>
      </c>
      <c r="W111" s="187">
        <f xml:space="preserve"> SUMIFS(F_Inputs_BP!M$7:M$108, F_Inputs_BP!$A$7:$A$108, $A111, F_Inputs_BP!$B$7:$B$108, $B111)</f>
        <v>8.3699999999999997E-2</v>
      </c>
      <c r="X111" s="187">
        <f xml:space="preserve"> SUMIFS(F_Inputs_BP!N$7:N$108, F_Inputs_BP!$A$7:$A$108, $A111, F_Inputs_BP!$B$7:$B$108, $B111)</f>
        <v>8.3699999999999997E-2</v>
      </c>
      <c r="Y111" s="187">
        <f xml:space="preserve"> SUMIFS(F_Inputs_BP!O$7:O$108, F_Inputs_BP!$A$7:$A$108, $A111, F_Inputs_BP!$B$7:$B$108, $B111)</f>
        <v>8.3699999999999997E-2</v>
      </c>
    </row>
    <row r="112" spans="1:25" x14ac:dyDescent="0.35">
      <c r="A112" s="142" t="s">
        <v>31</v>
      </c>
      <c r="B112" s="142" t="s">
        <v>41</v>
      </c>
      <c r="C112" s="142" t="s">
        <v>36</v>
      </c>
      <c r="D112" s="142" t="s">
        <v>34</v>
      </c>
      <c r="E112" s="142" t="s">
        <v>17</v>
      </c>
      <c r="F112" s="145" t="s">
        <v>18</v>
      </c>
      <c r="G112" s="145" t="s">
        <v>18</v>
      </c>
      <c r="H112" s="145" t="s">
        <v>18</v>
      </c>
      <c r="I112" s="145" t="s">
        <v>18</v>
      </c>
      <c r="J112" s="145" t="s">
        <v>18</v>
      </c>
      <c r="K112" s="145" t="s">
        <v>18</v>
      </c>
      <c r="L112" s="145" t="s">
        <v>18</v>
      </c>
      <c r="M112" s="145" t="s">
        <v>18</v>
      </c>
      <c r="N112" s="145" t="s">
        <v>18</v>
      </c>
      <c r="O112" s="145" t="s">
        <v>18</v>
      </c>
      <c r="P112" s="145" t="s">
        <v>18</v>
      </c>
      <c r="Q112" s="145" t="s">
        <v>18</v>
      </c>
      <c r="R112" s="187">
        <f xml:space="preserve"> SUMIFS(F_Inputs_BP!H$7:H$108, F_Inputs_BP!$A$7:$A$108, $A112, F_Inputs_BP!$B$7:$B$108, $B112)</f>
        <v>0</v>
      </c>
      <c r="S112" s="187">
        <f xml:space="preserve"> SUMIFS(F_Inputs_BP!I$7:I$108, F_Inputs_BP!$A$7:$A$108, $A112, F_Inputs_BP!$B$7:$B$108, $B112)</f>
        <v>0</v>
      </c>
      <c r="T112" s="187">
        <f xml:space="preserve"> SUMIFS(F_Inputs_BP!J$7:J$108, F_Inputs_BP!$A$7:$A$108, $A112, F_Inputs_BP!$B$7:$B$108, $B112)</f>
        <v>0</v>
      </c>
      <c r="U112" s="187">
        <f xml:space="preserve"> SUMIFS(F_Inputs_BP!K$7:K$108, F_Inputs_BP!$A$7:$A$108, $A112, F_Inputs_BP!$B$7:$B$108, $B112)</f>
        <v>0</v>
      </c>
      <c r="V112" s="187">
        <f xml:space="preserve"> SUMIFS(F_Inputs_BP!L$7:L$108, F_Inputs_BP!$A$7:$A$108, $A112, F_Inputs_BP!$B$7:$B$108, $B112)</f>
        <v>0</v>
      </c>
      <c r="W112" s="187">
        <f xml:space="preserve"> SUMIFS(F_Inputs_BP!M$7:M$108, F_Inputs_BP!$A$7:$A$108, $A112, F_Inputs_BP!$B$7:$B$108, $B112)</f>
        <v>0</v>
      </c>
      <c r="X112" s="187">
        <f xml:space="preserve"> SUMIFS(F_Inputs_BP!N$7:N$108, F_Inputs_BP!$A$7:$A$108, $A112, F_Inputs_BP!$B$7:$B$108, $B112)</f>
        <v>0</v>
      </c>
      <c r="Y112" s="187">
        <f xml:space="preserve"> SUMIFS(F_Inputs_BP!O$7:O$108, F_Inputs_BP!$A$7:$A$108, $A112, F_Inputs_BP!$B$7:$B$108, $B112)</f>
        <v>0</v>
      </c>
    </row>
    <row r="113" spans="1:25" x14ac:dyDescent="0.35">
      <c r="A113" s="142" t="s">
        <v>31</v>
      </c>
      <c r="B113" s="142" t="s">
        <v>42</v>
      </c>
      <c r="C113" s="142" t="s">
        <v>38</v>
      </c>
      <c r="D113" s="142" t="s">
        <v>39</v>
      </c>
      <c r="E113" s="142" t="s">
        <v>17</v>
      </c>
      <c r="F113" s="145" t="s">
        <v>18</v>
      </c>
      <c r="G113" s="145" t="s">
        <v>18</v>
      </c>
      <c r="H113" s="145" t="s">
        <v>18</v>
      </c>
      <c r="I113" s="145" t="s">
        <v>18</v>
      </c>
      <c r="J113" s="145" t="s">
        <v>18</v>
      </c>
      <c r="K113" s="145" t="s">
        <v>18</v>
      </c>
      <c r="L113" s="145" t="s">
        <v>18</v>
      </c>
      <c r="M113" s="145" t="s">
        <v>18</v>
      </c>
      <c r="N113" s="145" t="s">
        <v>18</v>
      </c>
      <c r="O113" s="145" t="s">
        <v>18</v>
      </c>
      <c r="P113" s="145" t="s">
        <v>18</v>
      </c>
      <c r="Q113" s="145" t="s">
        <v>18</v>
      </c>
      <c r="R113" s="188">
        <f xml:space="preserve"> SUMIFS(F_Inputs_BP!H$7:H$108, F_Inputs_BP!$A$7:$A$108, $A113, F_Inputs_BP!$B$7:$B$108, $B113)</f>
        <v>870</v>
      </c>
      <c r="S113" s="188">
        <f xml:space="preserve"> SUMIFS(F_Inputs_BP!I$7:I$108, F_Inputs_BP!$A$7:$A$108, $A113, F_Inputs_BP!$B$7:$B$108, $B113)</f>
        <v>701</v>
      </c>
      <c r="T113" s="188">
        <f xml:space="preserve"> SUMIFS(F_Inputs_BP!J$7:J$108, F_Inputs_BP!$A$7:$A$108, $A113, F_Inputs_BP!$B$7:$B$108, $B113)</f>
        <v>900</v>
      </c>
      <c r="U113" s="188">
        <f xml:space="preserve"> SUMIFS(F_Inputs_BP!K$7:K$108, F_Inputs_BP!$A$7:$A$108, $A113, F_Inputs_BP!$B$7:$B$108, $B113)</f>
        <v>900</v>
      </c>
      <c r="V113" s="188">
        <f xml:space="preserve"> SUMIFS(F_Inputs_BP!L$7:L$108, F_Inputs_BP!$A$7:$A$108, $A113, F_Inputs_BP!$B$7:$B$108, $B113)</f>
        <v>900</v>
      </c>
      <c r="W113" s="188">
        <f xml:space="preserve"> SUMIFS(F_Inputs_BP!M$7:M$108, F_Inputs_BP!$A$7:$A$108, $A113, F_Inputs_BP!$B$7:$B$108, $B113)</f>
        <v>900</v>
      </c>
      <c r="X113" s="188">
        <f xml:space="preserve"> SUMIFS(F_Inputs_BP!N$7:N$108, F_Inputs_BP!$A$7:$A$108, $A113, F_Inputs_BP!$B$7:$B$108, $B113)</f>
        <v>900</v>
      </c>
      <c r="Y113" s="188">
        <f xml:space="preserve"> SUMIFS(F_Inputs_BP!O$7:O$108, F_Inputs_BP!$A$7:$A$108, $A113, F_Inputs_BP!$B$7:$B$108, $B113)</f>
        <v>900</v>
      </c>
    </row>
    <row r="114" spans="1:25" x14ac:dyDescent="0.35">
      <c r="A114" s="142" t="s">
        <v>43</v>
      </c>
      <c r="B114" s="142" t="s">
        <v>32</v>
      </c>
      <c r="C114" s="142" t="s">
        <v>33</v>
      </c>
      <c r="D114" s="142" t="s">
        <v>34</v>
      </c>
      <c r="E114" s="142" t="s">
        <v>17</v>
      </c>
      <c r="F114" s="145" t="s">
        <v>18</v>
      </c>
      <c r="G114" s="145" t="s">
        <v>18</v>
      </c>
      <c r="H114" s="145" t="s">
        <v>18</v>
      </c>
      <c r="I114" s="145" t="s">
        <v>18</v>
      </c>
      <c r="J114" s="145" t="s">
        <v>18</v>
      </c>
      <c r="K114" s="145" t="s">
        <v>18</v>
      </c>
      <c r="L114" s="145" t="s">
        <v>18</v>
      </c>
      <c r="M114" s="145" t="s">
        <v>18</v>
      </c>
      <c r="N114" s="145" t="s">
        <v>18</v>
      </c>
      <c r="O114" s="145" t="s">
        <v>18</v>
      </c>
      <c r="P114" s="145" t="s">
        <v>18</v>
      </c>
      <c r="Q114" s="145" t="s">
        <v>18</v>
      </c>
      <c r="R114" s="187">
        <f xml:space="preserve"> SUMIFS(F_Inputs_BP!H$7:H$108, F_Inputs_BP!$A$7:$A$108, $A114, F_Inputs_BP!$B$7:$B$108, $B114)</f>
        <v>9.2999999999999999E-2</v>
      </c>
      <c r="S114" s="187">
        <f xml:space="preserve"> SUMIFS(F_Inputs_BP!I$7:I$108, F_Inputs_BP!$A$7:$A$108, $A114, F_Inputs_BP!$B$7:$B$108, $B114)</f>
        <v>0.182</v>
      </c>
      <c r="T114" s="187">
        <f xml:space="preserve"> SUMIFS(F_Inputs_BP!J$7:J$108, F_Inputs_BP!$A$7:$A$108, $A114, F_Inputs_BP!$B$7:$B$108, $B114)</f>
        <v>5.1999999999999998E-2</v>
      </c>
      <c r="U114" s="187">
        <f xml:space="preserve"> SUMIFS(F_Inputs_BP!K$7:K$108, F_Inputs_BP!$A$7:$A$108, $A114, F_Inputs_BP!$B$7:$B$108, $B114)</f>
        <v>4.2000000000000003E-2</v>
      </c>
      <c r="V114" s="187">
        <f xml:space="preserve"> SUMIFS(F_Inputs_BP!L$7:L$108, F_Inputs_BP!$A$7:$A$108, $A114, F_Inputs_BP!$B$7:$B$108, $B114)</f>
        <v>0.04</v>
      </c>
      <c r="W114" s="187">
        <f xml:space="preserve"> SUMIFS(F_Inputs_BP!M$7:M$108, F_Inputs_BP!$A$7:$A$108, $A114, F_Inputs_BP!$B$7:$B$108, $B114)</f>
        <v>3.9E-2</v>
      </c>
      <c r="X114" s="187">
        <f xml:space="preserve"> SUMIFS(F_Inputs_BP!N$7:N$108, F_Inputs_BP!$A$7:$A$108, $A114, F_Inputs_BP!$B$7:$B$108, $B114)</f>
        <v>3.9E-2</v>
      </c>
      <c r="Y114" s="187">
        <f xml:space="preserve"> SUMIFS(F_Inputs_BP!O$7:O$108, F_Inputs_BP!$A$7:$A$108, $A114, F_Inputs_BP!$B$7:$B$108, $B114)</f>
        <v>3.7999999999999999E-2</v>
      </c>
    </row>
    <row r="115" spans="1:25" x14ac:dyDescent="0.35">
      <c r="A115" s="142" t="s">
        <v>43</v>
      </c>
      <c r="B115" s="142" t="s">
        <v>35</v>
      </c>
      <c r="C115" s="142" t="s">
        <v>36</v>
      </c>
      <c r="D115" s="142" t="s">
        <v>34</v>
      </c>
      <c r="E115" s="142" t="s">
        <v>17</v>
      </c>
      <c r="F115" s="145" t="s">
        <v>18</v>
      </c>
      <c r="G115" s="145" t="s">
        <v>18</v>
      </c>
      <c r="H115" s="145" t="s">
        <v>18</v>
      </c>
      <c r="I115" s="145" t="s">
        <v>18</v>
      </c>
      <c r="J115" s="145" t="s">
        <v>18</v>
      </c>
      <c r="K115" s="145" t="s">
        <v>18</v>
      </c>
      <c r="L115" s="145" t="s">
        <v>18</v>
      </c>
      <c r="M115" s="145" t="s">
        <v>18</v>
      </c>
      <c r="N115" s="145" t="s">
        <v>18</v>
      </c>
      <c r="O115" s="145" t="s">
        <v>18</v>
      </c>
      <c r="P115" s="145" t="s">
        <v>18</v>
      </c>
      <c r="Q115" s="145" t="s">
        <v>18</v>
      </c>
      <c r="R115" s="187">
        <f xml:space="preserve"> SUMIFS(F_Inputs_BP!H$7:H$108, F_Inputs_BP!$A$7:$A$108, $A115, F_Inputs_BP!$B$7:$B$108, $B115)</f>
        <v>0</v>
      </c>
      <c r="S115" s="187">
        <f xml:space="preserve"> SUMIFS(F_Inputs_BP!I$7:I$108, F_Inputs_BP!$A$7:$A$108, $A115, F_Inputs_BP!$B$7:$B$108, $B115)</f>
        <v>0</v>
      </c>
      <c r="T115" s="187">
        <f xml:space="preserve"> SUMIFS(F_Inputs_BP!J$7:J$108, F_Inputs_BP!$A$7:$A$108, $A115, F_Inputs_BP!$B$7:$B$108, $B115)</f>
        <v>0</v>
      </c>
      <c r="U115" s="187">
        <f xml:space="preserve"> SUMIFS(F_Inputs_BP!K$7:K$108, F_Inputs_BP!$A$7:$A$108, $A115, F_Inputs_BP!$B$7:$B$108, $B115)</f>
        <v>0</v>
      </c>
      <c r="V115" s="187">
        <f xml:space="preserve"> SUMIFS(F_Inputs_BP!L$7:L$108, F_Inputs_BP!$A$7:$A$108, $A115, F_Inputs_BP!$B$7:$B$108, $B115)</f>
        <v>0</v>
      </c>
      <c r="W115" s="187">
        <f xml:space="preserve"> SUMIFS(F_Inputs_BP!M$7:M$108, F_Inputs_BP!$A$7:$A$108, $A115, F_Inputs_BP!$B$7:$B$108, $B115)</f>
        <v>0</v>
      </c>
      <c r="X115" s="187">
        <f xml:space="preserve"> SUMIFS(F_Inputs_BP!N$7:N$108, F_Inputs_BP!$A$7:$A$108, $A115, F_Inputs_BP!$B$7:$B$108, $B115)</f>
        <v>0</v>
      </c>
      <c r="Y115" s="187">
        <f xml:space="preserve"> SUMIFS(F_Inputs_BP!O$7:O$108, F_Inputs_BP!$A$7:$A$108, $A115, F_Inputs_BP!$B$7:$B$108, $B115)</f>
        <v>0</v>
      </c>
    </row>
    <row r="116" spans="1:25" x14ac:dyDescent="0.35">
      <c r="A116" s="142" t="s">
        <v>43</v>
      </c>
      <c r="B116" s="142" t="s">
        <v>37</v>
      </c>
      <c r="C116" s="142" t="s">
        <v>38</v>
      </c>
      <c r="D116" s="142" t="s">
        <v>39</v>
      </c>
      <c r="E116" s="142" t="s">
        <v>17</v>
      </c>
      <c r="F116" s="145" t="s">
        <v>18</v>
      </c>
      <c r="G116" s="145" t="s">
        <v>18</v>
      </c>
      <c r="H116" s="145" t="s">
        <v>18</v>
      </c>
      <c r="I116" s="145" t="s">
        <v>18</v>
      </c>
      <c r="J116" s="145" t="s">
        <v>18</v>
      </c>
      <c r="K116" s="145" t="s">
        <v>18</v>
      </c>
      <c r="L116" s="145" t="s">
        <v>18</v>
      </c>
      <c r="M116" s="145" t="s">
        <v>18</v>
      </c>
      <c r="N116" s="145" t="s">
        <v>18</v>
      </c>
      <c r="O116" s="145" t="s">
        <v>18</v>
      </c>
      <c r="P116" s="145" t="s">
        <v>18</v>
      </c>
      <c r="Q116" s="145" t="s">
        <v>18</v>
      </c>
      <c r="R116" s="188">
        <f xml:space="preserve"> SUMIFS(F_Inputs_BP!H$7:H$108, F_Inputs_BP!$A$7:$A$108, $A116, F_Inputs_BP!$B$7:$B$108, $B116)</f>
        <v>1815</v>
      </c>
      <c r="S116" s="188">
        <f xml:space="preserve"> SUMIFS(F_Inputs_BP!I$7:I$108, F_Inputs_BP!$A$7:$A$108, $A116, F_Inputs_BP!$B$7:$B$108, $B116)</f>
        <v>3630</v>
      </c>
      <c r="T116" s="188">
        <f xml:space="preserve"> SUMIFS(F_Inputs_BP!J$7:J$108, F_Inputs_BP!$A$7:$A$108, $A116, F_Inputs_BP!$B$7:$B$108, $B116)</f>
        <v>1034</v>
      </c>
      <c r="U116" s="188">
        <f xml:space="preserve"> SUMIFS(F_Inputs_BP!K$7:K$108, F_Inputs_BP!$A$7:$A$108, $A116, F_Inputs_BP!$B$7:$B$108, $B116)</f>
        <v>839.19399999999996</v>
      </c>
      <c r="V116" s="188">
        <f xml:space="preserve"> SUMIFS(F_Inputs_BP!L$7:L$108, F_Inputs_BP!$A$7:$A$108, $A116, F_Inputs_BP!$B$7:$B$108, $B116)</f>
        <v>800.16099999999994</v>
      </c>
      <c r="W116" s="188">
        <f xml:space="preserve"> SUMIFS(F_Inputs_BP!M$7:M$108, F_Inputs_BP!$A$7:$A$108, $A116, F_Inputs_BP!$B$7:$B$108, $B116)</f>
        <v>780.64499999999998</v>
      </c>
      <c r="X116" s="188">
        <f xml:space="preserve"> SUMIFS(F_Inputs_BP!N$7:N$108, F_Inputs_BP!$A$7:$A$108, $A116, F_Inputs_BP!$B$7:$B$108, $B116)</f>
        <v>761.12900000000002</v>
      </c>
      <c r="Y116" s="188">
        <f xml:space="preserve"> SUMIFS(F_Inputs_BP!O$7:O$108, F_Inputs_BP!$A$7:$A$108, $A116, F_Inputs_BP!$B$7:$B$108, $B116)</f>
        <v>761.12900000000002</v>
      </c>
    </row>
    <row r="117" spans="1:25" x14ac:dyDescent="0.35">
      <c r="A117" s="142" t="s">
        <v>43</v>
      </c>
      <c r="B117" s="142" t="s">
        <v>40</v>
      </c>
      <c r="C117" s="142" t="s">
        <v>33</v>
      </c>
      <c r="D117" s="142" t="s">
        <v>34</v>
      </c>
      <c r="E117" s="142" t="s">
        <v>17</v>
      </c>
      <c r="F117" s="145" t="s">
        <v>18</v>
      </c>
      <c r="G117" s="145" t="s">
        <v>18</v>
      </c>
      <c r="H117" s="145" t="s">
        <v>18</v>
      </c>
      <c r="I117" s="145" t="s">
        <v>18</v>
      </c>
      <c r="J117" s="145" t="s">
        <v>18</v>
      </c>
      <c r="K117" s="145" t="s">
        <v>18</v>
      </c>
      <c r="L117" s="145" t="s">
        <v>18</v>
      </c>
      <c r="M117" s="145" t="s">
        <v>18</v>
      </c>
      <c r="N117" s="145" t="s">
        <v>18</v>
      </c>
      <c r="O117" s="145" t="s">
        <v>18</v>
      </c>
      <c r="P117" s="145" t="s">
        <v>18</v>
      </c>
      <c r="Q117" s="145" t="s">
        <v>18</v>
      </c>
      <c r="R117" s="187">
        <f xml:space="preserve"> SUMIFS(F_Inputs_BP!H$7:H$108, F_Inputs_BP!$A$7:$A$108, $A117, F_Inputs_BP!$B$7:$B$108, $B117)</f>
        <v>9.2999999999999999E-2</v>
      </c>
      <c r="S117" s="187">
        <f xml:space="preserve"> SUMIFS(F_Inputs_BP!I$7:I$108, F_Inputs_BP!$A$7:$A$108, $A117, F_Inputs_BP!$B$7:$B$108, $B117)</f>
        <v>2.1999999999999999E-2</v>
      </c>
      <c r="T117" s="187">
        <f xml:space="preserve"> SUMIFS(F_Inputs_BP!J$7:J$108, F_Inputs_BP!$A$7:$A$108, $A117, F_Inputs_BP!$B$7:$B$108, $B117)</f>
        <v>4.3999999999999997E-2</v>
      </c>
      <c r="U117" s="187">
        <f xml:space="preserve"> SUMIFS(F_Inputs_BP!K$7:K$108, F_Inputs_BP!$A$7:$A$108, $A117, F_Inputs_BP!$B$7:$B$108, $B117)</f>
        <v>2.7E-2</v>
      </c>
      <c r="V117" s="187">
        <f xml:space="preserve"> SUMIFS(F_Inputs_BP!L$7:L$108, F_Inputs_BP!$A$7:$A$108, $A117, F_Inputs_BP!$B$7:$B$108, $B117)</f>
        <v>2.5000000000000001E-2</v>
      </c>
      <c r="W117" s="187">
        <f xml:space="preserve"> SUMIFS(F_Inputs_BP!M$7:M$108, F_Inputs_BP!$A$7:$A$108, $A117, F_Inputs_BP!$B$7:$B$108, $B117)</f>
        <v>2.5000000000000001E-2</v>
      </c>
      <c r="X117" s="187">
        <f xml:space="preserve"> SUMIFS(F_Inputs_BP!N$7:N$108, F_Inputs_BP!$A$7:$A$108, $A117, F_Inputs_BP!$B$7:$B$108, $B117)</f>
        <v>2.4E-2</v>
      </c>
      <c r="Y117" s="187">
        <f xml:space="preserve"> SUMIFS(F_Inputs_BP!O$7:O$108, F_Inputs_BP!$A$7:$A$108, $A117, F_Inputs_BP!$B$7:$B$108, $B117)</f>
        <v>2.4E-2</v>
      </c>
    </row>
    <row r="118" spans="1:25" x14ac:dyDescent="0.35">
      <c r="A118" s="142" t="s">
        <v>43</v>
      </c>
      <c r="B118" s="142" t="s">
        <v>41</v>
      </c>
      <c r="C118" s="142" t="s">
        <v>36</v>
      </c>
      <c r="D118" s="142" t="s">
        <v>34</v>
      </c>
      <c r="E118" s="142" t="s">
        <v>17</v>
      </c>
      <c r="F118" s="145" t="s">
        <v>18</v>
      </c>
      <c r="G118" s="145" t="s">
        <v>18</v>
      </c>
      <c r="H118" s="145" t="s">
        <v>18</v>
      </c>
      <c r="I118" s="145" t="s">
        <v>18</v>
      </c>
      <c r="J118" s="145" t="s">
        <v>18</v>
      </c>
      <c r="K118" s="145" t="s">
        <v>18</v>
      </c>
      <c r="L118" s="145" t="s">
        <v>18</v>
      </c>
      <c r="M118" s="145" t="s">
        <v>18</v>
      </c>
      <c r="N118" s="145" t="s">
        <v>18</v>
      </c>
      <c r="O118" s="145" t="s">
        <v>18</v>
      </c>
      <c r="P118" s="145" t="s">
        <v>18</v>
      </c>
      <c r="Q118" s="145" t="s">
        <v>18</v>
      </c>
      <c r="R118" s="187">
        <f xml:space="preserve"> SUMIFS(F_Inputs_BP!H$7:H$108, F_Inputs_BP!$A$7:$A$108, $A118, F_Inputs_BP!$B$7:$B$108, $B118)</f>
        <v>0</v>
      </c>
      <c r="S118" s="187">
        <f xml:space="preserve"> SUMIFS(F_Inputs_BP!I$7:I$108, F_Inputs_BP!$A$7:$A$108, $A118, F_Inputs_BP!$B$7:$B$108, $B118)</f>
        <v>0</v>
      </c>
      <c r="T118" s="187">
        <f xml:space="preserve"> SUMIFS(F_Inputs_BP!J$7:J$108, F_Inputs_BP!$A$7:$A$108, $A118, F_Inputs_BP!$B$7:$B$108, $B118)</f>
        <v>0</v>
      </c>
      <c r="U118" s="187">
        <f xml:space="preserve"> SUMIFS(F_Inputs_BP!K$7:K$108, F_Inputs_BP!$A$7:$A$108, $A118, F_Inputs_BP!$B$7:$B$108, $B118)</f>
        <v>0</v>
      </c>
      <c r="V118" s="187">
        <f xml:space="preserve"> SUMIFS(F_Inputs_BP!L$7:L$108, F_Inputs_BP!$A$7:$A$108, $A118, F_Inputs_BP!$B$7:$B$108, $B118)</f>
        <v>0</v>
      </c>
      <c r="W118" s="187">
        <f xml:space="preserve"> SUMIFS(F_Inputs_BP!M$7:M$108, F_Inputs_BP!$A$7:$A$108, $A118, F_Inputs_BP!$B$7:$B$108, $B118)</f>
        <v>0</v>
      </c>
      <c r="X118" s="187">
        <f xml:space="preserve"> SUMIFS(F_Inputs_BP!N$7:N$108, F_Inputs_BP!$A$7:$A$108, $A118, F_Inputs_BP!$B$7:$B$108, $B118)</f>
        <v>0</v>
      </c>
      <c r="Y118" s="187">
        <f xml:space="preserve"> SUMIFS(F_Inputs_BP!O$7:O$108, F_Inputs_BP!$A$7:$A$108, $A118, F_Inputs_BP!$B$7:$B$108, $B118)</f>
        <v>0</v>
      </c>
    </row>
    <row r="119" spans="1:25" x14ac:dyDescent="0.35">
      <c r="A119" s="142" t="s">
        <v>43</v>
      </c>
      <c r="B119" s="142" t="s">
        <v>42</v>
      </c>
      <c r="C119" s="142" t="s">
        <v>38</v>
      </c>
      <c r="D119" s="142" t="s">
        <v>39</v>
      </c>
      <c r="E119" s="142" t="s">
        <v>17</v>
      </c>
      <c r="F119" s="145" t="s">
        <v>18</v>
      </c>
      <c r="G119" s="145" t="s">
        <v>18</v>
      </c>
      <c r="H119" s="145" t="s">
        <v>18</v>
      </c>
      <c r="I119" s="145" t="s">
        <v>18</v>
      </c>
      <c r="J119" s="145" t="s">
        <v>18</v>
      </c>
      <c r="K119" s="145" t="s">
        <v>18</v>
      </c>
      <c r="L119" s="145" t="s">
        <v>18</v>
      </c>
      <c r="M119" s="145" t="s">
        <v>18</v>
      </c>
      <c r="N119" s="145" t="s">
        <v>18</v>
      </c>
      <c r="O119" s="145" t="s">
        <v>18</v>
      </c>
      <c r="P119" s="145" t="s">
        <v>18</v>
      </c>
      <c r="Q119" s="145" t="s">
        <v>18</v>
      </c>
      <c r="R119" s="188">
        <f xml:space="preserve"> SUMIFS(F_Inputs_BP!H$7:H$108, F_Inputs_BP!$A$7:$A$108, $A119, F_Inputs_BP!$B$7:$B$108, $B119)</f>
        <v>323</v>
      </c>
      <c r="S119" s="188">
        <f xml:space="preserve"> SUMIFS(F_Inputs_BP!I$7:I$108, F_Inputs_BP!$A$7:$A$108, $A119, F_Inputs_BP!$B$7:$B$108, $B119)</f>
        <v>421</v>
      </c>
      <c r="T119" s="188">
        <f xml:space="preserve"> SUMIFS(F_Inputs_BP!J$7:J$108, F_Inputs_BP!$A$7:$A$108, $A119, F_Inputs_BP!$B$7:$B$108, $B119)</f>
        <v>152.81800000000001</v>
      </c>
      <c r="U119" s="188">
        <f xml:space="preserve"> SUMIFS(F_Inputs_BP!K$7:K$108, F_Inputs_BP!$A$7:$A$108, $A119, F_Inputs_BP!$B$7:$B$108, $B119)</f>
        <v>90.3</v>
      </c>
      <c r="V119" s="188">
        <f xml:space="preserve"> SUMIFS(F_Inputs_BP!L$7:L$108, F_Inputs_BP!$A$7:$A$108, $A119, F_Inputs_BP!$B$7:$B$108, $B119)</f>
        <v>86.826999999999998</v>
      </c>
      <c r="W119" s="188">
        <f xml:space="preserve"> SUMIFS(F_Inputs_BP!M$7:M$108, F_Inputs_BP!$A$7:$A$108, $A119, F_Inputs_BP!$B$7:$B$108, $B119)</f>
        <v>86.826999999999998</v>
      </c>
      <c r="X119" s="188">
        <f xml:space="preserve"> SUMIFS(F_Inputs_BP!N$7:N$108, F_Inputs_BP!$A$7:$A$108, $A119, F_Inputs_BP!$B$7:$B$108, $B119)</f>
        <v>83.353999999999999</v>
      </c>
      <c r="Y119" s="188">
        <f xml:space="preserve"> SUMIFS(F_Inputs_BP!O$7:O$108, F_Inputs_BP!$A$7:$A$108, $A119, F_Inputs_BP!$B$7:$B$108, $B119)</f>
        <v>83.353999999999999</v>
      </c>
    </row>
    <row r="120" spans="1:25" x14ac:dyDescent="0.35">
      <c r="A120" s="142" t="s">
        <v>44</v>
      </c>
      <c r="B120" s="142" t="s">
        <v>32</v>
      </c>
      <c r="C120" s="142" t="s">
        <v>33</v>
      </c>
      <c r="D120" s="142" t="s">
        <v>34</v>
      </c>
      <c r="E120" s="142" t="s">
        <v>17</v>
      </c>
      <c r="F120" s="145" t="s">
        <v>18</v>
      </c>
      <c r="G120" s="145" t="s">
        <v>18</v>
      </c>
      <c r="H120" s="145" t="s">
        <v>18</v>
      </c>
      <c r="I120" s="145" t="s">
        <v>18</v>
      </c>
      <c r="J120" s="145" t="s">
        <v>18</v>
      </c>
      <c r="K120" s="145" t="s">
        <v>18</v>
      </c>
      <c r="L120" s="145" t="s">
        <v>18</v>
      </c>
      <c r="M120" s="145" t="s">
        <v>18</v>
      </c>
      <c r="N120" s="145" t="s">
        <v>18</v>
      </c>
      <c r="O120" s="145" t="s">
        <v>18</v>
      </c>
      <c r="P120" s="145" t="s">
        <v>18</v>
      </c>
      <c r="Q120" s="145" t="s">
        <v>18</v>
      </c>
      <c r="R120" s="187">
        <f xml:space="preserve"> SUMIFS(F_Inputs_BP!H$7:H$108, F_Inputs_BP!$A$7:$A$108, $A120, F_Inputs_BP!$B$7:$B$108, $B120)</f>
        <v>0</v>
      </c>
      <c r="S120" s="187">
        <f xml:space="preserve"> SUMIFS(F_Inputs_BP!I$7:I$108, F_Inputs_BP!$A$7:$A$108, $A120, F_Inputs_BP!$B$7:$B$108, $B120)</f>
        <v>0</v>
      </c>
      <c r="T120" s="187">
        <f xml:space="preserve"> SUMIFS(F_Inputs_BP!J$7:J$108, F_Inputs_BP!$A$7:$A$108, $A120, F_Inputs_BP!$B$7:$B$108, $B120)</f>
        <v>0</v>
      </c>
      <c r="U120" s="187">
        <f xml:space="preserve"> SUMIFS(F_Inputs_BP!K$7:K$108, F_Inputs_BP!$A$7:$A$108, $A120, F_Inputs_BP!$B$7:$B$108, $B120)</f>
        <v>0</v>
      </c>
      <c r="V120" s="187">
        <f xml:space="preserve"> SUMIFS(F_Inputs_BP!L$7:L$108, F_Inputs_BP!$A$7:$A$108, $A120, F_Inputs_BP!$B$7:$B$108, $B120)</f>
        <v>0</v>
      </c>
      <c r="W120" s="187">
        <f xml:space="preserve"> SUMIFS(F_Inputs_BP!M$7:M$108, F_Inputs_BP!$A$7:$A$108, $A120, F_Inputs_BP!$B$7:$B$108, $B120)</f>
        <v>0</v>
      </c>
      <c r="X120" s="187">
        <f xml:space="preserve"> SUMIFS(F_Inputs_BP!N$7:N$108, F_Inputs_BP!$A$7:$A$108, $A120, F_Inputs_BP!$B$7:$B$108, $B120)</f>
        <v>0</v>
      </c>
      <c r="Y120" s="187">
        <f xml:space="preserve"> SUMIFS(F_Inputs_BP!O$7:O$108, F_Inputs_BP!$A$7:$A$108, $A120, F_Inputs_BP!$B$7:$B$108, $B120)</f>
        <v>0</v>
      </c>
    </row>
    <row r="121" spans="1:25" x14ac:dyDescent="0.35">
      <c r="A121" s="142" t="s">
        <v>44</v>
      </c>
      <c r="B121" s="142" t="s">
        <v>35</v>
      </c>
      <c r="C121" s="142" t="s">
        <v>36</v>
      </c>
      <c r="D121" s="142" t="s">
        <v>34</v>
      </c>
      <c r="E121" s="142" t="s">
        <v>17</v>
      </c>
      <c r="F121" s="145" t="s">
        <v>18</v>
      </c>
      <c r="G121" s="145" t="s">
        <v>18</v>
      </c>
      <c r="H121" s="145" t="s">
        <v>18</v>
      </c>
      <c r="I121" s="145" t="s">
        <v>18</v>
      </c>
      <c r="J121" s="145" t="s">
        <v>18</v>
      </c>
      <c r="K121" s="145" t="s">
        <v>18</v>
      </c>
      <c r="L121" s="145" t="s">
        <v>18</v>
      </c>
      <c r="M121" s="145" t="s">
        <v>18</v>
      </c>
      <c r="N121" s="145" t="s">
        <v>18</v>
      </c>
      <c r="O121" s="145" t="s">
        <v>18</v>
      </c>
      <c r="P121" s="145" t="s">
        <v>18</v>
      </c>
      <c r="Q121" s="145" t="s">
        <v>18</v>
      </c>
      <c r="R121" s="187">
        <f xml:space="preserve"> SUMIFS(F_Inputs_BP!H$7:H$108, F_Inputs_BP!$A$7:$A$108, $A121, F_Inputs_BP!$B$7:$B$108, $B121)</f>
        <v>0</v>
      </c>
      <c r="S121" s="187">
        <f xml:space="preserve"> SUMIFS(F_Inputs_BP!I$7:I$108, F_Inputs_BP!$A$7:$A$108, $A121, F_Inputs_BP!$B$7:$B$108, $B121)</f>
        <v>0</v>
      </c>
      <c r="T121" s="187">
        <f xml:space="preserve"> SUMIFS(F_Inputs_BP!J$7:J$108, F_Inputs_BP!$A$7:$A$108, $A121, F_Inputs_BP!$B$7:$B$108, $B121)</f>
        <v>0</v>
      </c>
      <c r="U121" s="187">
        <f xml:space="preserve"> SUMIFS(F_Inputs_BP!K$7:K$108, F_Inputs_BP!$A$7:$A$108, $A121, F_Inputs_BP!$B$7:$B$108, $B121)</f>
        <v>0</v>
      </c>
      <c r="V121" s="187">
        <f xml:space="preserve"> SUMIFS(F_Inputs_BP!L$7:L$108, F_Inputs_BP!$A$7:$A$108, $A121, F_Inputs_BP!$B$7:$B$108, $B121)</f>
        <v>0</v>
      </c>
      <c r="W121" s="187">
        <f xml:space="preserve"> SUMIFS(F_Inputs_BP!M$7:M$108, F_Inputs_BP!$A$7:$A$108, $A121, F_Inputs_BP!$B$7:$B$108, $B121)</f>
        <v>0</v>
      </c>
      <c r="X121" s="187">
        <f xml:space="preserve"> SUMIFS(F_Inputs_BP!N$7:N$108, F_Inputs_BP!$A$7:$A$108, $A121, F_Inputs_BP!$B$7:$B$108, $B121)</f>
        <v>0</v>
      </c>
      <c r="Y121" s="187">
        <f xml:space="preserve"> SUMIFS(F_Inputs_BP!O$7:O$108, F_Inputs_BP!$A$7:$A$108, $A121, F_Inputs_BP!$B$7:$B$108, $B121)</f>
        <v>0</v>
      </c>
    </row>
    <row r="122" spans="1:25" x14ac:dyDescent="0.35">
      <c r="A122" s="142" t="s">
        <v>44</v>
      </c>
      <c r="B122" s="142" t="s">
        <v>37</v>
      </c>
      <c r="C122" s="142" t="s">
        <v>38</v>
      </c>
      <c r="D122" s="142" t="s">
        <v>39</v>
      </c>
      <c r="E122" s="142" t="s">
        <v>17</v>
      </c>
      <c r="F122" s="145" t="s">
        <v>18</v>
      </c>
      <c r="G122" s="145" t="s">
        <v>18</v>
      </c>
      <c r="H122" s="145" t="s">
        <v>18</v>
      </c>
      <c r="I122" s="145" t="s">
        <v>18</v>
      </c>
      <c r="J122" s="145" t="s">
        <v>18</v>
      </c>
      <c r="K122" s="145" t="s">
        <v>18</v>
      </c>
      <c r="L122" s="145" t="s">
        <v>18</v>
      </c>
      <c r="M122" s="145" t="s">
        <v>18</v>
      </c>
      <c r="N122" s="145" t="s">
        <v>18</v>
      </c>
      <c r="O122" s="145" t="s">
        <v>18</v>
      </c>
      <c r="P122" s="145" t="s">
        <v>18</v>
      </c>
      <c r="Q122" s="145" t="s">
        <v>18</v>
      </c>
      <c r="R122" s="188">
        <f xml:space="preserve"> SUMIFS(F_Inputs_BP!H$7:H$108, F_Inputs_BP!$A$7:$A$108, $A122, F_Inputs_BP!$B$7:$B$108, $B122)</f>
        <v>0</v>
      </c>
      <c r="S122" s="188">
        <f xml:space="preserve"> SUMIFS(F_Inputs_BP!I$7:I$108, F_Inputs_BP!$A$7:$A$108, $A122, F_Inputs_BP!$B$7:$B$108, $B122)</f>
        <v>0</v>
      </c>
      <c r="T122" s="188">
        <f xml:space="preserve"> SUMIFS(F_Inputs_BP!J$7:J$108, F_Inputs_BP!$A$7:$A$108, $A122, F_Inputs_BP!$B$7:$B$108, $B122)</f>
        <v>0</v>
      </c>
      <c r="U122" s="188">
        <f xml:space="preserve"> SUMIFS(F_Inputs_BP!K$7:K$108, F_Inputs_BP!$A$7:$A$108, $A122, F_Inputs_BP!$B$7:$B$108, $B122)</f>
        <v>0</v>
      </c>
      <c r="V122" s="188">
        <f xml:space="preserve"> SUMIFS(F_Inputs_BP!L$7:L$108, F_Inputs_BP!$A$7:$A$108, $A122, F_Inputs_BP!$B$7:$B$108, $B122)</f>
        <v>0</v>
      </c>
      <c r="W122" s="188">
        <f xml:space="preserve"> SUMIFS(F_Inputs_BP!M$7:M$108, F_Inputs_BP!$A$7:$A$108, $A122, F_Inputs_BP!$B$7:$B$108, $B122)</f>
        <v>0</v>
      </c>
      <c r="X122" s="188">
        <f xml:space="preserve"> SUMIFS(F_Inputs_BP!N$7:N$108, F_Inputs_BP!$A$7:$A$108, $A122, F_Inputs_BP!$B$7:$B$108, $B122)</f>
        <v>0</v>
      </c>
      <c r="Y122" s="188">
        <f xml:space="preserve"> SUMIFS(F_Inputs_BP!O$7:O$108, F_Inputs_BP!$A$7:$A$108, $A122, F_Inputs_BP!$B$7:$B$108, $B122)</f>
        <v>0</v>
      </c>
    </row>
    <row r="123" spans="1:25" x14ac:dyDescent="0.35">
      <c r="A123" s="142" t="s">
        <v>44</v>
      </c>
      <c r="B123" s="142" t="s">
        <v>40</v>
      </c>
      <c r="C123" s="142" t="s">
        <v>33</v>
      </c>
      <c r="D123" s="142" t="s">
        <v>34</v>
      </c>
      <c r="E123" s="142" t="s">
        <v>17</v>
      </c>
      <c r="F123" s="145" t="s">
        <v>18</v>
      </c>
      <c r="G123" s="145" t="s">
        <v>18</v>
      </c>
      <c r="H123" s="145" t="s">
        <v>18</v>
      </c>
      <c r="I123" s="145" t="s">
        <v>18</v>
      </c>
      <c r="J123" s="145" t="s">
        <v>18</v>
      </c>
      <c r="K123" s="145" t="s">
        <v>18</v>
      </c>
      <c r="L123" s="145" t="s">
        <v>18</v>
      </c>
      <c r="M123" s="145" t="s">
        <v>18</v>
      </c>
      <c r="N123" s="145" t="s">
        <v>18</v>
      </c>
      <c r="O123" s="145" t="s">
        <v>18</v>
      </c>
      <c r="P123" s="145" t="s">
        <v>18</v>
      </c>
      <c r="Q123" s="145" t="s">
        <v>18</v>
      </c>
      <c r="R123" s="187">
        <f xml:space="preserve"> SUMIFS(F_Inputs_BP!H$7:H$108, F_Inputs_BP!$A$7:$A$108, $A123, F_Inputs_BP!$B$7:$B$108, $B123)</f>
        <v>0</v>
      </c>
      <c r="S123" s="187">
        <f xml:space="preserve"> SUMIFS(F_Inputs_BP!I$7:I$108, F_Inputs_BP!$A$7:$A$108, $A123, F_Inputs_BP!$B$7:$B$108, $B123)</f>
        <v>0</v>
      </c>
      <c r="T123" s="187">
        <f xml:space="preserve"> SUMIFS(F_Inputs_BP!J$7:J$108, F_Inputs_BP!$A$7:$A$108, $A123, F_Inputs_BP!$B$7:$B$108, $B123)</f>
        <v>0</v>
      </c>
      <c r="U123" s="187">
        <f xml:space="preserve"> SUMIFS(F_Inputs_BP!K$7:K$108, F_Inputs_BP!$A$7:$A$108, $A123, F_Inputs_BP!$B$7:$B$108, $B123)</f>
        <v>0</v>
      </c>
      <c r="V123" s="187">
        <f xml:space="preserve"> SUMIFS(F_Inputs_BP!L$7:L$108, F_Inputs_BP!$A$7:$A$108, $A123, F_Inputs_BP!$B$7:$B$108, $B123)</f>
        <v>0</v>
      </c>
      <c r="W123" s="187">
        <f xml:space="preserve"> SUMIFS(F_Inputs_BP!M$7:M$108, F_Inputs_BP!$A$7:$A$108, $A123, F_Inputs_BP!$B$7:$B$108, $B123)</f>
        <v>0</v>
      </c>
      <c r="X123" s="187">
        <f xml:space="preserve"> SUMIFS(F_Inputs_BP!N$7:N$108, F_Inputs_BP!$A$7:$A$108, $A123, F_Inputs_BP!$B$7:$B$108, $B123)</f>
        <v>0</v>
      </c>
      <c r="Y123" s="187">
        <f xml:space="preserve"> SUMIFS(F_Inputs_BP!O$7:O$108, F_Inputs_BP!$A$7:$A$108, $A123, F_Inputs_BP!$B$7:$B$108, $B123)</f>
        <v>0</v>
      </c>
    </row>
    <row r="124" spans="1:25" x14ac:dyDescent="0.35">
      <c r="A124" s="142" t="s">
        <v>44</v>
      </c>
      <c r="B124" s="142" t="s">
        <v>41</v>
      </c>
      <c r="C124" s="142" t="s">
        <v>36</v>
      </c>
      <c r="D124" s="142" t="s">
        <v>34</v>
      </c>
      <c r="E124" s="142" t="s">
        <v>17</v>
      </c>
      <c r="F124" s="145" t="s">
        <v>18</v>
      </c>
      <c r="G124" s="145" t="s">
        <v>18</v>
      </c>
      <c r="H124" s="145" t="s">
        <v>18</v>
      </c>
      <c r="I124" s="145" t="s">
        <v>18</v>
      </c>
      <c r="J124" s="145" t="s">
        <v>18</v>
      </c>
      <c r="K124" s="145" t="s">
        <v>18</v>
      </c>
      <c r="L124" s="145" t="s">
        <v>18</v>
      </c>
      <c r="M124" s="145" t="s">
        <v>18</v>
      </c>
      <c r="N124" s="145" t="s">
        <v>18</v>
      </c>
      <c r="O124" s="145" t="s">
        <v>18</v>
      </c>
      <c r="P124" s="145" t="s">
        <v>18</v>
      </c>
      <c r="Q124" s="145" t="s">
        <v>18</v>
      </c>
      <c r="R124" s="187">
        <f xml:space="preserve"> SUMIFS(F_Inputs_BP!H$7:H$108, F_Inputs_BP!$A$7:$A$108, $A124, F_Inputs_BP!$B$7:$B$108, $B124)</f>
        <v>0</v>
      </c>
      <c r="S124" s="187">
        <f xml:space="preserve"> SUMIFS(F_Inputs_BP!I$7:I$108, F_Inputs_BP!$A$7:$A$108, $A124, F_Inputs_BP!$B$7:$B$108, $B124)</f>
        <v>0</v>
      </c>
      <c r="T124" s="187">
        <f xml:space="preserve"> SUMIFS(F_Inputs_BP!J$7:J$108, F_Inputs_BP!$A$7:$A$108, $A124, F_Inputs_BP!$B$7:$B$108, $B124)</f>
        <v>0</v>
      </c>
      <c r="U124" s="187">
        <f xml:space="preserve"> SUMIFS(F_Inputs_BP!K$7:K$108, F_Inputs_BP!$A$7:$A$108, $A124, F_Inputs_BP!$B$7:$B$108, $B124)</f>
        <v>0</v>
      </c>
      <c r="V124" s="187">
        <f xml:space="preserve"> SUMIFS(F_Inputs_BP!L$7:L$108, F_Inputs_BP!$A$7:$A$108, $A124, F_Inputs_BP!$B$7:$B$108, $B124)</f>
        <v>0</v>
      </c>
      <c r="W124" s="187">
        <f xml:space="preserve"> SUMIFS(F_Inputs_BP!M$7:M$108, F_Inputs_BP!$A$7:$A$108, $A124, F_Inputs_BP!$B$7:$B$108, $B124)</f>
        <v>0</v>
      </c>
      <c r="X124" s="187">
        <f xml:space="preserve"> SUMIFS(F_Inputs_BP!N$7:N$108, F_Inputs_BP!$A$7:$A$108, $A124, F_Inputs_BP!$B$7:$B$108, $B124)</f>
        <v>0</v>
      </c>
      <c r="Y124" s="187">
        <f xml:space="preserve"> SUMIFS(F_Inputs_BP!O$7:O$108, F_Inputs_BP!$A$7:$A$108, $A124, F_Inputs_BP!$B$7:$B$108, $B124)</f>
        <v>0</v>
      </c>
    </row>
    <row r="125" spans="1:25" x14ac:dyDescent="0.35">
      <c r="A125" s="142" t="s">
        <v>44</v>
      </c>
      <c r="B125" s="142" t="s">
        <v>42</v>
      </c>
      <c r="C125" s="142" t="s">
        <v>38</v>
      </c>
      <c r="D125" s="142" t="s">
        <v>39</v>
      </c>
      <c r="E125" s="142" t="s">
        <v>17</v>
      </c>
      <c r="F125" s="145" t="s">
        <v>18</v>
      </c>
      <c r="G125" s="145" t="s">
        <v>18</v>
      </c>
      <c r="H125" s="145" t="s">
        <v>18</v>
      </c>
      <c r="I125" s="145" t="s">
        <v>18</v>
      </c>
      <c r="J125" s="145" t="s">
        <v>18</v>
      </c>
      <c r="K125" s="145" t="s">
        <v>18</v>
      </c>
      <c r="L125" s="145" t="s">
        <v>18</v>
      </c>
      <c r="M125" s="145" t="s">
        <v>18</v>
      </c>
      <c r="N125" s="145" t="s">
        <v>18</v>
      </c>
      <c r="O125" s="145" t="s">
        <v>18</v>
      </c>
      <c r="P125" s="145" t="s">
        <v>18</v>
      </c>
      <c r="Q125" s="145" t="s">
        <v>18</v>
      </c>
      <c r="R125" s="188">
        <f xml:space="preserve"> SUMIFS(F_Inputs_BP!H$7:H$108, F_Inputs_BP!$A$7:$A$108, $A125, F_Inputs_BP!$B$7:$B$108, $B125)</f>
        <v>0</v>
      </c>
      <c r="S125" s="188">
        <f xml:space="preserve"> SUMIFS(F_Inputs_BP!I$7:I$108, F_Inputs_BP!$A$7:$A$108, $A125, F_Inputs_BP!$B$7:$B$108, $B125)</f>
        <v>0</v>
      </c>
      <c r="T125" s="188">
        <f xml:space="preserve"> SUMIFS(F_Inputs_BP!J$7:J$108, F_Inputs_BP!$A$7:$A$108, $A125, F_Inputs_BP!$B$7:$B$108, $B125)</f>
        <v>0</v>
      </c>
      <c r="U125" s="188">
        <f xml:space="preserve"> SUMIFS(F_Inputs_BP!K$7:K$108, F_Inputs_BP!$A$7:$A$108, $A125, F_Inputs_BP!$B$7:$B$108, $B125)</f>
        <v>0</v>
      </c>
      <c r="V125" s="188">
        <f xml:space="preserve"> SUMIFS(F_Inputs_BP!L$7:L$108, F_Inputs_BP!$A$7:$A$108, $A125, F_Inputs_BP!$B$7:$B$108, $B125)</f>
        <v>0</v>
      </c>
      <c r="W125" s="188">
        <f xml:space="preserve"> SUMIFS(F_Inputs_BP!M$7:M$108, F_Inputs_BP!$A$7:$A$108, $A125, F_Inputs_BP!$B$7:$B$108, $B125)</f>
        <v>0</v>
      </c>
      <c r="X125" s="188">
        <f xml:space="preserve"> SUMIFS(F_Inputs_BP!N$7:N$108, F_Inputs_BP!$A$7:$A$108, $A125, F_Inputs_BP!$B$7:$B$108, $B125)</f>
        <v>0</v>
      </c>
      <c r="Y125" s="188">
        <f xml:space="preserve"> SUMIFS(F_Inputs_BP!O$7:O$108, F_Inputs_BP!$A$7:$A$108, $A125, F_Inputs_BP!$B$7:$B$108, $B125)</f>
        <v>0</v>
      </c>
    </row>
    <row r="126" spans="1:25" x14ac:dyDescent="0.35">
      <c r="A126" s="142" t="s">
        <v>45</v>
      </c>
      <c r="B126" s="142" t="s">
        <v>32</v>
      </c>
      <c r="C126" s="142" t="s">
        <v>33</v>
      </c>
      <c r="D126" s="142" t="s">
        <v>34</v>
      </c>
      <c r="E126" s="142" t="s">
        <v>17</v>
      </c>
      <c r="F126" s="145" t="s">
        <v>18</v>
      </c>
      <c r="G126" s="145" t="s">
        <v>18</v>
      </c>
      <c r="H126" s="145" t="s">
        <v>18</v>
      </c>
      <c r="I126" s="145" t="s">
        <v>18</v>
      </c>
      <c r="J126" s="145" t="s">
        <v>18</v>
      </c>
      <c r="K126" s="145" t="s">
        <v>18</v>
      </c>
      <c r="L126" s="145" t="s">
        <v>18</v>
      </c>
      <c r="M126" s="145" t="s">
        <v>18</v>
      </c>
      <c r="N126" s="145" t="s">
        <v>18</v>
      </c>
      <c r="O126" s="145" t="s">
        <v>18</v>
      </c>
      <c r="P126" s="145" t="s">
        <v>18</v>
      </c>
      <c r="Q126" s="145" t="s">
        <v>18</v>
      </c>
      <c r="R126" s="187">
        <f xml:space="preserve"> SUMIFS(F_Inputs_BP!H$7:H$108, F_Inputs_BP!$A$7:$A$108, $A126, F_Inputs_BP!$B$7:$B$108, $B126)</f>
        <v>0.40799999999999997</v>
      </c>
      <c r="S126" s="187">
        <f xml:space="preserve"> SUMIFS(F_Inputs_BP!I$7:I$108, F_Inputs_BP!$A$7:$A$108, $A126, F_Inputs_BP!$B$7:$B$108, $B126)</f>
        <v>0.43298287301664001</v>
      </c>
      <c r="T126" s="187">
        <f xml:space="preserve"> SUMIFS(F_Inputs_BP!J$7:J$108, F_Inputs_BP!$A$7:$A$108, $A126, F_Inputs_BP!$B$7:$B$108, $B126)</f>
        <v>0.44600000000000001</v>
      </c>
      <c r="U126" s="187">
        <f xml:space="preserve"> SUMIFS(F_Inputs_BP!K$7:K$108, F_Inputs_BP!$A$7:$A$108, $A126, F_Inputs_BP!$B$7:$B$108, $B126)</f>
        <v>0.46899999999999997</v>
      </c>
      <c r="V126" s="187">
        <f xml:space="preserve"> SUMIFS(F_Inputs_BP!L$7:L$108, F_Inputs_BP!$A$7:$A$108, $A126, F_Inputs_BP!$B$7:$B$108, $B126)</f>
        <v>0.49299999999999999</v>
      </c>
      <c r="W126" s="187">
        <f xml:space="preserve"> SUMIFS(F_Inputs_BP!M$7:M$108, F_Inputs_BP!$A$7:$A$108, $A126, F_Inputs_BP!$B$7:$B$108, $B126)</f>
        <v>0.51700000000000002</v>
      </c>
      <c r="X126" s="187">
        <f xml:space="preserve"> SUMIFS(F_Inputs_BP!N$7:N$108, F_Inputs_BP!$A$7:$A$108, $A126, F_Inputs_BP!$B$7:$B$108, $B126)</f>
        <v>0.54</v>
      </c>
      <c r="Y126" s="187">
        <f xml:space="preserve"> SUMIFS(F_Inputs_BP!O$7:O$108, F_Inputs_BP!$A$7:$A$108, $A126, F_Inputs_BP!$B$7:$B$108, $B126)</f>
        <v>0.56399999999999995</v>
      </c>
    </row>
    <row r="127" spans="1:25" x14ac:dyDescent="0.35">
      <c r="A127" s="142" t="s">
        <v>45</v>
      </c>
      <c r="B127" s="142" t="s">
        <v>35</v>
      </c>
      <c r="C127" s="142" t="s">
        <v>36</v>
      </c>
      <c r="D127" s="142" t="s">
        <v>34</v>
      </c>
      <c r="E127" s="142" t="s">
        <v>17</v>
      </c>
      <c r="F127" s="145" t="s">
        <v>18</v>
      </c>
      <c r="G127" s="145" t="s">
        <v>18</v>
      </c>
      <c r="H127" s="145" t="s">
        <v>18</v>
      </c>
      <c r="I127" s="145" t="s">
        <v>18</v>
      </c>
      <c r="J127" s="145" t="s">
        <v>18</v>
      </c>
      <c r="K127" s="145" t="s">
        <v>18</v>
      </c>
      <c r="L127" s="145" t="s">
        <v>18</v>
      </c>
      <c r="M127" s="145" t="s">
        <v>18</v>
      </c>
      <c r="N127" s="145" t="s">
        <v>18</v>
      </c>
      <c r="O127" s="145" t="s">
        <v>18</v>
      </c>
      <c r="P127" s="145" t="s">
        <v>18</v>
      </c>
      <c r="Q127" s="145" t="s">
        <v>18</v>
      </c>
      <c r="R127" s="187">
        <f xml:space="preserve"> SUMIFS(F_Inputs_BP!H$7:H$108, F_Inputs_BP!$A$7:$A$108, $A127, F_Inputs_BP!$B$7:$B$108, $B127)</f>
        <v>0</v>
      </c>
      <c r="S127" s="187">
        <f xml:space="preserve"> SUMIFS(F_Inputs_BP!I$7:I$108, F_Inputs_BP!$A$7:$A$108, $A127, F_Inputs_BP!$B$7:$B$108, $B127)</f>
        <v>0</v>
      </c>
      <c r="T127" s="187">
        <f xml:space="preserve"> SUMIFS(F_Inputs_BP!J$7:J$108, F_Inputs_BP!$A$7:$A$108, $A127, F_Inputs_BP!$B$7:$B$108, $B127)</f>
        <v>0</v>
      </c>
      <c r="U127" s="187">
        <f xml:space="preserve"> SUMIFS(F_Inputs_BP!K$7:K$108, F_Inputs_BP!$A$7:$A$108, $A127, F_Inputs_BP!$B$7:$B$108, $B127)</f>
        <v>0</v>
      </c>
      <c r="V127" s="187">
        <f xml:space="preserve"> SUMIFS(F_Inputs_BP!L$7:L$108, F_Inputs_BP!$A$7:$A$108, $A127, F_Inputs_BP!$B$7:$B$108, $B127)</f>
        <v>0</v>
      </c>
      <c r="W127" s="187">
        <f xml:space="preserve"> SUMIFS(F_Inputs_BP!M$7:M$108, F_Inputs_BP!$A$7:$A$108, $A127, F_Inputs_BP!$B$7:$B$108, $B127)</f>
        <v>0</v>
      </c>
      <c r="X127" s="187">
        <f xml:space="preserve"> SUMIFS(F_Inputs_BP!N$7:N$108, F_Inputs_BP!$A$7:$A$108, $A127, F_Inputs_BP!$B$7:$B$108, $B127)</f>
        <v>0</v>
      </c>
      <c r="Y127" s="187">
        <f xml:space="preserve"> SUMIFS(F_Inputs_BP!O$7:O$108, F_Inputs_BP!$A$7:$A$108, $A127, F_Inputs_BP!$B$7:$B$108, $B127)</f>
        <v>0</v>
      </c>
    </row>
    <row r="128" spans="1:25" x14ac:dyDescent="0.35">
      <c r="A128" s="142" t="s">
        <v>45</v>
      </c>
      <c r="B128" s="142" t="s">
        <v>37</v>
      </c>
      <c r="C128" s="142" t="s">
        <v>38</v>
      </c>
      <c r="D128" s="142" t="s">
        <v>39</v>
      </c>
      <c r="E128" s="142" t="s">
        <v>17</v>
      </c>
      <c r="F128" s="145" t="s">
        <v>18</v>
      </c>
      <c r="G128" s="145" t="s">
        <v>18</v>
      </c>
      <c r="H128" s="145" t="s">
        <v>18</v>
      </c>
      <c r="I128" s="145" t="s">
        <v>18</v>
      </c>
      <c r="J128" s="145" t="s">
        <v>18</v>
      </c>
      <c r="K128" s="145" t="s">
        <v>18</v>
      </c>
      <c r="L128" s="145" t="s">
        <v>18</v>
      </c>
      <c r="M128" s="145" t="s">
        <v>18</v>
      </c>
      <c r="N128" s="145" t="s">
        <v>18</v>
      </c>
      <c r="O128" s="145" t="s">
        <v>18</v>
      </c>
      <c r="P128" s="145" t="s">
        <v>18</v>
      </c>
      <c r="Q128" s="145" t="s">
        <v>18</v>
      </c>
      <c r="R128" s="188">
        <f xml:space="preserve"> SUMIFS(F_Inputs_BP!H$7:H$108, F_Inputs_BP!$A$7:$A$108, $A128, F_Inputs_BP!$B$7:$B$108, $B128)</f>
        <v>9165</v>
      </c>
      <c r="S128" s="188">
        <f xml:space="preserve"> SUMIFS(F_Inputs_BP!I$7:I$108, F_Inputs_BP!$A$7:$A$108, $A128, F_Inputs_BP!$B$7:$B$108, $B128)</f>
        <v>8276</v>
      </c>
      <c r="T128" s="188">
        <f xml:space="preserve"> SUMIFS(F_Inputs_BP!J$7:J$108, F_Inputs_BP!$A$7:$A$108, $A128, F_Inputs_BP!$B$7:$B$108, $B128)</f>
        <v>10016</v>
      </c>
      <c r="U128" s="188">
        <f xml:space="preserve"> SUMIFS(F_Inputs_BP!K$7:K$108, F_Inputs_BP!$A$7:$A$108, $A128, F_Inputs_BP!$B$7:$B$108, $B128)</f>
        <v>10535</v>
      </c>
      <c r="V128" s="188">
        <f xml:space="preserve"> SUMIFS(F_Inputs_BP!L$7:L$108, F_Inputs_BP!$A$7:$A$108, $A128, F_Inputs_BP!$B$7:$B$108, $B128)</f>
        <v>11074</v>
      </c>
      <c r="W128" s="188">
        <f xml:space="preserve"> SUMIFS(F_Inputs_BP!M$7:M$108, F_Inputs_BP!$A$7:$A$108, $A128, F_Inputs_BP!$B$7:$B$108, $B128)</f>
        <v>11613</v>
      </c>
      <c r="X128" s="188">
        <f xml:space="preserve"> SUMIFS(F_Inputs_BP!N$7:N$108, F_Inputs_BP!$A$7:$A$108, $A128, F_Inputs_BP!$B$7:$B$108, $B128)</f>
        <v>12130</v>
      </c>
      <c r="Y128" s="188">
        <f xml:space="preserve"> SUMIFS(F_Inputs_BP!O$7:O$108, F_Inputs_BP!$A$7:$A$108, $A128, F_Inputs_BP!$B$7:$B$108, $B128)</f>
        <v>12669</v>
      </c>
    </row>
    <row r="129" spans="1:25" x14ac:dyDescent="0.35">
      <c r="A129" s="142" t="s">
        <v>45</v>
      </c>
      <c r="B129" s="142" t="s">
        <v>40</v>
      </c>
      <c r="C129" s="142" t="s">
        <v>33</v>
      </c>
      <c r="D129" s="142" t="s">
        <v>34</v>
      </c>
      <c r="E129" s="142" t="s">
        <v>17</v>
      </c>
      <c r="F129" s="145" t="s">
        <v>18</v>
      </c>
      <c r="G129" s="145" t="s">
        <v>18</v>
      </c>
      <c r="H129" s="145" t="s">
        <v>18</v>
      </c>
      <c r="I129" s="145" t="s">
        <v>18</v>
      </c>
      <c r="J129" s="145" t="s">
        <v>18</v>
      </c>
      <c r="K129" s="145" t="s">
        <v>18</v>
      </c>
      <c r="L129" s="145" t="s">
        <v>18</v>
      </c>
      <c r="M129" s="145" t="s">
        <v>18</v>
      </c>
      <c r="N129" s="145" t="s">
        <v>18</v>
      </c>
      <c r="O129" s="145" t="s">
        <v>18</v>
      </c>
      <c r="P129" s="145" t="s">
        <v>18</v>
      </c>
      <c r="Q129" s="145" t="s">
        <v>18</v>
      </c>
      <c r="R129" s="187">
        <f xml:space="preserve"> SUMIFS(F_Inputs_BP!H$7:H$108, F_Inputs_BP!$A$7:$A$108, $A129, F_Inputs_BP!$B$7:$B$108, $B129)</f>
        <v>2.1000000000000001E-2</v>
      </c>
      <c r="S129" s="187">
        <f xml:space="preserve"> SUMIFS(F_Inputs_BP!I$7:I$108, F_Inputs_BP!$A$7:$A$108, $A129, F_Inputs_BP!$B$7:$B$108, $B129)</f>
        <v>1.4211691674506781E-2</v>
      </c>
      <c r="T129" s="187">
        <f xml:space="preserve"> SUMIFS(F_Inputs_BP!J$7:J$108, F_Inputs_BP!$A$7:$A$108, $A129, F_Inputs_BP!$B$7:$B$108, $B129)</f>
        <v>2.1000000000000001E-2</v>
      </c>
      <c r="U129" s="187">
        <f xml:space="preserve"> SUMIFS(F_Inputs_BP!K$7:K$108, F_Inputs_BP!$A$7:$A$108, $A129, F_Inputs_BP!$B$7:$B$108, $B129)</f>
        <v>2.1000000000000001E-2</v>
      </c>
      <c r="V129" s="187">
        <f xml:space="preserve"> SUMIFS(F_Inputs_BP!L$7:L$108, F_Inputs_BP!$A$7:$A$108, $A129, F_Inputs_BP!$B$7:$B$108, $B129)</f>
        <v>2.1000000000000001E-2</v>
      </c>
      <c r="W129" s="187">
        <f xml:space="preserve"> SUMIFS(F_Inputs_BP!M$7:M$108, F_Inputs_BP!$A$7:$A$108, $A129, F_Inputs_BP!$B$7:$B$108, $B129)</f>
        <v>2.1000000000000001E-2</v>
      </c>
      <c r="X129" s="187">
        <f xml:space="preserve"> SUMIFS(F_Inputs_BP!N$7:N$108, F_Inputs_BP!$A$7:$A$108, $A129, F_Inputs_BP!$B$7:$B$108, $B129)</f>
        <v>2.1000000000000001E-2</v>
      </c>
      <c r="Y129" s="187">
        <f xml:space="preserve"> SUMIFS(F_Inputs_BP!O$7:O$108, F_Inputs_BP!$A$7:$A$108, $A129, F_Inputs_BP!$B$7:$B$108, $B129)</f>
        <v>2.1000000000000001E-2</v>
      </c>
    </row>
    <row r="130" spans="1:25" x14ac:dyDescent="0.35">
      <c r="A130" s="142" t="s">
        <v>45</v>
      </c>
      <c r="B130" s="142" t="s">
        <v>41</v>
      </c>
      <c r="C130" s="142" t="s">
        <v>36</v>
      </c>
      <c r="D130" s="142" t="s">
        <v>34</v>
      </c>
      <c r="E130" s="142" t="s">
        <v>17</v>
      </c>
      <c r="F130" s="145" t="s">
        <v>18</v>
      </c>
      <c r="G130" s="145" t="s">
        <v>18</v>
      </c>
      <c r="H130" s="145" t="s">
        <v>18</v>
      </c>
      <c r="I130" s="145" t="s">
        <v>18</v>
      </c>
      <c r="J130" s="145" t="s">
        <v>18</v>
      </c>
      <c r="K130" s="145" t="s">
        <v>18</v>
      </c>
      <c r="L130" s="145" t="s">
        <v>18</v>
      </c>
      <c r="M130" s="145" t="s">
        <v>18</v>
      </c>
      <c r="N130" s="145" t="s">
        <v>18</v>
      </c>
      <c r="O130" s="145" t="s">
        <v>18</v>
      </c>
      <c r="P130" s="145" t="s">
        <v>18</v>
      </c>
      <c r="Q130" s="145" t="s">
        <v>18</v>
      </c>
      <c r="R130" s="187">
        <f xml:space="preserve"> SUMIFS(F_Inputs_BP!H$7:H$108, F_Inputs_BP!$A$7:$A$108, $A130, F_Inputs_BP!$B$7:$B$108, $B130)</f>
        <v>0</v>
      </c>
      <c r="S130" s="187">
        <f xml:space="preserve"> SUMIFS(F_Inputs_BP!I$7:I$108, F_Inputs_BP!$A$7:$A$108, $A130, F_Inputs_BP!$B$7:$B$108, $B130)</f>
        <v>0</v>
      </c>
      <c r="T130" s="187">
        <f xml:space="preserve"> SUMIFS(F_Inputs_BP!J$7:J$108, F_Inputs_BP!$A$7:$A$108, $A130, F_Inputs_BP!$B$7:$B$108, $B130)</f>
        <v>0</v>
      </c>
      <c r="U130" s="187">
        <f xml:space="preserve"> SUMIFS(F_Inputs_BP!K$7:K$108, F_Inputs_BP!$A$7:$A$108, $A130, F_Inputs_BP!$B$7:$B$108, $B130)</f>
        <v>0</v>
      </c>
      <c r="V130" s="187">
        <f xml:space="preserve"> SUMIFS(F_Inputs_BP!L$7:L$108, F_Inputs_BP!$A$7:$A$108, $A130, F_Inputs_BP!$B$7:$B$108, $B130)</f>
        <v>0</v>
      </c>
      <c r="W130" s="187">
        <f xml:space="preserve"> SUMIFS(F_Inputs_BP!M$7:M$108, F_Inputs_BP!$A$7:$A$108, $A130, F_Inputs_BP!$B$7:$B$108, $B130)</f>
        <v>0</v>
      </c>
      <c r="X130" s="187">
        <f xml:space="preserve"> SUMIFS(F_Inputs_BP!N$7:N$108, F_Inputs_BP!$A$7:$A$108, $A130, F_Inputs_BP!$B$7:$B$108, $B130)</f>
        <v>0</v>
      </c>
      <c r="Y130" s="187">
        <f xml:space="preserve"> SUMIFS(F_Inputs_BP!O$7:O$108, F_Inputs_BP!$A$7:$A$108, $A130, F_Inputs_BP!$B$7:$B$108, $B130)</f>
        <v>0</v>
      </c>
    </row>
    <row r="131" spans="1:25" x14ac:dyDescent="0.35">
      <c r="A131" s="142" t="s">
        <v>45</v>
      </c>
      <c r="B131" s="142" t="s">
        <v>42</v>
      </c>
      <c r="C131" s="142" t="s">
        <v>38</v>
      </c>
      <c r="D131" s="142" t="s">
        <v>39</v>
      </c>
      <c r="E131" s="142" t="s">
        <v>17</v>
      </c>
      <c r="F131" s="145" t="s">
        <v>18</v>
      </c>
      <c r="G131" s="145" t="s">
        <v>18</v>
      </c>
      <c r="H131" s="145" t="s">
        <v>18</v>
      </c>
      <c r="I131" s="145" t="s">
        <v>18</v>
      </c>
      <c r="J131" s="145" t="s">
        <v>18</v>
      </c>
      <c r="K131" s="145" t="s">
        <v>18</v>
      </c>
      <c r="L131" s="145" t="s">
        <v>18</v>
      </c>
      <c r="M131" s="145" t="s">
        <v>18</v>
      </c>
      <c r="N131" s="145" t="s">
        <v>18</v>
      </c>
      <c r="O131" s="145" t="s">
        <v>18</v>
      </c>
      <c r="P131" s="145" t="s">
        <v>18</v>
      </c>
      <c r="Q131" s="145" t="s">
        <v>18</v>
      </c>
      <c r="R131" s="188">
        <f xml:space="preserve"> SUMIFS(F_Inputs_BP!H$7:H$108, F_Inputs_BP!$A$7:$A$108, $A131, F_Inputs_BP!$B$7:$B$108, $B131)</f>
        <v>402</v>
      </c>
      <c r="S131" s="188">
        <f xml:space="preserve"> SUMIFS(F_Inputs_BP!I$7:I$108, F_Inputs_BP!$A$7:$A$108, $A131, F_Inputs_BP!$B$7:$B$108, $B131)</f>
        <v>209</v>
      </c>
      <c r="T131" s="188">
        <f xml:space="preserve"> SUMIFS(F_Inputs_BP!J$7:J$108, F_Inputs_BP!$A$7:$A$108, $A131, F_Inputs_BP!$B$7:$B$108, $B131)</f>
        <v>402</v>
      </c>
      <c r="U131" s="188">
        <f xml:space="preserve"> SUMIFS(F_Inputs_BP!K$7:K$108, F_Inputs_BP!$A$7:$A$108, $A131, F_Inputs_BP!$B$7:$B$108, $B131)</f>
        <v>402</v>
      </c>
      <c r="V131" s="188">
        <f xml:space="preserve"> SUMIFS(F_Inputs_BP!L$7:L$108, F_Inputs_BP!$A$7:$A$108, $A131, F_Inputs_BP!$B$7:$B$108, $B131)</f>
        <v>402</v>
      </c>
      <c r="W131" s="188">
        <f xml:space="preserve"> SUMIFS(F_Inputs_BP!M$7:M$108, F_Inputs_BP!$A$7:$A$108, $A131, F_Inputs_BP!$B$7:$B$108, $B131)</f>
        <v>402</v>
      </c>
      <c r="X131" s="188">
        <f xml:space="preserve"> SUMIFS(F_Inputs_BP!N$7:N$108, F_Inputs_BP!$A$7:$A$108, $A131, F_Inputs_BP!$B$7:$B$108, $B131)</f>
        <v>402</v>
      </c>
      <c r="Y131" s="188">
        <f xml:space="preserve"> SUMIFS(F_Inputs_BP!O$7:O$108, F_Inputs_BP!$A$7:$A$108, $A131, F_Inputs_BP!$B$7:$B$108, $B131)</f>
        <v>402</v>
      </c>
    </row>
    <row r="132" spans="1:25" x14ac:dyDescent="0.35">
      <c r="A132" s="142" t="s">
        <v>46</v>
      </c>
      <c r="B132" s="142" t="s">
        <v>32</v>
      </c>
      <c r="C132" s="142" t="s">
        <v>33</v>
      </c>
      <c r="D132" s="142" t="s">
        <v>34</v>
      </c>
      <c r="E132" s="142" t="s">
        <v>17</v>
      </c>
      <c r="F132" s="145" t="s">
        <v>18</v>
      </c>
      <c r="G132" s="145" t="s">
        <v>18</v>
      </c>
      <c r="H132" s="145" t="s">
        <v>18</v>
      </c>
      <c r="I132" s="145" t="s">
        <v>18</v>
      </c>
      <c r="J132" s="145" t="s">
        <v>18</v>
      </c>
      <c r="K132" s="145" t="s">
        <v>18</v>
      </c>
      <c r="L132" s="145" t="s">
        <v>18</v>
      </c>
      <c r="M132" s="145" t="s">
        <v>18</v>
      </c>
      <c r="N132" s="145" t="s">
        <v>18</v>
      </c>
      <c r="O132" s="145" t="s">
        <v>18</v>
      </c>
      <c r="P132" s="145" t="s">
        <v>18</v>
      </c>
      <c r="Q132" s="145" t="s">
        <v>18</v>
      </c>
      <c r="R132" s="187">
        <f xml:space="preserve"> SUMIFS(F_Inputs_BP!H$7:H$108, F_Inputs_BP!$A$7:$A$108, $A132, F_Inputs_BP!$B$7:$B$108, $B132)</f>
        <v>2.6629999999999998</v>
      </c>
      <c r="S132" s="187">
        <f xml:space="preserve"> SUMIFS(F_Inputs_BP!I$7:I$108, F_Inputs_BP!$A$7:$A$108, $A132, F_Inputs_BP!$B$7:$B$108, $B132)</f>
        <v>1.744</v>
      </c>
      <c r="T132" s="187">
        <f xml:space="preserve"> SUMIFS(F_Inputs_BP!J$7:J$108, F_Inputs_BP!$A$7:$A$108, $A132, F_Inputs_BP!$B$7:$B$108, $B132)</f>
        <v>1.714</v>
      </c>
      <c r="U132" s="187">
        <f xml:space="preserve"> SUMIFS(F_Inputs_BP!K$7:K$108, F_Inputs_BP!$A$7:$A$108, $A132, F_Inputs_BP!$B$7:$B$108, $B132)</f>
        <v>2.843</v>
      </c>
      <c r="V132" s="187">
        <f xml:space="preserve"> SUMIFS(F_Inputs_BP!L$7:L$108, F_Inputs_BP!$A$7:$A$108, $A132, F_Inputs_BP!$B$7:$B$108, $B132)</f>
        <v>2.867</v>
      </c>
      <c r="W132" s="187">
        <f xml:space="preserve"> SUMIFS(F_Inputs_BP!M$7:M$108, F_Inputs_BP!$A$7:$A$108, $A132, F_Inputs_BP!$B$7:$B$108, $B132)</f>
        <v>2.891</v>
      </c>
      <c r="X132" s="187">
        <f xml:space="preserve"> SUMIFS(F_Inputs_BP!N$7:N$108, F_Inputs_BP!$A$7:$A$108, $A132, F_Inputs_BP!$B$7:$B$108, $B132)</f>
        <v>2.9159999999999999</v>
      </c>
      <c r="Y132" s="187">
        <f xml:space="preserve"> SUMIFS(F_Inputs_BP!O$7:O$108, F_Inputs_BP!$A$7:$A$108, $A132, F_Inputs_BP!$B$7:$B$108, $B132)</f>
        <v>2.94</v>
      </c>
    </row>
    <row r="133" spans="1:25" x14ac:dyDescent="0.35">
      <c r="A133" s="142" t="s">
        <v>46</v>
      </c>
      <c r="B133" s="142" t="s">
        <v>35</v>
      </c>
      <c r="C133" s="142" t="s">
        <v>36</v>
      </c>
      <c r="D133" s="142" t="s">
        <v>34</v>
      </c>
      <c r="E133" s="142" t="s">
        <v>17</v>
      </c>
      <c r="F133" s="145" t="s">
        <v>18</v>
      </c>
      <c r="G133" s="145" t="s">
        <v>18</v>
      </c>
      <c r="H133" s="145" t="s">
        <v>18</v>
      </c>
      <c r="I133" s="145" t="s">
        <v>18</v>
      </c>
      <c r="J133" s="145" t="s">
        <v>18</v>
      </c>
      <c r="K133" s="145" t="s">
        <v>18</v>
      </c>
      <c r="L133" s="145" t="s">
        <v>18</v>
      </c>
      <c r="M133" s="145" t="s">
        <v>18</v>
      </c>
      <c r="N133" s="145" t="s">
        <v>18</v>
      </c>
      <c r="O133" s="145" t="s">
        <v>18</v>
      </c>
      <c r="P133" s="145" t="s">
        <v>18</v>
      </c>
      <c r="Q133" s="145" t="s">
        <v>18</v>
      </c>
      <c r="R133" s="187">
        <f xml:space="preserve"> SUMIFS(F_Inputs_BP!H$7:H$108, F_Inputs_BP!$A$7:$A$108, $A133, F_Inputs_BP!$B$7:$B$108, $B133)</f>
        <v>0</v>
      </c>
      <c r="S133" s="187">
        <f xml:space="preserve"> SUMIFS(F_Inputs_BP!I$7:I$108, F_Inputs_BP!$A$7:$A$108, $A133, F_Inputs_BP!$B$7:$B$108, $B133)</f>
        <v>0</v>
      </c>
      <c r="T133" s="187">
        <f xml:space="preserve"> SUMIFS(F_Inputs_BP!J$7:J$108, F_Inputs_BP!$A$7:$A$108, $A133, F_Inputs_BP!$B$7:$B$108, $B133)</f>
        <v>0</v>
      </c>
      <c r="U133" s="187">
        <f xml:space="preserve"> SUMIFS(F_Inputs_BP!K$7:K$108, F_Inputs_BP!$A$7:$A$108, $A133, F_Inputs_BP!$B$7:$B$108, $B133)</f>
        <v>0</v>
      </c>
      <c r="V133" s="187">
        <f xml:space="preserve"> SUMIFS(F_Inputs_BP!L$7:L$108, F_Inputs_BP!$A$7:$A$108, $A133, F_Inputs_BP!$B$7:$B$108, $B133)</f>
        <v>0</v>
      </c>
      <c r="W133" s="187">
        <f xml:space="preserve"> SUMIFS(F_Inputs_BP!M$7:M$108, F_Inputs_BP!$A$7:$A$108, $A133, F_Inputs_BP!$B$7:$B$108, $B133)</f>
        <v>0</v>
      </c>
      <c r="X133" s="187">
        <f xml:space="preserve"> SUMIFS(F_Inputs_BP!N$7:N$108, F_Inputs_BP!$A$7:$A$108, $A133, F_Inputs_BP!$B$7:$B$108, $B133)</f>
        <v>0</v>
      </c>
      <c r="Y133" s="187">
        <f xml:space="preserve"> SUMIFS(F_Inputs_BP!O$7:O$108, F_Inputs_BP!$A$7:$A$108, $A133, F_Inputs_BP!$B$7:$B$108, $B133)</f>
        <v>0</v>
      </c>
    </row>
    <row r="134" spans="1:25" x14ac:dyDescent="0.35">
      <c r="A134" s="142" t="s">
        <v>46</v>
      </c>
      <c r="B134" s="142" t="s">
        <v>37</v>
      </c>
      <c r="C134" s="142" t="s">
        <v>38</v>
      </c>
      <c r="D134" s="142" t="s">
        <v>39</v>
      </c>
      <c r="E134" s="142" t="s">
        <v>17</v>
      </c>
      <c r="F134" s="145" t="s">
        <v>18</v>
      </c>
      <c r="G134" s="145" t="s">
        <v>18</v>
      </c>
      <c r="H134" s="145" t="s">
        <v>18</v>
      </c>
      <c r="I134" s="145" t="s">
        <v>18</v>
      </c>
      <c r="J134" s="145" t="s">
        <v>18</v>
      </c>
      <c r="K134" s="145" t="s">
        <v>18</v>
      </c>
      <c r="L134" s="145" t="s">
        <v>18</v>
      </c>
      <c r="M134" s="145" t="s">
        <v>18</v>
      </c>
      <c r="N134" s="145" t="s">
        <v>18</v>
      </c>
      <c r="O134" s="145" t="s">
        <v>18</v>
      </c>
      <c r="P134" s="145" t="s">
        <v>18</v>
      </c>
      <c r="Q134" s="145" t="s">
        <v>18</v>
      </c>
      <c r="R134" s="188">
        <f xml:space="preserve"> SUMIFS(F_Inputs_BP!H$7:H$108, F_Inputs_BP!$A$7:$A$108, $A134, F_Inputs_BP!$B$7:$B$108, $B134)</f>
        <v>58066</v>
      </c>
      <c r="S134" s="188">
        <f xml:space="preserve"> SUMIFS(F_Inputs_BP!I$7:I$108, F_Inputs_BP!$A$7:$A$108, $A134, F_Inputs_BP!$B$7:$B$108, $B134)</f>
        <v>38039.19</v>
      </c>
      <c r="T134" s="188">
        <f xml:space="preserve"> SUMIFS(F_Inputs_BP!J$7:J$108, F_Inputs_BP!$A$7:$A$108, $A134, F_Inputs_BP!$B$7:$B$108, $B134)</f>
        <v>31956.05620140845</v>
      </c>
      <c r="U134" s="188">
        <f xml:space="preserve"> SUMIFS(F_Inputs_BP!K$7:K$108, F_Inputs_BP!$A$7:$A$108, $A134, F_Inputs_BP!$B$7:$B$108, $B134)</f>
        <v>53005.290420422542</v>
      </c>
      <c r="V134" s="188">
        <f xml:space="preserve"> SUMIFS(F_Inputs_BP!L$7:L$108, F_Inputs_BP!$A$7:$A$108, $A134, F_Inputs_BP!$B$7:$B$108, $B134)</f>
        <v>53452.749783802821</v>
      </c>
      <c r="W134" s="188">
        <f xml:space="preserve"> SUMIFS(F_Inputs_BP!M$7:M$108, F_Inputs_BP!$A$7:$A$108, $A134, F_Inputs_BP!$B$7:$B$108, $B134)</f>
        <v>53900.209147183108</v>
      </c>
      <c r="X134" s="188">
        <f xml:space="preserve"> SUMIFS(F_Inputs_BP!N$7:N$108, F_Inputs_BP!$A$7:$A$108, $A134, F_Inputs_BP!$B$7:$B$108, $B134)</f>
        <v>54366.312650704233</v>
      </c>
      <c r="Y134" s="188">
        <f xml:space="preserve"> SUMIFS(F_Inputs_BP!O$7:O$108, F_Inputs_BP!$A$7:$A$108, $A134, F_Inputs_BP!$B$7:$B$108, $B134)</f>
        <v>54813.772014084512</v>
      </c>
    </row>
    <row r="135" spans="1:25" x14ac:dyDescent="0.35">
      <c r="A135" s="142" t="s">
        <v>46</v>
      </c>
      <c r="B135" s="142" t="s">
        <v>40</v>
      </c>
      <c r="C135" s="142" t="s">
        <v>33</v>
      </c>
      <c r="D135" s="142" t="s">
        <v>34</v>
      </c>
      <c r="E135" s="142" t="s">
        <v>17</v>
      </c>
      <c r="F135" s="145" t="s">
        <v>18</v>
      </c>
      <c r="G135" s="145" t="s">
        <v>18</v>
      </c>
      <c r="H135" s="145" t="s">
        <v>18</v>
      </c>
      <c r="I135" s="145" t="s">
        <v>18</v>
      </c>
      <c r="J135" s="145" t="s">
        <v>18</v>
      </c>
      <c r="K135" s="145" t="s">
        <v>18</v>
      </c>
      <c r="L135" s="145" t="s">
        <v>18</v>
      </c>
      <c r="M135" s="145" t="s">
        <v>18</v>
      </c>
      <c r="N135" s="145" t="s">
        <v>18</v>
      </c>
      <c r="O135" s="145" t="s">
        <v>18</v>
      </c>
      <c r="P135" s="145" t="s">
        <v>18</v>
      </c>
      <c r="Q135" s="145" t="s">
        <v>18</v>
      </c>
      <c r="R135" s="187">
        <f xml:space="preserve"> SUMIFS(F_Inputs_BP!H$7:H$108, F_Inputs_BP!$A$7:$A$108, $A135, F_Inputs_BP!$B$7:$B$108, $B135)</f>
        <v>5.1999999999999998E-2</v>
      </c>
      <c r="S135" s="187">
        <f xml:space="preserve"> SUMIFS(F_Inputs_BP!I$7:I$108, F_Inputs_BP!$A$7:$A$108, $A135, F_Inputs_BP!$B$7:$B$108, $B135)</f>
        <v>0.21911625300000001</v>
      </c>
      <c r="T135" s="187">
        <f xml:space="preserve"> SUMIFS(F_Inputs_BP!J$7:J$108, F_Inputs_BP!$A$7:$A$108, $A135, F_Inputs_BP!$B$7:$B$108, $B135)</f>
        <v>0.22045041800000001</v>
      </c>
      <c r="U135" s="187">
        <f xml:space="preserve"> SUMIFS(F_Inputs_BP!K$7:K$108, F_Inputs_BP!$A$7:$A$108, $A135, F_Inputs_BP!$B$7:$B$108, $B135)</f>
        <v>0.22179270800000001</v>
      </c>
      <c r="V135" s="187">
        <f xml:space="preserve"> SUMIFS(F_Inputs_BP!L$7:L$108, F_Inputs_BP!$A$7:$A$108, $A135, F_Inputs_BP!$B$7:$B$108, $B135)</f>
        <v>0.223143169</v>
      </c>
      <c r="W135" s="187">
        <f xml:space="preserve"> SUMIFS(F_Inputs_BP!M$7:M$108, F_Inputs_BP!$A$7:$A$108, $A135, F_Inputs_BP!$B$7:$B$108, $B135)</f>
        <v>0.224501856</v>
      </c>
      <c r="X135" s="187">
        <f xml:space="preserve"> SUMIFS(F_Inputs_BP!N$7:N$108, F_Inputs_BP!$A$7:$A$108, $A135, F_Inputs_BP!$B$7:$B$108, $B135)</f>
        <v>0.225868813</v>
      </c>
      <c r="Y135" s="187">
        <f xml:space="preserve"> SUMIFS(F_Inputs_BP!O$7:O$108, F_Inputs_BP!$A$7:$A$108, $A135, F_Inputs_BP!$B$7:$B$108, $B135)</f>
        <v>0.22724409600000001</v>
      </c>
    </row>
    <row r="136" spans="1:25" x14ac:dyDescent="0.35">
      <c r="A136" s="142" t="s">
        <v>46</v>
      </c>
      <c r="B136" s="142" t="s">
        <v>41</v>
      </c>
      <c r="C136" s="142" t="s">
        <v>36</v>
      </c>
      <c r="D136" s="142" t="s">
        <v>34</v>
      </c>
      <c r="E136" s="142" t="s">
        <v>17</v>
      </c>
      <c r="F136" s="145" t="s">
        <v>18</v>
      </c>
      <c r="G136" s="145" t="s">
        <v>18</v>
      </c>
      <c r="H136" s="145" t="s">
        <v>18</v>
      </c>
      <c r="I136" s="145" t="s">
        <v>18</v>
      </c>
      <c r="J136" s="145" t="s">
        <v>18</v>
      </c>
      <c r="K136" s="145" t="s">
        <v>18</v>
      </c>
      <c r="L136" s="145" t="s">
        <v>18</v>
      </c>
      <c r="M136" s="145" t="s">
        <v>18</v>
      </c>
      <c r="N136" s="145" t="s">
        <v>18</v>
      </c>
      <c r="O136" s="145" t="s">
        <v>18</v>
      </c>
      <c r="P136" s="145" t="s">
        <v>18</v>
      </c>
      <c r="Q136" s="145" t="s">
        <v>18</v>
      </c>
      <c r="R136" s="187">
        <f xml:space="preserve"> SUMIFS(F_Inputs_BP!H$7:H$108, F_Inputs_BP!$A$7:$A$108, $A136, F_Inputs_BP!$B$7:$B$108, $B136)</f>
        <v>0</v>
      </c>
      <c r="S136" s="187">
        <f xml:space="preserve"> SUMIFS(F_Inputs_BP!I$7:I$108, F_Inputs_BP!$A$7:$A$108, $A136, F_Inputs_BP!$B$7:$B$108, $B136)</f>
        <v>0</v>
      </c>
      <c r="T136" s="187">
        <f xml:space="preserve"> SUMIFS(F_Inputs_BP!J$7:J$108, F_Inputs_BP!$A$7:$A$108, $A136, F_Inputs_BP!$B$7:$B$108, $B136)</f>
        <v>0</v>
      </c>
      <c r="U136" s="187">
        <f xml:space="preserve"> SUMIFS(F_Inputs_BP!K$7:K$108, F_Inputs_BP!$A$7:$A$108, $A136, F_Inputs_BP!$B$7:$B$108, $B136)</f>
        <v>0</v>
      </c>
      <c r="V136" s="187">
        <f xml:space="preserve"> SUMIFS(F_Inputs_BP!L$7:L$108, F_Inputs_BP!$A$7:$A$108, $A136, F_Inputs_BP!$B$7:$B$108, $B136)</f>
        <v>0</v>
      </c>
      <c r="W136" s="187">
        <f xml:space="preserve"> SUMIFS(F_Inputs_BP!M$7:M$108, F_Inputs_BP!$A$7:$A$108, $A136, F_Inputs_BP!$B$7:$B$108, $B136)</f>
        <v>0</v>
      </c>
      <c r="X136" s="187">
        <f xml:space="preserve"> SUMIFS(F_Inputs_BP!N$7:N$108, F_Inputs_BP!$A$7:$A$108, $A136, F_Inputs_BP!$B$7:$B$108, $B136)</f>
        <v>0</v>
      </c>
      <c r="Y136" s="187">
        <f xml:space="preserve"> SUMIFS(F_Inputs_BP!O$7:O$108, F_Inputs_BP!$A$7:$A$108, $A136, F_Inputs_BP!$B$7:$B$108, $B136)</f>
        <v>0</v>
      </c>
    </row>
    <row r="137" spans="1:25" x14ac:dyDescent="0.35">
      <c r="A137" s="142" t="s">
        <v>46</v>
      </c>
      <c r="B137" s="142" t="s">
        <v>42</v>
      </c>
      <c r="C137" s="142" t="s">
        <v>38</v>
      </c>
      <c r="D137" s="142" t="s">
        <v>39</v>
      </c>
      <c r="E137" s="142" t="s">
        <v>17</v>
      </c>
      <c r="F137" s="145" t="s">
        <v>18</v>
      </c>
      <c r="G137" s="145" t="s">
        <v>18</v>
      </c>
      <c r="H137" s="145" t="s">
        <v>18</v>
      </c>
      <c r="I137" s="145" t="s">
        <v>18</v>
      </c>
      <c r="J137" s="145" t="s">
        <v>18</v>
      </c>
      <c r="K137" s="145" t="s">
        <v>18</v>
      </c>
      <c r="L137" s="145" t="s">
        <v>18</v>
      </c>
      <c r="M137" s="145" t="s">
        <v>18</v>
      </c>
      <c r="N137" s="145" t="s">
        <v>18</v>
      </c>
      <c r="O137" s="145" t="s">
        <v>18</v>
      </c>
      <c r="P137" s="145" t="s">
        <v>18</v>
      </c>
      <c r="Q137" s="145" t="s">
        <v>18</v>
      </c>
      <c r="R137" s="188">
        <f xml:space="preserve"> SUMIFS(F_Inputs_BP!H$7:H$108, F_Inputs_BP!$A$7:$A$108, $A137, F_Inputs_BP!$B$7:$B$108, $B137)</f>
        <v>178</v>
      </c>
      <c r="S137" s="188">
        <f xml:space="preserve"> SUMIFS(F_Inputs_BP!I$7:I$108, F_Inputs_BP!$A$7:$A$108, $A137, F_Inputs_BP!$B$7:$B$108, $B137)</f>
        <v>750.05178911538451</v>
      </c>
      <c r="T137" s="188">
        <f xml:space="preserve"> SUMIFS(F_Inputs_BP!J$7:J$108, F_Inputs_BP!$A$7:$A$108, $A137, F_Inputs_BP!$B$7:$B$108, $B137)</f>
        <v>5407.268567163791</v>
      </c>
      <c r="U137" s="188">
        <f xml:space="preserve"> SUMIFS(F_Inputs_BP!K$7:K$108, F_Inputs_BP!$A$7:$A$108, $A137, F_Inputs_BP!$B$7:$B$108, $B137)</f>
        <v>5440.1926259542543</v>
      </c>
      <c r="V137" s="188">
        <f xml:space="preserve"> SUMIFS(F_Inputs_BP!L$7:L$108, F_Inputs_BP!$A$7:$A$108, $A137, F_Inputs_BP!$B$7:$B$108, $B137)</f>
        <v>5473.317105308538</v>
      </c>
      <c r="W137" s="188">
        <f xml:space="preserve"> SUMIFS(F_Inputs_BP!M$7:M$108, F_Inputs_BP!$A$7:$A$108, $A137, F_Inputs_BP!$B$7:$B$108, $B137)</f>
        <v>5506.6433542240193</v>
      </c>
      <c r="X137" s="188">
        <f xml:space="preserve"> SUMIFS(F_Inputs_BP!N$7:N$108, F_Inputs_BP!$A$7:$A$108, $A137, F_Inputs_BP!$B$7:$B$108, $B137)</f>
        <v>5540.172451964404</v>
      </c>
      <c r="Y137" s="188">
        <f xml:space="preserve"> SUMIFS(F_Inputs_BP!O$7:O$108, F_Inputs_BP!$A$7:$A$108, $A137, F_Inputs_BP!$B$7:$B$108, $B137)</f>
        <v>5573.9057723024243</v>
      </c>
    </row>
    <row r="138" spans="1:25" x14ac:dyDescent="0.35">
      <c r="A138" s="142" t="s">
        <v>47</v>
      </c>
      <c r="B138" s="142" t="s">
        <v>32</v>
      </c>
      <c r="C138" s="142" t="s">
        <v>33</v>
      </c>
      <c r="D138" s="142" t="s">
        <v>34</v>
      </c>
      <c r="E138" s="142" t="s">
        <v>17</v>
      </c>
      <c r="F138" s="145" t="s">
        <v>18</v>
      </c>
      <c r="G138" s="145" t="s">
        <v>18</v>
      </c>
      <c r="H138" s="145" t="s">
        <v>18</v>
      </c>
      <c r="I138" s="145" t="s">
        <v>18</v>
      </c>
      <c r="J138" s="145" t="s">
        <v>18</v>
      </c>
      <c r="K138" s="145" t="s">
        <v>18</v>
      </c>
      <c r="L138" s="145" t="s">
        <v>18</v>
      </c>
      <c r="M138" s="145" t="s">
        <v>18</v>
      </c>
      <c r="N138" s="145" t="s">
        <v>18</v>
      </c>
      <c r="O138" s="145" t="s">
        <v>18</v>
      </c>
      <c r="P138" s="145" t="s">
        <v>18</v>
      </c>
      <c r="Q138" s="145" t="s">
        <v>18</v>
      </c>
      <c r="R138" s="187">
        <f xml:space="preserve"> SUMIFS(F_Inputs_BP!H$7:H$108, F_Inputs_BP!$A$7:$A$108, $A138, F_Inputs_BP!$B$7:$B$108, $B138)</f>
        <v>0.20899999999999999</v>
      </c>
      <c r="S138" s="187">
        <f xml:space="preserve"> SUMIFS(F_Inputs_BP!I$7:I$108, F_Inputs_BP!$A$7:$A$108, $A138, F_Inputs_BP!$B$7:$B$108, $B138)</f>
        <v>0.79</v>
      </c>
      <c r="T138" s="187">
        <f xml:space="preserve"> SUMIFS(F_Inputs_BP!J$7:J$108, F_Inputs_BP!$A$7:$A$108, $A138, F_Inputs_BP!$B$7:$B$108, $B138)</f>
        <v>0.20899999999999999</v>
      </c>
      <c r="U138" s="187">
        <f xml:space="preserve"> SUMIFS(F_Inputs_BP!K$7:K$108, F_Inputs_BP!$A$7:$A$108, $A138, F_Inputs_BP!$B$7:$B$108, $B138)</f>
        <v>0.14199529599999999</v>
      </c>
      <c r="V138" s="187">
        <f xml:space="preserve"> SUMIFS(F_Inputs_BP!L$7:L$108, F_Inputs_BP!$A$7:$A$108, $A138, F_Inputs_BP!$B$7:$B$108, $B138)</f>
        <v>0.133004648</v>
      </c>
      <c r="W138" s="187">
        <f xml:space="preserve"> SUMIFS(F_Inputs_BP!M$7:M$108, F_Inputs_BP!$A$7:$A$108, $A138, F_Inputs_BP!$B$7:$B$108, $B138)</f>
        <v>0.123995114</v>
      </c>
      <c r="X138" s="187">
        <f xml:space="preserve"> SUMIFS(F_Inputs_BP!N$7:N$108, F_Inputs_BP!$A$7:$A$108, $A138, F_Inputs_BP!$B$7:$B$108, $B138)</f>
        <v>0.114998539</v>
      </c>
      <c r="Y138" s="187">
        <f xml:space="preserve"> SUMIFS(F_Inputs_BP!O$7:O$108, F_Inputs_BP!$A$7:$A$108, $A138, F_Inputs_BP!$B$7:$B$108, $B138)</f>
        <v>0.107004223</v>
      </c>
    </row>
    <row r="139" spans="1:25" x14ac:dyDescent="0.35">
      <c r="A139" s="142" t="s">
        <v>47</v>
      </c>
      <c r="B139" s="142" t="s">
        <v>35</v>
      </c>
      <c r="C139" s="142" t="s">
        <v>36</v>
      </c>
      <c r="D139" s="142" t="s">
        <v>34</v>
      </c>
      <c r="E139" s="142" t="s">
        <v>17</v>
      </c>
      <c r="F139" s="145" t="s">
        <v>18</v>
      </c>
      <c r="G139" s="145" t="s">
        <v>18</v>
      </c>
      <c r="H139" s="145" t="s">
        <v>18</v>
      </c>
      <c r="I139" s="145" t="s">
        <v>18</v>
      </c>
      <c r="J139" s="145" t="s">
        <v>18</v>
      </c>
      <c r="K139" s="145" t="s">
        <v>18</v>
      </c>
      <c r="L139" s="145" t="s">
        <v>18</v>
      </c>
      <c r="M139" s="145" t="s">
        <v>18</v>
      </c>
      <c r="N139" s="145" t="s">
        <v>18</v>
      </c>
      <c r="O139" s="145" t="s">
        <v>18</v>
      </c>
      <c r="P139" s="145" t="s">
        <v>18</v>
      </c>
      <c r="Q139" s="145" t="s">
        <v>18</v>
      </c>
      <c r="R139" s="187">
        <f xml:space="preserve"> SUMIFS(F_Inputs_BP!H$7:H$108, F_Inputs_BP!$A$7:$A$108, $A139, F_Inputs_BP!$B$7:$B$108, $B139)</f>
        <v>0</v>
      </c>
      <c r="S139" s="187">
        <f xml:space="preserve"> SUMIFS(F_Inputs_BP!I$7:I$108, F_Inputs_BP!$A$7:$A$108, $A139, F_Inputs_BP!$B$7:$B$108, $B139)</f>
        <v>0</v>
      </c>
      <c r="T139" s="187">
        <f xml:space="preserve"> SUMIFS(F_Inputs_BP!J$7:J$108, F_Inputs_BP!$A$7:$A$108, $A139, F_Inputs_BP!$B$7:$B$108, $B139)</f>
        <v>0</v>
      </c>
      <c r="U139" s="187">
        <f xml:space="preserve"> SUMIFS(F_Inputs_BP!K$7:K$108, F_Inputs_BP!$A$7:$A$108, $A139, F_Inputs_BP!$B$7:$B$108, $B139)</f>
        <v>0</v>
      </c>
      <c r="V139" s="187">
        <f xml:space="preserve"> SUMIFS(F_Inputs_BP!L$7:L$108, F_Inputs_BP!$A$7:$A$108, $A139, F_Inputs_BP!$B$7:$B$108, $B139)</f>
        <v>0</v>
      </c>
      <c r="W139" s="187">
        <f xml:space="preserve"> SUMIFS(F_Inputs_BP!M$7:M$108, F_Inputs_BP!$A$7:$A$108, $A139, F_Inputs_BP!$B$7:$B$108, $B139)</f>
        <v>0</v>
      </c>
      <c r="X139" s="187">
        <f xml:space="preserve"> SUMIFS(F_Inputs_BP!N$7:N$108, F_Inputs_BP!$A$7:$A$108, $A139, F_Inputs_BP!$B$7:$B$108, $B139)</f>
        <v>0</v>
      </c>
      <c r="Y139" s="187">
        <f xml:space="preserve"> SUMIFS(F_Inputs_BP!O$7:O$108, F_Inputs_BP!$A$7:$A$108, $A139, F_Inputs_BP!$B$7:$B$108, $B139)</f>
        <v>0</v>
      </c>
    </row>
    <row r="140" spans="1:25" x14ac:dyDescent="0.35">
      <c r="A140" s="142" t="s">
        <v>47</v>
      </c>
      <c r="B140" s="142" t="s">
        <v>37</v>
      </c>
      <c r="C140" s="142" t="s">
        <v>38</v>
      </c>
      <c r="D140" s="142" t="s">
        <v>39</v>
      </c>
      <c r="E140" s="142" t="s">
        <v>17</v>
      </c>
      <c r="F140" s="145" t="s">
        <v>18</v>
      </c>
      <c r="G140" s="145" t="s">
        <v>18</v>
      </c>
      <c r="H140" s="145" t="s">
        <v>18</v>
      </c>
      <c r="I140" s="145" t="s">
        <v>18</v>
      </c>
      <c r="J140" s="145" t="s">
        <v>18</v>
      </c>
      <c r="K140" s="145" t="s">
        <v>18</v>
      </c>
      <c r="L140" s="145" t="s">
        <v>18</v>
      </c>
      <c r="M140" s="145" t="s">
        <v>18</v>
      </c>
      <c r="N140" s="145" t="s">
        <v>18</v>
      </c>
      <c r="O140" s="145" t="s">
        <v>18</v>
      </c>
      <c r="P140" s="145" t="s">
        <v>18</v>
      </c>
      <c r="Q140" s="145" t="s">
        <v>18</v>
      </c>
      <c r="R140" s="188">
        <f xml:space="preserve"> SUMIFS(F_Inputs_BP!H$7:H$108, F_Inputs_BP!$A$7:$A$108, $A140, F_Inputs_BP!$B$7:$B$108, $B140)</f>
        <v>22695</v>
      </c>
      <c r="S140" s="188">
        <f xml:space="preserve"> SUMIFS(F_Inputs_BP!I$7:I$108, F_Inputs_BP!$A$7:$A$108, $A140, F_Inputs_BP!$B$7:$B$108, $B140)</f>
        <v>4597</v>
      </c>
      <c r="T140" s="188">
        <f xml:space="preserve"> SUMIFS(F_Inputs_BP!J$7:J$108, F_Inputs_BP!$A$7:$A$108, $A140, F_Inputs_BP!$B$7:$B$108, $B140)</f>
        <v>24250</v>
      </c>
      <c r="U140" s="188">
        <f xml:space="preserve"> SUMIFS(F_Inputs_BP!K$7:K$108, F_Inputs_BP!$A$7:$A$108, $A140, F_Inputs_BP!$B$7:$B$108, $B140)</f>
        <v>22523</v>
      </c>
      <c r="V140" s="188">
        <f xml:space="preserve"> SUMIFS(F_Inputs_BP!L$7:L$108, F_Inputs_BP!$A$7:$A$108, $A140, F_Inputs_BP!$B$7:$B$108, $B140)</f>
        <v>22523</v>
      </c>
      <c r="W140" s="188">
        <f xml:space="preserve"> SUMIFS(F_Inputs_BP!M$7:M$108, F_Inputs_BP!$A$7:$A$108, $A140, F_Inputs_BP!$B$7:$B$108, $B140)</f>
        <v>22523</v>
      </c>
      <c r="X140" s="188">
        <f xml:space="preserve"> SUMIFS(F_Inputs_BP!N$7:N$108, F_Inputs_BP!$A$7:$A$108, $A140, F_Inputs_BP!$B$7:$B$108, $B140)</f>
        <v>22523</v>
      </c>
      <c r="Y140" s="188">
        <f xml:space="preserve"> SUMIFS(F_Inputs_BP!O$7:O$108, F_Inputs_BP!$A$7:$A$108, $A140, F_Inputs_BP!$B$7:$B$108, $B140)</f>
        <v>22523</v>
      </c>
    </row>
    <row r="141" spans="1:25" x14ac:dyDescent="0.35">
      <c r="A141" s="142" t="s">
        <v>47</v>
      </c>
      <c r="B141" s="142" t="s">
        <v>40</v>
      </c>
      <c r="C141" s="142" t="s">
        <v>33</v>
      </c>
      <c r="D141" s="142" t="s">
        <v>34</v>
      </c>
      <c r="E141" s="142" t="s">
        <v>17</v>
      </c>
      <c r="F141" s="145" t="s">
        <v>18</v>
      </c>
      <c r="G141" s="145" t="s">
        <v>18</v>
      </c>
      <c r="H141" s="145" t="s">
        <v>18</v>
      </c>
      <c r="I141" s="145" t="s">
        <v>18</v>
      </c>
      <c r="J141" s="145" t="s">
        <v>18</v>
      </c>
      <c r="K141" s="145" t="s">
        <v>18</v>
      </c>
      <c r="L141" s="145" t="s">
        <v>18</v>
      </c>
      <c r="M141" s="145" t="s">
        <v>18</v>
      </c>
      <c r="N141" s="145" t="s">
        <v>18</v>
      </c>
      <c r="O141" s="145" t="s">
        <v>18</v>
      </c>
      <c r="P141" s="145" t="s">
        <v>18</v>
      </c>
      <c r="Q141" s="145" t="s">
        <v>18</v>
      </c>
      <c r="R141" s="187">
        <f xml:space="preserve"> SUMIFS(F_Inputs_BP!H$7:H$108, F_Inputs_BP!$A$7:$A$108, $A141, F_Inputs_BP!$B$7:$B$108, $B141)</f>
        <v>3.0000000000000001E-3</v>
      </c>
      <c r="S141" s="187">
        <f xml:space="preserve"> SUMIFS(F_Inputs_BP!I$7:I$108, F_Inputs_BP!$A$7:$A$108, $A141, F_Inputs_BP!$B$7:$B$108, $B141)</f>
        <v>0</v>
      </c>
      <c r="T141" s="187">
        <f xml:space="preserve"> SUMIFS(F_Inputs_BP!J$7:J$108, F_Inputs_BP!$A$7:$A$108, $A141, F_Inputs_BP!$B$7:$B$108, $B141)</f>
        <v>3.0000000000000001E-3</v>
      </c>
      <c r="U141" s="187">
        <f xml:space="preserve"> SUMIFS(F_Inputs_BP!K$7:K$108, F_Inputs_BP!$A$7:$A$108, $A141, F_Inputs_BP!$B$7:$B$108, $B141)</f>
        <v>0</v>
      </c>
      <c r="V141" s="187">
        <f xml:space="preserve"> SUMIFS(F_Inputs_BP!L$7:L$108, F_Inputs_BP!$A$7:$A$108, $A141, F_Inputs_BP!$B$7:$B$108, $B141)</f>
        <v>0</v>
      </c>
      <c r="W141" s="187">
        <f xml:space="preserve"> SUMIFS(F_Inputs_BP!M$7:M$108, F_Inputs_BP!$A$7:$A$108, $A141, F_Inputs_BP!$B$7:$B$108, $B141)</f>
        <v>0</v>
      </c>
      <c r="X141" s="187">
        <f xml:space="preserve"> SUMIFS(F_Inputs_BP!N$7:N$108, F_Inputs_BP!$A$7:$A$108, $A141, F_Inputs_BP!$B$7:$B$108, $B141)</f>
        <v>0</v>
      </c>
      <c r="Y141" s="187">
        <f xml:space="preserve"> SUMIFS(F_Inputs_BP!O$7:O$108, F_Inputs_BP!$A$7:$A$108, $A141, F_Inputs_BP!$B$7:$B$108, $B141)</f>
        <v>0</v>
      </c>
    </row>
    <row r="142" spans="1:25" x14ac:dyDescent="0.35">
      <c r="A142" s="142" t="s">
        <v>47</v>
      </c>
      <c r="B142" s="142" t="s">
        <v>41</v>
      </c>
      <c r="C142" s="142" t="s">
        <v>36</v>
      </c>
      <c r="D142" s="142" t="s">
        <v>34</v>
      </c>
      <c r="E142" s="142" t="s">
        <v>17</v>
      </c>
      <c r="F142" s="145" t="s">
        <v>18</v>
      </c>
      <c r="G142" s="145" t="s">
        <v>18</v>
      </c>
      <c r="H142" s="145" t="s">
        <v>18</v>
      </c>
      <c r="I142" s="145" t="s">
        <v>18</v>
      </c>
      <c r="J142" s="145" t="s">
        <v>18</v>
      </c>
      <c r="K142" s="145" t="s">
        <v>18</v>
      </c>
      <c r="L142" s="145" t="s">
        <v>18</v>
      </c>
      <c r="M142" s="145" t="s">
        <v>18</v>
      </c>
      <c r="N142" s="145" t="s">
        <v>18</v>
      </c>
      <c r="O142" s="145" t="s">
        <v>18</v>
      </c>
      <c r="P142" s="145" t="s">
        <v>18</v>
      </c>
      <c r="Q142" s="145" t="s">
        <v>18</v>
      </c>
      <c r="R142" s="187">
        <f xml:space="preserve"> SUMIFS(F_Inputs_BP!H$7:H$108, F_Inputs_BP!$A$7:$A$108, $A142, F_Inputs_BP!$B$7:$B$108, $B142)</f>
        <v>0</v>
      </c>
      <c r="S142" s="187">
        <f xml:space="preserve"> SUMIFS(F_Inputs_BP!I$7:I$108, F_Inputs_BP!$A$7:$A$108, $A142, F_Inputs_BP!$B$7:$B$108, $B142)</f>
        <v>0</v>
      </c>
      <c r="T142" s="187">
        <f xml:space="preserve"> SUMIFS(F_Inputs_BP!J$7:J$108, F_Inputs_BP!$A$7:$A$108, $A142, F_Inputs_BP!$B$7:$B$108, $B142)</f>
        <v>0</v>
      </c>
      <c r="U142" s="187">
        <f xml:space="preserve"> SUMIFS(F_Inputs_BP!K$7:K$108, F_Inputs_BP!$A$7:$A$108, $A142, F_Inputs_BP!$B$7:$B$108, $B142)</f>
        <v>0</v>
      </c>
      <c r="V142" s="187">
        <f xml:space="preserve"> SUMIFS(F_Inputs_BP!L$7:L$108, F_Inputs_BP!$A$7:$A$108, $A142, F_Inputs_BP!$B$7:$B$108, $B142)</f>
        <v>0</v>
      </c>
      <c r="W142" s="187">
        <f xml:space="preserve"> SUMIFS(F_Inputs_BP!M$7:M$108, F_Inputs_BP!$A$7:$A$108, $A142, F_Inputs_BP!$B$7:$B$108, $B142)</f>
        <v>0</v>
      </c>
      <c r="X142" s="187">
        <f xml:space="preserve"> SUMIFS(F_Inputs_BP!N$7:N$108, F_Inputs_BP!$A$7:$A$108, $A142, F_Inputs_BP!$B$7:$B$108, $B142)</f>
        <v>0</v>
      </c>
      <c r="Y142" s="187">
        <f xml:space="preserve"> SUMIFS(F_Inputs_BP!O$7:O$108, F_Inputs_BP!$A$7:$A$108, $A142, F_Inputs_BP!$B$7:$B$108, $B142)</f>
        <v>0</v>
      </c>
    </row>
    <row r="143" spans="1:25" x14ac:dyDescent="0.35">
      <c r="A143" s="142" t="s">
        <v>47</v>
      </c>
      <c r="B143" s="142" t="s">
        <v>42</v>
      </c>
      <c r="C143" s="142" t="s">
        <v>38</v>
      </c>
      <c r="D143" s="142" t="s">
        <v>39</v>
      </c>
      <c r="E143" s="142" t="s">
        <v>17</v>
      </c>
      <c r="F143" s="145" t="s">
        <v>18</v>
      </c>
      <c r="G143" s="145" t="s">
        <v>18</v>
      </c>
      <c r="H143" s="145" t="s">
        <v>18</v>
      </c>
      <c r="I143" s="145" t="s">
        <v>18</v>
      </c>
      <c r="J143" s="145" t="s">
        <v>18</v>
      </c>
      <c r="K143" s="145" t="s">
        <v>18</v>
      </c>
      <c r="L143" s="145" t="s">
        <v>18</v>
      </c>
      <c r="M143" s="145" t="s">
        <v>18</v>
      </c>
      <c r="N143" s="145" t="s">
        <v>18</v>
      </c>
      <c r="O143" s="145" t="s">
        <v>18</v>
      </c>
      <c r="P143" s="145" t="s">
        <v>18</v>
      </c>
      <c r="Q143" s="145" t="s">
        <v>18</v>
      </c>
      <c r="R143" s="188">
        <f xml:space="preserve"> SUMIFS(F_Inputs_BP!H$7:H$108, F_Inputs_BP!$A$7:$A$108, $A143, F_Inputs_BP!$B$7:$B$108, $B143)</f>
        <v>2877</v>
      </c>
      <c r="S143" s="188">
        <f xml:space="preserve"> SUMIFS(F_Inputs_BP!I$7:I$108, F_Inputs_BP!$A$7:$A$108, $A143, F_Inputs_BP!$B$7:$B$108, $B143)</f>
        <v>0</v>
      </c>
      <c r="T143" s="188">
        <f xml:space="preserve"> SUMIFS(F_Inputs_BP!J$7:J$108, F_Inputs_BP!$A$7:$A$108, $A143, F_Inputs_BP!$B$7:$B$108, $B143)</f>
        <v>2743</v>
      </c>
      <c r="U143" s="188">
        <f xml:space="preserve"> SUMIFS(F_Inputs_BP!K$7:K$108, F_Inputs_BP!$A$7:$A$108, $A143, F_Inputs_BP!$B$7:$B$108, $B143)</f>
        <v>2743</v>
      </c>
      <c r="V143" s="188">
        <f xml:space="preserve"> SUMIFS(F_Inputs_BP!L$7:L$108, F_Inputs_BP!$A$7:$A$108, $A143, F_Inputs_BP!$B$7:$B$108, $B143)</f>
        <v>2743</v>
      </c>
      <c r="W143" s="188">
        <f xml:space="preserve"> SUMIFS(F_Inputs_BP!M$7:M$108, F_Inputs_BP!$A$7:$A$108, $A143, F_Inputs_BP!$B$7:$B$108, $B143)</f>
        <v>2743</v>
      </c>
      <c r="X143" s="188">
        <f xml:space="preserve"> SUMIFS(F_Inputs_BP!N$7:N$108, F_Inputs_BP!$A$7:$A$108, $A143, F_Inputs_BP!$B$7:$B$108, $B143)</f>
        <v>2743</v>
      </c>
      <c r="Y143" s="188">
        <f xml:space="preserve"> SUMIFS(F_Inputs_BP!O$7:O$108, F_Inputs_BP!$A$7:$A$108, $A143, F_Inputs_BP!$B$7:$B$108, $B143)</f>
        <v>2743</v>
      </c>
    </row>
    <row r="144" spans="1:25" x14ac:dyDescent="0.35">
      <c r="A144" s="142" t="s">
        <v>48</v>
      </c>
      <c r="B144" s="142" t="s">
        <v>32</v>
      </c>
      <c r="C144" s="142" t="s">
        <v>33</v>
      </c>
      <c r="D144" s="142" t="s">
        <v>34</v>
      </c>
      <c r="E144" s="142" t="s">
        <v>17</v>
      </c>
      <c r="F144" s="145" t="s">
        <v>18</v>
      </c>
      <c r="G144" s="145" t="s">
        <v>18</v>
      </c>
      <c r="H144" s="145" t="s">
        <v>18</v>
      </c>
      <c r="I144" s="145" t="s">
        <v>18</v>
      </c>
      <c r="J144" s="145" t="s">
        <v>18</v>
      </c>
      <c r="K144" s="145" t="s">
        <v>18</v>
      </c>
      <c r="L144" s="145" t="s">
        <v>18</v>
      </c>
      <c r="M144" s="145" t="s">
        <v>18</v>
      </c>
      <c r="N144" s="145" t="s">
        <v>18</v>
      </c>
      <c r="O144" s="145" t="s">
        <v>18</v>
      </c>
      <c r="P144" s="145" t="s">
        <v>18</v>
      </c>
      <c r="Q144" s="145" t="s">
        <v>18</v>
      </c>
      <c r="R144" s="187">
        <f xml:space="preserve"> SUMIFS(F_Inputs_BP!H$7:H$108, F_Inputs_BP!$A$7:$A$108, $A144, F_Inputs_BP!$B$7:$B$108, $B144)</f>
        <v>1.4830000000000001</v>
      </c>
      <c r="S144" s="187">
        <f xml:space="preserve"> SUMIFS(F_Inputs_BP!I$7:I$108, F_Inputs_BP!$A$7:$A$108, $A144, F_Inputs_BP!$B$7:$B$108, $B144)</f>
        <v>1.5129999999999999</v>
      </c>
      <c r="T144" s="187">
        <f xml:space="preserve"> SUMIFS(F_Inputs_BP!J$7:J$108, F_Inputs_BP!$A$7:$A$108, $A144, F_Inputs_BP!$B$7:$B$108, $B144)</f>
        <v>2.335</v>
      </c>
      <c r="U144" s="187">
        <f xml:space="preserve"> SUMIFS(F_Inputs_BP!K$7:K$108, F_Inputs_BP!$A$7:$A$108, $A144, F_Inputs_BP!$B$7:$B$108, $B144)</f>
        <v>2.335</v>
      </c>
      <c r="V144" s="187">
        <f xml:space="preserve"> SUMIFS(F_Inputs_BP!L$7:L$108, F_Inputs_BP!$A$7:$A$108, $A144, F_Inputs_BP!$B$7:$B$108, $B144)</f>
        <v>2.335</v>
      </c>
      <c r="W144" s="187">
        <f xml:space="preserve"> SUMIFS(F_Inputs_BP!M$7:M$108, F_Inputs_BP!$A$7:$A$108, $A144, F_Inputs_BP!$B$7:$B$108, $B144)</f>
        <v>2.335</v>
      </c>
      <c r="X144" s="187">
        <f xml:space="preserve"> SUMIFS(F_Inputs_BP!N$7:N$108, F_Inputs_BP!$A$7:$A$108, $A144, F_Inputs_BP!$B$7:$B$108, $B144)</f>
        <v>2.335</v>
      </c>
      <c r="Y144" s="187">
        <f xml:space="preserve"> SUMIFS(F_Inputs_BP!O$7:O$108, F_Inputs_BP!$A$7:$A$108, $A144, F_Inputs_BP!$B$7:$B$108, $B144)</f>
        <v>2.335</v>
      </c>
    </row>
    <row r="145" spans="1:25" x14ac:dyDescent="0.35">
      <c r="A145" s="142" t="s">
        <v>48</v>
      </c>
      <c r="B145" s="142" t="s">
        <v>35</v>
      </c>
      <c r="C145" s="142" t="s">
        <v>36</v>
      </c>
      <c r="D145" s="142" t="s">
        <v>34</v>
      </c>
      <c r="E145" s="142" t="s">
        <v>17</v>
      </c>
      <c r="F145" s="145" t="s">
        <v>18</v>
      </c>
      <c r="G145" s="145" t="s">
        <v>18</v>
      </c>
      <c r="H145" s="145" t="s">
        <v>18</v>
      </c>
      <c r="I145" s="145" t="s">
        <v>18</v>
      </c>
      <c r="J145" s="145" t="s">
        <v>18</v>
      </c>
      <c r="K145" s="145" t="s">
        <v>18</v>
      </c>
      <c r="L145" s="145" t="s">
        <v>18</v>
      </c>
      <c r="M145" s="145" t="s">
        <v>18</v>
      </c>
      <c r="N145" s="145" t="s">
        <v>18</v>
      </c>
      <c r="O145" s="145" t="s">
        <v>18</v>
      </c>
      <c r="P145" s="145" t="s">
        <v>18</v>
      </c>
      <c r="Q145" s="145" t="s">
        <v>18</v>
      </c>
      <c r="R145" s="187">
        <f xml:space="preserve"> SUMIFS(F_Inputs_BP!H$7:H$108, F_Inputs_BP!$A$7:$A$108, $A145, F_Inputs_BP!$B$7:$B$108, $B145)</f>
        <v>0.29399999999999998</v>
      </c>
      <c r="S145" s="187">
        <f xml:space="preserve"> SUMIFS(F_Inputs_BP!I$7:I$108, F_Inputs_BP!$A$7:$A$108, $A145, F_Inputs_BP!$B$7:$B$108, $B145)</f>
        <v>0.74</v>
      </c>
      <c r="T145" s="187">
        <f xml:space="preserve"> SUMIFS(F_Inputs_BP!J$7:J$108, F_Inputs_BP!$A$7:$A$108, $A145, F_Inputs_BP!$B$7:$B$108, $B145)</f>
        <v>0.11</v>
      </c>
      <c r="U145" s="187">
        <f xml:space="preserve"> SUMIFS(F_Inputs_BP!K$7:K$108, F_Inputs_BP!$A$7:$A$108, $A145, F_Inputs_BP!$B$7:$B$108, $B145)</f>
        <v>0.7</v>
      </c>
      <c r="V145" s="187">
        <f xml:space="preserve"> SUMIFS(F_Inputs_BP!L$7:L$108, F_Inputs_BP!$A$7:$A$108, $A145, F_Inputs_BP!$B$7:$B$108, $B145)</f>
        <v>0.7</v>
      </c>
      <c r="W145" s="187">
        <f xml:space="preserve"> SUMIFS(F_Inputs_BP!M$7:M$108, F_Inputs_BP!$A$7:$A$108, $A145, F_Inputs_BP!$B$7:$B$108, $B145)</f>
        <v>0.7</v>
      </c>
      <c r="X145" s="187">
        <f xml:space="preserve"> SUMIFS(F_Inputs_BP!N$7:N$108, F_Inputs_BP!$A$7:$A$108, $A145, F_Inputs_BP!$B$7:$B$108, $B145)</f>
        <v>0.7</v>
      </c>
      <c r="Y145" s="187">
        <f xml:space="preserve"> SUMIFS(F_Inputs_BP!O$7:O$108, F_Inputs_BP!$A$7:$A$108, $A145, F_Inputs_BP!$B$7:$B$108, $B145)</f>
        <v>0.7</v>
      </c>
    </row>
    <row r="146" spans="1:25" x14ac:dyDescent="0.35">
      <c r="A146" s="142" t="s">
        <v>48</v>
      </c>
      <c r="B146" s="142" t="s">
        <v>37</v>
      </c>
      <c r="C146" s="142" t="s">
        <v>38</v>
      </c>
      <c r="D146" s="142" t="s">
        <v>39</v>
      </c>
      <c r="E146" s="142" t="s">
        <v>17</v>
      </c>
      <c r="F146" s="145" t="s">
        <v>18</v>
      </c>
      <c r="G146" s="145" t="s">
        <v>18</v>
      </c>
      <c r="H146" s="145" t="s">
        <v>18</v>
      </c>
      <c r="I146" s="145" t="s">
        <v>18</v>
      </c>
      <c r="J146" s="145" t="s">
        <v>18</v>
      </c>
      <c r="K146" s="145" t="s">
        <v>18</v>
      </c>
      <c r="L146" s="145" t="s">
        <v>18</v>
      </c>
      <c r="M146" s="145" t="s">
        <v>18</v>
      </c>
      <c r="N146" s="145" t="s">
        <v>18</v>
      </c>
      <c r="O146" s="145" t="s">
        <v>18</v>
      </c>
      <c r="P146" s="145" t="s">
        <v>18</v>
      </c>
      <c r="Q146" s="145" t="s">
        <v>18</v>
      </c>
      <c r="R146" s="188">
        <f xml:space="preserve"> SUMIFS(F_Inputs_BP!H$7:H$108, F_Inputs_BP!$A$7:$A$108, $A146, F_Inputs_BP!$B$7:$B$108, $B146)</f>
        <v>37760</v>
      </c>
      <c r="S146" s="188">
        <f xml:space="preserve"> SUMIFS(F_Inputs_BP!I$7:I$108, F_Inputs_BP!$A$7:$A$108, $A146, F_Inputs_BP!$B$7:$B$108, $B146)</f>
        <v>33567</v>
      </c>
      <c r="T146" s="188">
        <f xml:space="preserve"> SUMIFS(F_Inputs_BP!J$7:J$108, F_Inputs_BP!$A$7:$A$108, $A146, F_Inputs_BP!$B$7:$B$108, $B146)</f>
        <v>34000</v>
      </c>
      <c r="U146" s="188">
        <f xml:space="preserve"> SUMIFS(F_Inputs_BP!K$7:K$108, F_Inputs_BP!$A$7:$A$108, $A146, F_Inputs_BP!$B$7:$B$108, $B146)</f>
        <v>34000</v>
      </c>
      <c r="V146" s="188">
        <f xml:space="preserve"> SUMIFS(F_Inputs_BP!L$7:L$108, F_Inputs_BP!$A$7:$A$108, $A146, F_Inputs_BP!$B$7:$B$108, $B146)</f>
        <v>34000</v>
      </c>
      <c r="W146" s="188">
        <f xml:space="preserve"> SUMIFS(F_Inputs_BP!M$7:M$108, F_Inputs_BP!$A$7:$A$108, $A146, F_Inputs_BP!$B$7:$B$108, $B146)</f>
        <v>34000</v>
      </c>
      <c r="X146" s="188">
        <f xml:space="preserve"> SUMIFS(F_Inputs_BP!N$7:N$108, F_Inputs_BP!$A$7:$A$108, $A146, F_Inputs_BP!$B$7:$B$108, $B146)</f>
        <v>34000</v>
      </c>
      <c r="Y146" s="188">
        <f xml:space="preserve"> SUMIFS(F_Inputs_BP!O$7:O$108, F_Inputs_BP!$A$7:$A$108, $A146, F_Inputs_BP!$B$7:$B$108, $B146)</f>
        <v>34000</v>
      </c>
    </row>
    <row r="147" spans="1:25" x14ac:dyDescent="0.35">
      <c r="A147" s="142" t="s">
        <v>48</v>
      </c>
      <c r="B147" s="142" t="s">
        <v>40</v>
      </c>
      <c r="C147" s="142" t="s">
        <v>33</v>
      </c>
      <c r="D147" s="142" t="s">
        <v>34</v>
      </c>
      <c r="E147" s="142" t="s">
        <v>17</v>
      </c>
      <c r="F147" s="145" t="s">
        <v>18</v>
      </c>
      <c r="G147" s="145" t="s">
        <v>18</v>
      </c>
      <c r="H147" s="145" t="s">
        <v>18</v>
      </c>
      <c r="I147" s="145" t="s">
        <v>18</v>
      </c>
      <c r="J147" s="145" t="s">
        <v>18</v>
      </c>
      <c r="K147" s="145" t="s">
        <v>18</v>
      </c>
      <c r="L147" s="145" t="s">
        <v>18</v>
      </c>
      <c r="M147" s="145" t="s">
        <v>18</v>
      </c>
      <c r="N147" s="145" t="s">
        <v>18</v>
      </c>
      <c r="O147" s="145" t="s">
        <v>18</v>
      </c>
      <c r="P147" s="145" t="s">
        <v>18</v>
      </c>
      <c r="Q147" s="145" t="s">
        <v>18</v>
      </c>
      <c r="R147" s="187">
        <f xml:space="preserve"> SUMIFS(F_Inputs_BP!H$7:H$108, F_Inputs_BP!$A$7:$A$108, $A147, F_Inputs_BP!$B$7:$B$108, $B147)</f>
        <v>0.16500000000000001</v>
      </c>
      <c r="S147" s="187">
        <f xml:space="preserve"> SUMIFS(F_Inputs_BP!I$7:I$108, F_Inputs_BP!$A$7:$A$108, $A147, F_Inputs_BP!$B$7:$B$108, $B147)</f>
        <v>0.16900000000000001</v>
      </c>
      <c r="T147" s="187">
        <f xml:space="preserve"> SUMIFS(F_Inputs_BP!J$7:J$108, F_Inputs_BP!$A$7:$A$108, $A147, F_Inputs_BP!$B$7:$B$108, $B147)</f>
        <v>0.25900000000000001</v>
      </c>
      <c r="U147" s="187">
        <f xml:space="preserve"> SUMIFS(F_Inputs_BP!K$7:K$108, F_Inputs_BP!$A$7:$A$108, $A147, F_Inputs_BP!$B$7:$B$108, $B147)</f>
        <v>0.25952052086028288</v>
      </c>
      <c r="V147" s="187">
        <f xml:space="preserve"> SUMIFS(F_Inputs_BP!L$7:L$108, F_Inputs_BP!$A$7:$A$108, $A147, F_Inputs_BP!$B$7:$B$108, $B147)</f>
        <v>0.25952052086028288</v>
      </c>
      <c r="W147" s="187">
        <f xml:space="preserve"> SUMIFS(F_Inputs_BP!M$7:M$108, F_Inputs_BP!$A$7:$A$108, $A147, F_Inputs_BP!$B$7:$B$108, $B147)</f>
        <v>0.25952052086028288</v>
      </c>
      <c r="X147" s="187">
        <f xml:space="preserve"> SUMIFS(F_Inputs_BP!N$7:N$108, F_Inputs_BP!$A$7:$A$108, $A147, F_Inputs_BP!$B$7:$B$108, $B147)</f>
        <v>0.25952052086028288</v>
      </c>
      <c r="Y147" s="187">
        <f xml:space="preserve"> SUMIFS(F_Inputs_BP!O$7:O$108, F_Inputs_BP!$A$7:$A$108, $A147, F_Inputs_BP!$B$7:$B$108, $B147)</f>
        <v>0.25952052086028288</v>
      </c>
    </row>
    <row r="148" spans="1:25" x14ac:dyDescent="0.35">
      <c r="A148" s="142" t="s">
        <v>48</v>
      </c>
      <c r="B148" s="142" t="s">
        <v>41</v>
      </c>
      <c r="C148" s="142" t="s">
        <v>36</v>
      </c>
      <c r="D148" s="142" t="s">
        <v>34</v>
      </c>
      <c r="E148" s="142" t="s">
        <v>17</v>
      </c>
      <c r="F148" s="145" t="s">
        <v>18</v>
      </c>
      <c r="G148" s="145" t="s">
        <v>18</v>
      </c>
      <c r="H148" s="145" t="s">
        <v>18</v>
      </c>
      <c r="I148" s="145" t="s">
        <v>18</v>
      </c>
      <c r="J148" s="145" t="s">
        <v>18</v>
      </c>
      <c r="K148" s="145" t="s">
        <v>18</v>
      </c>
      <c r="L148" s="145" t="s">
        <v>18</v>
      </c>
      <c r="M148" s="145" t="s">
        <v>18</v>
      </c>
      <c r="N148" s="145" t="s">
        <v>18</v>
      </c>
      <c r="O148" s="145" t="s">
        <v>18</v>
      </c>
      <c r="P148" s="145" t="s">
        <v>18</v>
      </c>
      <c r="Q148" s="145" t="s">
        <v>18</v>
      </c>
      <c r="R148" s="187">
        <f xml:space="preserve"> SUMIFS(F_Inputs_BP!H$7:H$108, F_Inputs_BP!$A$7:$A$108, $A148, F_Inputs_BP!$B$7:$B$108, $B148)</f>
        <v>0.18</v>
      </c>
      <c r="S148" s="187">
        <f xml:space="preserve"> SUMIFS(F_Inputs_BP!I$7:I$108, F_Inputs_BP!$A$7:$A$108, $A148, F_Inputs_BP!$B$7:$B$108, $B148)</f>
        <v>0.376</v>
      </c>
      <c r="T148" s="187">
        <f xml:space="preserve"> SUMIFS(F_Inputs_BP!J$7:J$108, F_Inputs_BP!$A$7:$A$108, $A148, F_Inputs_BP!$B$7:$B$108, $B148)</f>
        <v>9.0999999999999998E-2</v>
      </c>
      <c r="U148" s="187">
        <f xml:space="preserve"> SUMIFS(F_Inputs_BP!K$7:K$108, F_Inputs_BP!$A$7:$A$108, $A148, F_Inputs_BP!$B$7:$B$108, $B148)</f>
        <v>0.35</v>
      </c>
      <c r="V148" s="187">
        <f xml:space="preserve"> SUMIFS(F_Inputs_BP!L$7:L$108, F_Inputs_BP!$A$7:$A$108, $A148, F_Inputs_BP!$B$7:$B$108, $B148)</f>
        <v>0.35</v>
      </c>
      <c r="W148" s="187">
        <f xml:space="preserve"> SUMIFS(F_Inputs_BP!M$7:M$108, F_Inputs_BP!$A$7:$A$108, $A148, F_Inputs_BP!$B$7:$B$108, $B148)</f>
        <v>0.35</v>
      </c>
      <c r="X148" s="187">
        <f xml:space="preserve"> SUMIFS(F_Inputs_BP!N$7:N$108, F_Inputs_BP!$A$7:$A$108, $A148, F_Inputs_BP!$B$7:$B$108, $B148)</f>
        <v>0.35</v>
      </c>
      <c r="Y148" s="187">
        <f xml:space="preserve"> SUMIFS(F_Inputs_BP!O$7:O$108, F_Inputs_BP!$A$7:$A$108, $A148, F_Inputs_BP!$B$7:$B$108, $B148)</f>
        <v>0.35</v>
      </c>
    </row>
    <row r="149" spans="1:25" x14ac:dyDescent="0.35">
      <c r="A149" s="142" t="s">
        <v>48</v>
      </c>
      <c r="B149" s="142" t="s">
        <v>42</v>
      </c>
      <c r="C149" s="142" t="s">
        <v>38</v>
      </c>
      <c r="D149" s="142" t="s">
        <v>39</v>
      </c>
      <c r="E149" s="142" t="s">
        <v>17</v>
      </c>
      <c r="F149" s="145" t="s">
        <v>18</v>
      </c>
      <c r="G149" s="145" t="s">
        <v>18</v>
      </c>
      <c r="H149" s="145" t="s">
        <v>18</v>
      </c>
      <c r="I149" s="145" t="s">
        <v>18</v>
      </c>
      <c r="J149" s="145" t="s">
        <v>18</v>
      </c>
      <c r="K149" s="145" t="s">
        <v>18</v>
      </c>
      <c r="L149" s="145" t="s">
        <v>18</v>
      </c>
      <c r="M149" s="145" t="s">
        <v>18</v>
      </c>
      <c r="N149" s="145" t="s">
        <v>18</v>
      </c>
      <c r="O149" s="145" t="s">
        <v>18</v>
      </c>
      <c r="P149" s="145" t="s">
        <v>18</v>
      </c>
      <c r="Q149" s="145" t="s">
        <v>18</v>
      </c>
      <c r="R149" s="188">
        <f xml:space="preserve"> SUMIFS(F_Inputs_BP!H$7:H$108, F_Inputs_BP!$A$7:$A$108, $A149, F_Inputs_BP!$B$7:$B$108, $B149)</f>
        <v>4196</v>
      </c>
      <c r="S149" s="188">
        <f xml:space="preserve"> SUMIFS(F_Inputs_BP!I$7:I$108, F_Inputs_BP!$A$7:$A$108, $A149, F_Inputs_BP!$B$7:$B$108, $B149)</f>
        <v>3729</v>
      </c>
      <c r="T149" s="188">
        <f xml:space="preserve"> SUMIFS(F_Inputs_BP!J$7:J$108, F_Inputs_BP!$A$7:$A$108, $A149, F_Inputs_BP!$B$7:$B$108, $B149)</f>
        <v>4000</v>
      </c>
      <c r="U149" s="188">
        <f xml:space="preserve"> SUMIFS(F_Inputs_BP!K$7:K$108, F_Inputs_BP!$A$7:$A$108, $A149, F_Inputs_BP!$B$7:$B$108, $B149)</f>
        <v>4000</v>
      </c>
      <c r="V149" s="188">
        <f xml:space="preserve"> SUMIFS(F_Inputs_BP!L$7:L$108, F_Inputs_BP!$A$7:$A$108, $A149, F_Inputs_BP!$B$7:$B$108, $B149)</f>
        <v>4000</v>
      </c>
      <c r="W149" s="188">
        <f xml:space="preserve"> SUMIFS(F_Inputs_BP!M$7:M$108, F_Inputs_BP!$A$7:$A$108, $A149, F_Inputs_BP!$B$7:$B$108, $B149)</f>
        <v>4000</v>
      </c>
      <c r="X149" s="188">
        <f xml:space="preserve"> SUMIFS(F_Inputs_BP!N$7:N$108, F_Inputs_BP!$A$7:$A$108, $A149, F_Inputs_BP!$B$7:$B$108, $B149)</f>
        <v>4000</v>
      </c>
      <c r="Y149" s="188">
        <f xml:space="preserve"> SUMIFS(F_Inputs_BP!O$7:O$108, F_Inputs_BP!$A$7:$A$108, $A149, F_Inputs_BP!$B$7:$B$108, $B149)</f>
        <v>4000</v>
      </c>
    </row>
    <row r="150" spans="1:25" x14ac:dyDescent="0.35">
      <c r="A150" s="142" t="s">
        <v>49</v>
      </c>
      <c r="B150" s="142" t="s">
        <v>32</v>
      </c>
      <c r="C150" s="142" t="s">
        <v>33</v>
      </c>
      <c r="D150" s="142" t="s">
        <v>34</v>
      </c>
      <c r="E150" s="142" t="s">
        <v>17</v>
      </c>
      <c r="F150" s="145" t="s">
        <v>18</v>
      </c>
      <c r="G150" s="145" t="s">
        <v>18</v>
      </c>
      <c r="H150" s="145" t="s">
        <v>18</v>
      </c>
      <c r="I150" s="145" t="s">
        <v>18</v>
      </c>
      <c r="J150" s="145" t="s">
        <v>18</v>
      </c>
      <c r="K150" s="145" t="s">
        <v>18</v>
      </c>
      <c r="L150" s="145" t="s">
        <v>18</v>
      </c>
      <c r="M150" s="145" t="s">
        <v>18</v>
      </c>
      <c r="N150" s="145" t="s">
        <v>18</v>
      </c>
      <c r="O150" s="145" t="s">
        <v>18</v>
      </c>
      <c r="P150" s="145" t="s">
        <v>18</v>
      </c>
      <c r="Q150" s="145" t="s">
        <v>18</v>
      </c>
      <c r="R150" s="187">
        <f xml:space="preserve"> SUMIFS(F_Inputs_BP!H$7:H$108, F_Inputs_BP!$A$7:$A$108, $A150, F_Inputs_BP!$B$7:$B$108, $B150)</f>
        <v>32.451000000000001</v>
      </c>
      <c r="S150" s="187">
        <f xml:space="preserve"> SUMIFS(F_Inputs_BP!I$7:I$108, F_Inputs_BP!$A$7:$A$108, $A150, F_Inputs_BP!$B$7:$B$108, $B150)</f>
        <v>26.219165085388969</v>
      </c>
      <c r="T150" s="187">
        <f xml:space="preserve"> SUMIFS(F_Inputs_BP!J$7:J$108, F_Inputs_BP!$A$7:$A$108, $A150, F_Inputs_BP!$B$7:$B$108, $B150)</f>
        <v>33.487000000000002</v>
      </c>
      <c r="U150" s="187">
        <f xml:space="preserve"> SUMIFS(F_Inputs_BP!K$7:K$108, F_Inputs_BP!$A$7:$A$108, $A150, F_Inputs_BP!$B$7:$B$108, $B150)</f>
        <v>34.353999999999999</v>
      </c>
      <c r="V150" s="187">
        <f xml:space="preserve"> SUMIFS(F_Inputs_BP!L$7:L$108, F_Inputs_BP!$A$7:$A$108, $A150, F_Inputs_BP!$B$7:$B$108, $B150)</f>
        <v>34.353999999999999</v>
      </c>
      <c r="W150" s="187">
        <f xml:space="preserve"> SUMIFS(F_Inputs_BP!M$7:M$108, F_Inputs_BP!$A$7:$A$108, $A150, F_Inputs_BP!$B$7:$B$108, $B150)</f>
        <v>34.353999999999999</v>
      </c>
      <c r="X150" s="187">
        <f xml:space="preserve"> SUMIFS(F_Inputs_BP!N$7:N$108, F_Inputs_BP!$A$7:$A$108, $A150, F_Inputs_BP!$B$7:$B$108, $B150)</f>
        <v>34.353999999999999</v>
      </c>
      <c r="Y150" s="187">
        <f xml:space="preserve"> SUMIFS(F_Inputs_BP!O$7:O$108, F_Inputs_BP!$A$7:$A$108, $A150, F_Inputs_BP!$B$7:$B$108, $B150)</f>
        <v>34.353999999999999</v>
      </c>
    </row>
    <row r="151" spans="1:25" x14ac:dyDescent="0.35">
      <c r="A151" s="142" t="s">
        <v>49</v>
      </c>
      <c r="B151" s="142" t="s">
        <v>35</v>
      </c>
      <c r="C151" s="142" t="s">
        <v>36</v>
      </c>
      <c r="D151" s="142" t="s">
        <v>34</v>
      </c>
      <c r="E151" s="142" t="s">
        <v>17</v>
      </c>
      <c r="F151" s="145" t="s">
        <v>18</v>
      </c>
      <c r="G151" s="145" t="s">
        <v>18</v>
      </c>
      <c r="H151" s="145" t="s">
        <v>18</v>
      </c>
      <c r="I151" s="145" t="s">
        <v>18</v>
      </c>
      <c r="J151" s="145" t="s">
        <v>18</v>
      </c>
      <c r="K151" s="145" t="s">
        <v>18</v>
      </c>
      <c r="L151" s="145" t="s">
        <v>18</v>
      </c>
      <c r="M151" s="145" t="s">
        <v>18</v>
      </c>
      <c r="N151" s="145" t="s">
        <v>18</v>
      </c>
      <c r="O151" s="145" t="s">
        <v>18</v>
      </c>
      <c r="P151" s="145" t="s">
        <v>18</v>
      </c>
      <c r="Q151" s="145" t="s">
        <v>18</v>
      </c>
      <c r="R151" s="187">
        <f xml:space="preserve"> SUMIFS(F_Inputs_BP!H$7:H$108, F_Inputs_BP!$A$7:$A$108, $A151, F_Inputs_BP!$B$7:$B$108, $B151)</f>
        <v>2.7120000000000002</v>
      </c>
      <c r="S151" s="187">
        <f xml:space="preserve"> SUMIFS(F_Inputs_BP!I$7:I$108, F_Inputs_BP!$A$7:$A$108, $A151, F_Inputs_BP!$B$7:$B$108, $B151)</f>
        <v>1.611954459203035</v>
      </c>
      <c r="T151" s="187">
        <f xml:space="preserve"> SUMIFS(F_Inputs_BP!J$7:J$108, F_Inputs_BP!$A$7:$A$108, $A151, F_Inputs_BP!$B$7:$B$108, $B151)</f>
        <v>1.081</v>
      </c>
      <c r="U151" s="187">
        <f xml:space="preserve"> SUMIFS(F_Inputs_BP!K$7:K$108, F_Inputs_BP!$A$7:$A$108, $A151, F_Inputs_BP!$B$7:$B$108, $B151)</f>
        <v>1.109</v>
      </c>
      <c r="V151" s="187">
        <f xml:space="preserve"> SUMIFS(F_Inputs_BP!L$7:L$108, F_Inputs_BP!$A$7:$A$108, $A151, F_Inputs_BP!$B$7:$B$108, $B151)</f>
        <v>1.109</v>
      </c>
      <c r="W151" s="187">
        <f xml:space="preserve"> SUMIFS(F_Inputs_BP!M$7:M$108, F_Inputs_BP!$A$7:$A$108, $A151, F_Inputs_BP!$B$7:$B$108, $B151)</f>
        <v>1.109</v>
      </c>
      <c r="X151" s="187">
        <f xml:space="preserve"> SUMIFS(F_Inputs_BP!N$7:N$108, F_Inputs_BP!$A$7:$A$108, $A151, F_Inputs_BP!$B$7:$B$108, $B151)</f>
        <v>1.109</v>
      </c>
      <c r="Y151" s="187">
        <f xml:space="preserve"> SUMIFS(F_Inputs_BP!O$7:O$108, F_Inputs_BP!$A$7:$A$108, $A151, F_Inputs_BP!$B$7:$B$108, $B151)</f>
        <v>1.109</v>
      </c>
    </row>
    <row r="152" spans="1:25" x14ac:dyDescent="0.35">
      <c r="A152" s="142" t="s">
        <v>49</v>
      </c>
      <c r="B152" s="142" t="s">
        <v>37</v>
      </c>
      <c r="C152" s="142" t="s">
        <v>38</v>
      </c>
      <c r="D152" s="142" t="s">
        <v>39</v>
      </c>
      <c r="E152" s="142" t="s">
        <v>17</v>
      </c>
      <c r="F152" s="145" t="s">
        <v>18</v>
      </c>
      <c r="G152" s="145" t="s">
        <v>18</v>
      </c>
      <c r="H152" s="145" t="s">
        <v>18</v>
      </c>
      <c r="I152" s="145" t="s">
        <v>18</v>
      </c>
      <c r="J152" s="145" t="s">
        <v>18</v>
      </c>
      <c r="K152" s="145" t="s">
        <v>18</v>
      </c>
      <c r="L152" s="145" t="s">
        <v>18</v>
      </c>
      <c r="M152" s="145" t="s">
        <v>18</v>
      </c>
      <c r="N152" s="145" t="s">
        <v>18</v>
      </c>
      <c r="O152" s="145" t="s">
        <v>18</v>
      </c>
      <c r="P152" s="145" t="s">
        <v>18</v>
      </c>
      <c r="Q152" s="145" t="s">
        <v>18</v>
      </c>
      <c r="R152" s="188">
        <f xml:space="preserve"> SUMIFS(F_Inputs_BP!H$7:H$108, F_Inputs_BP!$A$7:$A$108, $A152, F_Inputs_BP!$B$7:$B$108, $B152)</f>
        <v>89202</v>
      </c>
      <c r="S152" s="188">
        <f xml:space="preserve"> SUMIFS(F_Inputs_BP!I$7:I$108, F_Inputs_BP!$A$7:$A$108, $A152, F_Inputs_BP!$B$7:$B$108, $B152)</f>
        <v>67686</v>
      </c>
      <c r="T152" s="188">
        <f xml:space="preserve"> SUMIFS(F_Inputs_BP!J$7:J$108, F_Inputs_BP!$A$7:$A$108, $A152, F_Inputs_BP!$B$7:$B$108, $B152)</f>
        <v>92049</v>
      </c>
      <c r="U152" s="188">
        <f xml:space="preserve"> SUMIFS(F_Inputs_BP!K$7:K$108, F_Inputs_BP!$A$7:$A$108, $A152, F_Inputs_BP!$B$7:$B$108, $B152)</f>
        <v>94432</v>
      </c>
      <c r="V152" s="188">
        <f xml:space="preserve"> SUMIFS(F_Inputs_BP!L$7:L$108, F_Inputs_BP!$A$7:$A$108, $A152, F_Inputs_BP!$B$7:$B$108, $B152)</f>
        <v>94432</v>
      </c>
      <c r="W152" s="188">
        <f xml:space="preserve"> SUMIFS(F_Inputs_BP!M$7:M$108, F_Inputs_BP!$A$7:$A$108, $A152, F_Inputs_BP!$B$7:$B$108, $B152)</f>
        <v>94432.009000000005</v>
      </c>
      <c r="X152" s="188">
        <f xml:space="preserve"> SUMIFS(F_Inputs_BP!N$7:N$108, F_Inputs_BP!$A$7:$A$108, $A152, F_Inputs_BP!$B$7:$B$108, $B152)</f>
        <v>94432.009000000005</v>
      </c>
      <c r="Y152" s="188">
        <f xml:space="preserve"> SUMIFS(F_Inputs_BP!O$7:O$108, F_Inputs_BP!$A$7:$A$108, $A152, F_Inputs_BP!$B$7:$B$108, $B152)</f>
        <v>94432</v>
      </c>
    </row>
    <row r="153" spans="1:25" x14ac:dyDescent="0.35">
      <c r="A153" s="142" t="s">
        <v>49</v>
      </c>
      <c r="B153" s="142" t="s">
        <v>40</v>
      </c>
      <c r="C153" s="142" t="s">
        <v>33</v>
      </c>
      <c r="D153" s="142" t="s">
        <v>34</v>
      </c>
      <c r="E153" s="142" t="s">
        <v>17</v>
      </c>
      <c r="F153" s="145" t="s">
        <v>18</v>
      </c>
      <c r="G153" s="145" t="s">
        <v>18</v>
      </c>
      <c r="H153" s="145" t="s">
        <v>18</v>
      </c>
      <c r="I153" s="145" t="s">
        <v>18</v>
      </c>
      <c r="J153" s="145" t="s">
        <v>18</v>
      </c>
      <c r="K153" s="145" t="s">
        <v>18</v>
      </c>
      <c r="L153" s="145" t="s">
        <v>18</v>
      </c>
      <c r="M153" s="145" t="s">
        <v>18</v>
      </c>
      <c r="N153" s="145" t="s">
        <v>18</v>
      </c>
      <c r="O153" s="145" t="s">
        <v>18</v>
      </c>
      <c r="P153" s="145" t="s">
        <v>18</v>
      </c>
      <c r="Q153" s="145" t="s">
        <v>18</v>
      </c>
      <c r="R153" s="187">
        <f xml:space="preserve"> SUMIFS(F_Inputs_BP!H$7:H$108, F_Inputs_BP!$A$7:$A$108, $A153, F_Inputs_BP!$B$7:$B$108, $B153)</f>
        <v>0.64900000000000002</v>
      </c>
      <c r="S153" s="187">
        <f xml:space="preserve"> SUMIFS(F_Inputs_BP!I$7:I$108, F_Inputs_BP!$A$7:$A$108, $A153, F_Inputs_BP!$B$7:$B$108, $B153)</f>
        <v>0.96489563567362335</v>
      </c>
      <c r="T153" s="187">
        <f xml:space="preserve"> SUMIFS(F_Inputs_BP!J$7:J$108, F_Inputs_BP!$A$7:$A$108, $A153, F_Inputs_BP!$B$7:$B$108, $B153)</f>
        <v>0.55000000000000004</v>
      </c>
      <c r="U153" s="187">
        <f xml:space="preserve"> SUMIFS(F_Inputs_BP!K$7:K$108, F_Inputs_BP!$A$7:$A$108, $A153, F_Inputs_BP!$B$7:$B$108, $B153)</f>
        <v>0.56400000000000006</v>
      </c>
      <c r="V153" s="187">
        <f xml:space="preserve"> SUMIFS(F_Inputs_BP!L$7:L$108, F_Inputs_BP!$A$7:$A$108, $A153, F_Inputs_BP!$B$7:$B$108, $B153)</f>
        <v>0.56400000000000006</v>
      </c>
      <c r="W153" s="187">
        <f xml:space="preserve"> SUMIFS(F_Inputs_BP!M$7:M$108, F_Inputs_BP!$A$7:$A$108, $A153, F_Inputs_BP!$B$7:$B$108, $B153)</f>
        <v>0.56400000000000006</v>
      </c>
      <c r="X153" s="187">
        <f xml:space="preserve"> SUMIFS(F_Inputs_BP!N$7:N$108, F_Inputs_BP!$A$7:$A$108, $A153, F_Inputs_BP!$B$7:$B$108, $B153)</f>
        <v>0.55100000000000005</v>
      </c>
      <c r="Y153" s="187">
        <f xml:space="preserve"> SUMIFS(F_Inputs_BP!O$7:O$108, F_Inputs_BP!$A$7:$A$108, $A153, F_Inputs_BP!$B$7:$B$108, $B153)</f>
        <v>0.55100000000000005</v>
      </c>
    </row>
    <row r="154" spans="1:25" x14ac:dyDescent="0.35">
      <c r="A154" s="142" t="s">
        <v>49</v>
      </c>
      <c r="B154" s="142" t="s">
        <v>41</v>
      </c>
      <c r="C154" s="142" t="s">
        <v>36</v>
      </c>
      <c r="D154" s="142" t="s">
        <v>34</v>
      </c>
      <c r="E154" s="142" t="s">
        <v>17</v>
      </c>
      <c r="F154" s="145" t="s">
        <v>18</v>
      </c>
      <c r="G154" s="145" t="s">
        <v>18</v>
      </c>
      <c r="H154" s="145" t="s">
        <v>18</v>
      </c>
      <c r="I154" s="145" t="s">
        <v>18</v>
      </c>
      <c r="J154" s="145" t="s">
        <v>18</v>
      </c>
      <c r="K154" s="145" t="s">
        <v>18</v>
      </c>
      <c r="L154" s="145" t="s">
        <v>18</v>
      </c>
      <c r="M154" s="145" t="s">
        <v>18</v>
      </c>
      <c r="N154" s="145" t="s">
        <v>18</v>
      </c>
      <c r="O154" s="145" t="s">
        <v>18</v>
      </c>
      <c r="P154" s="145" t="s">
        <v>18</v>
      </c>
      <c r="Q154" s="145" t="s">
        <v>18</v>
      </c>
      <c r="R154" s="187">
        <f xml:space="preserve"> SUMIFS(F_Inputs_BP!H$7:H$108, F_Inputs_BP!$A$7:$A$108, $A154, F_Inputs_BP!$B$7:$B$108, $B154)</f>
        <v>0.35</v>
      </c>
      <c r="S154" s="187">
        <f xml:space="preserve"> SUMIFS(F_Inputs_BP!I$7:I$108, F_Inputs_BP!$A$7:$A$108, $A154, F_Inputs_BP!$B$7:$B$108, $B154)</f>
        <v>0.44402277039848159</v>
      </c>
      <c r="T154" s="187">
        <f xml:space="preserve"> SUMIFS(F_Inputs_BP!J$7:J$108, F_Inputs_BP!$A$7:$A$108, $A154, F_Inputs_BP!$B$7:$B$108, $B154)</f>
        <v>0.29599999999999999</v>
      </c>
      <c r="U154" s="187">
        <f xml:space="preserve"> SUMIFS(F_Inputs_BP!K$7:K$108, F_Inputs_BP!$A$7:$A$108, $A154, F_Inputs_BP!$B$7:$B$108, $B154)</f>
        <v>0.30399999999999999</v>
      </c>
      <c r="V154" s="187">
        <f xml:space="preserve"> SUMIFS(F_Inputs_BP!L$7:L$108, F_Inputs_BP!$A$7:$A$108, $A154, F_Inputs_BP!$B$7:$B$108, $B154)</f>
        <v>0.30399999999999999</v>
      </c>
      <c r="W154" s="187">
        <f xml:space="preserve"> SUMIFS(F_Inputs_BP!M$7:M$108, F_Inputs_BP!$A$7:$A$108, $A154, F_Inputs_BP!$B$7:$B$108, $B154)</f>
        <v>0.30399999999999999</v>
      </c>
      <c r="X154" s="187">
        <f xml:space="preserve"> SUMIFS(F_Inputs_BP!N$7:N$108, F_Inputs_BP!$A$7:$A$108, $A154, F_Inputs_BP!$B$7:$B$108, $B154)</f>
        <v>0.29699999999999999</v>
      </c>
      <c r="Y154" s="187">
        <f xml:space="preserve"> SUMIFS(F_Inputs_BP!O$7:O$108, F_Inputs_BP!$A$7:$A$108, $A154, F_Inputs_BP!$B$7:$B$108, $B154)</f>
        <v>0.29699999999999999</v>
      </c>
    </row>
    <row r="155" spans="1:25" x14ac:dyDescent="0.35">
      <c r="A155" s="142" t="s">
        <v>49</v>
      </c>
      <c r="B155" s="142" t="s">
        <v>42</v>
      </c>
      <c r="C155" s="142" t="s">
        <v>38</v>
      </c>
      <c r="D155" s="142" t="s">
        <v>39</v>
      </c>
      <c r="E155" s="142" t="s">
        <v>17</v>
      </c>
      <c r="F155" s="145" t="s">
        <v>18</v>
      </c>
      <c r="G155" s="145" t="s">
        <v>18</v>
      </c>
      <c r="H155" s="145" t="s">
        <v>18</v>
      </c>
      <c r="I155" s="145" t="s">
        <v>18</v>
      </c>
      <c r="J155" s="145" t="s">
        <v>18</v>
      </c>
      <c r="K155" s="145" t="s">
        <v>18</v>
      </c>
      <c r="L155" s="145" t="s">
        <v>18</v>
      </c>
      <c r="M155" s="145" t="s">
        <v>18</v>
      </c>
      <c r="N155" s="145" t="s">
        <v>18</v>
      </c>
      <c r="O155" s="145" t="s">
        <v>18</v>
      </c>
      <c r="P155" s="145" t="s">
        <v>18</v>
      </c>
      <c r="Q155" s="145" t="s">
        <v>18</v>
      </c>
      <c r="R155" s="188">
        <f xml:space="preserve"> SUMIFS(F_Inputs_BP!H$7:H$108, F_Inputs_BP!$A$7:$A$108, $A155, F_Inputs_BP!$B$7:$B$108, $B155)</f>
        <v>7130</v>
      </c>
      <c r="S155" s="188">
        <f xml:space="preserve"> SUMIFS(F_Inputs_BP!I$7:I$108, F_Inputs_BP!$A$7:$A$108, $A155, F_Inputs_BP!$B$7:$B$108, $B155)</f>
        <v>6725</v>
      </c>
      <c r="T155" s="188">
        <f xml:space="preserve"> SUMIFS(F_Inputs_BP!J$7:J$108, F_Inputs_BP!$A$7:$A$108, $A155, F_Inputs_BP!$B$7:$B$108, $B155)</f>
        <v>7091</v>
      </c>
      <c r="U155" s="188">
        <f xml:space="preserve"> SUMIFS(F_Inputs_BP!K$7:K$108, F_Inputs_BP!$A$7:$A$108, $A155, F_Inputs_BP!$B$7:$B$108, $B155)</f>
        <v>7143</v>
      </c>
      <c r="V155" s="188">
        <f xml:space="preserve"> SUMIFS(F_Inputs_BP!L$7:L$108, F_Inputs_BP!$A$7:$A$108, $A155, F_Inputs_BP!$B$7:$B$108, $B155)</f>
        <v>7163</v>
      </c>
      <c r="W155" s="188">
        <f xml:space="preserve"> SUMIFS(F_Inputs_BP!M$7:M$108, F_Inputs_BP!$A$7:$A$108, $A155, F_Inputs_BP!$B$7:$B$108, $B155)</f>
        <v>7184</v>
      </c>
      <c r="X155" s="188">
        <f xml:space="preserve"> SUMIFS(F_Inputs_BP!N$7:N$108, F_Inputs_BP!$A$7:$A$108, $A155, F_Inputs_BP!$B$7:$B$108, $B155)</f>
        <v>7206</v>
      </c>
      <c r="Y155" s="188">
        <f xml:space="preserve"> SUMIFS(F_Inputs_BP!O$7:O$108, F_Inputs_BP!$A$7:$A$108, $A155, F_Inputs_BP!$B$7:$B$108, $B155)</f>
        <v>7227</v>
      </c>
    </row>
    <row r="156" spans="1:25" x14ac:dyDescent="0.35">
      <c r="A156" s="142" t="s">
        <v>50</v>
      </c>
      <c r="B156" s="142" t="s">
        <v>32</v>
      </c>
      <c r="C156" s="142" t="s">
        <v>33</v>
      </c>
      <c r="D156" s="142" t="s">
        <v>34</v>
      </c>
      <c r="E156" s="142" t="s">
        <v>17</v>
      </c>
      <c r="F156" s="145" t="s">
        <v>18</v>
      </c>
      <c r="G156" s="145" t="s">
        <v>18</v>
      </c>
      <c r="H156" s="145" t="s">
        <v>18</v>
      </c>
      <c r="I156" s="145" t="s">
        <v>18</v>
      </c>
      <c r="J156" s="145" t="s">
        <v>18</v>
      </c>
      <c r="K156" s="145" t="s">
        <v>18</v>
      </c>
      <c r="L156" s="145" t="s">
        <v>18</v>
      </c>
      <c r="M156" s="145" t="s">
        <v>18</v>
      </c>
      <c r="N156" s="145" t="s">
        <v>18</v>
      </c>
      <c r="O156" s="145" t="s">
        <v>18</v>
      </c>
      <c r="P156" s="145" t="s">
        <v>18</v>
      </c>
      <c r="Q156" s="145" t="s">
        <v>18</v>
      </c>
      <c r="R156" s="187">
        <f xml:space="preserve"> SUMIFS(F_Inputs_BP!H$7:H$108, F_Inputs_BP!$A$7:$A$108, $A156, F_Inputs_BP!$B$7:$B$108, $B156)</f>
        <v>2.0464701721890868</v>
      </c>
      <c r="S156" s="187">
        <f xml:space="preserve"> SUMIFS(F_Inputs_BP!I$7:I$108, F_Inputs_BP!$A$7:$A$108, $A156, F_Inputs_BP!$B$7:$B$108, $B156)</f>
        <v>1.6817143322179799</v>
      </c>
      <c r="T156" s="187">
        <f xml:space="preserve"> SUMIFS(F_Inputs_BP!J$7:J$108, F_Inputs_BP!$A$7:$A$108, $A156, F_Inputs_BP!$B$7:$B$108, $B156)</f>
        <v>1.8641387491075021</v>
      </c>
      <c r="U156" s="187">
        <f xml:space="preserve"> SUMIFS(F_Inputs_BP!K$7:K$108, F_Inputs_BP!$A$7:$A$108, $A156, F_Inputs_BP!$B$7:$B$108, $B156)</f>
        <v>1.864022610627089</v>
      </c>
      <c r="V156" s="187">
        <f xml:space="preserve"> SUMIFS(F_Inputs_BP!L$7:L$108, F_Inputs_BP!$A$7:$A$108, $A156, F_Inputs_BP!$B$7:$B$108, $B156)</f>
        <v>1.864022610627089</v>
      </c>
      <c r="W156" s="187">
        <f xml:space="preserve"> SUMIFS(F_Inputs_BP!M$7:M$108, F_Inputs_BP!$A$7:$A$108, $A156, F_Inputs_BP!$B$7:$B$108, $B156)</f>
        <v>1.8640226106270901</v>
      </c>
      <c r="X156" s="187">
        <f xml:space="preserve"> SUMIFS(F_Inputs_BP!N$7:N$108, F_Inputs_BP!$A$7:$A$108, $A156, F_Inputs_BP!$B$7:$B$108, $B156)</f>
        <v>1.8640226106270901</v>
      </c>
      <c r="Y156" s="187">
        <f xml:space="preserve"> SUMIFS(F_Inputs_BP!O$7:O$108, F_Inputs_BP!$A$7:$A$108, $A156, F_Inputs_BP!$B$7:$B$108, $B156)</f>
        <v>1.8640226106270901</v>
      </c>
    </row>
    <row r="157" spans="1:25" x14ac:dyDescent="0.35">
      <c r="A157" s="142" t="s">
        <v>50</v>
      </c>
      <c r="B157" s="142" t="s">
        <v>35</v>
      </c>
      <c r="C157" s="142" t="s">
        <v>36</v>
      </c>
      <c r="D157" s="142" t="s">
        <v>34</v>
      </c>
      <c r="E157" s="142" t="s">
        <v>17</v>
      </c>
      <c r="F157" s="145" t="s">
        <v>18</v>
      </c>
      <c r="G157" s="145" t="s">
        <v>18</v>
      </c>
      <c r="H157" s="145" t="s">
        <v>18</v>
      </c>
      <c r="I157" s="145" t="s">
        <v>18</v>
      </c>
      <c r="J157" s="145" t="s">
        <v>18</v>
      </c>
      <c r="K157" s="145" t="s">
        <v>18</v>
      </c>
      <c r="L157" s="145" t="s">
        <v>18</v>
      </c>
      <c r="M157" s="145" t="s">
        <v>18</v>
      </c>
      <c r="N157" s="145" t="s">
        <v>18</v>
      </c>
      <c r="O157" s="145" t="s">
        <v>18</v>
      </c>
      <c r="P157" s="145" t="s">
        <v>18</v>
      </c>
      <c r="Q157" s="145" t="s">
        <v>18</v>
      </c>
      <c r="R157" s="187">
        <f xml:space="preserve"> SUMIFS(F_Inputs_BP!H$7:H$108, F_Inputs_BP!$A$7:$A$108, $A157, F_Inputs_BP!$B$7:$B$108, $B157)</f>
        <v>0</v>
      </c>
      <c r="S157" s="187">
        <f xml:space="preserve"> SUMIFS(F_Inputs_BP!I$7:I$108, F_Inputs_BP!$A$7:$A$108, $A157, F_Inputs_BP!$B$7:$B$108, $B157)</f>
        <v>0</v>
      </c>
      <c r="T157" s="187">
        <f xml:space="preserve"> SUMIFS(F_Inputs_BP!J$7:J$108, F_Inputs_BP!$A$7:$A$108, $A157, F_Inputs_BP!$B$7:$B$108, $B157)</f>
        <v>0</v>
      </c>
      <c r="U157" s="187">
        <f xml:space="preserve"> SUMIFS(F_Inputs_BP!K$7:K$108, F_Inputs_BP!$A$7:$A$108, $A157, F_Inputs_BP!$B$7:$B$108, $B157)</f>
        <v>0.40621507560380599</v>
      </c>
      <c r="V157" s="187">
        <f xml:space="preserve"> SUMIFS(F_Inputs_BP!L$7:L$108, F_Inputs_BP!$A$7:$A$108, $A157, F_Inputs_BP!$B$7:$B$108, $B157)</f>
        <v>0.41068102801783751</v>
      </c>
      <c r="W157" s="187">
        <f xml:space="preserve"> SUMIFS(F_Inputs_BP!M$7:M$108, F_Inputs_BP!$A$7:$A$108, $A157, F_Inputs_BP!$B$7:$B$108, $B157)</f>
        <v>0.40984943852449462</v>
      </c>
      <c r="X157" s="187">
        <f xml:space="preserve"> SUMIFS(F_Inputs_BP!N$7:N$108, F_Inputs_BP!$A$7:$A$108, $A157, F_Inputs_BP!$B$7:$B$108, $B157)</f>
        <v>0.41381468054647419</v>
      </c>
      <c r="Y157" s="187">
        <f xml:space="preserve"> SUMIFS(F_Inputs_BP!O$7:O$108, F_Inputs_BP!$A$7:$A$108, $A157, F_Inputs_BP!$B$7:$B$108, $B157)</f>
        <v>0.41393201494067727</v>
      </c>
    </row>
    <row r="158" spans="1:25" x14ac:dyDescent="0.35">
      <c r="A158" s="142" t="s">
        <v>50</v>
      </c>
      <c r="B158" s="142" t="s">
        <v>37</v>
      </c>
      <c r="C158" s="142" t="s">
        <v>38</v>
      </c>
      <c r="D158" s="142" t="s">
        <v>39</v>
      </c>
      <c r="E158" s="142" t="s">
        <v>17</v>
      </c>
      <c r="F158" s="145" t="s">
        <v>18</v>
      </c>
      <c r="G158" s="145" t="s">
        <v>18</v>
      </c>
      <c r="H158" s="145" t="s">
        <v>18</v>
      </c>
      <c r="I158" s="145" t="s">
        <v>18</v>
      </c>
      <c r="J158" s="145" t="s">
        <v>18</v>
      </c>
      <c r="K158" s="145" t="s">
        <v>18</v>
      </c>
      <c r="L158" s="145" t="s">
        <v>18</v>
      </c>
      <c r="M158" s="145" t="s">
        <v>18</v>
      </c>
      <c r="N158" s="145" t="s">
        <v>18</v>
      </c>
      <c r="O158" s="145" t="s">
        <v>18</v>
      </c>
      <c r="P158" s="145" t="s">
        <v>18</v>
      </c>
      <c r="Q158" s="145" t="s">
        <v>18</v>
      </c>
      <c r="R158" s="188">
        <f xml:space="preserve"> SUMIFS(F_Inputs_BP!H$7:H$108, F_Inputs_BP!$A$7:$A$108, $A158, F_Inputs_BP!$B$7:$B$108, $B158)</f>
        <v>33707</v>
      </c>
      <c r="S158" s="188">
        <f xml:space="preserve"> SUMIFS(F_Inputs_BP!I$7:I$108, F_Inputs_BP!$A$7:$A$108, $A158, F_Inputs_BP!$B$7:$B$108, $B158)</f>
        <v>25780.008341889119</v>
      </c>
      <c r="T158" s="188">
        <f xml:space="preserve"> SUMIFS(F_Inputs_BP!J$7:J$108, F_Inputs_BP!$A$7:$A$108, $A158, F_Inputs_BP!$B$7:$B$108, $B158)</f>
        <v>27808</v>
      </c>
      <c r="U158" s="188">
        <f xml:space="preserve"> SUMIFS(F_Inputs_BP!K$7:K$108, F_Inputs_BP!$A$7:$A$108, $A158, F_Inputs_BP!$B$7:$B$108, $B158)</f>
        <v>27808</v>
      </c>
      <c r="V158" s="188">
        <f xml:space="preserve"> SUMIFS(F_Inputs_BP!L$7:L$108, F_Inputs_BP!$A$7:$A$108, $A158, F_Inputs_BP!$B$7:$B$108, $B158)</f>
        <v>27808</v>
      </c>
      <c r="W158" s="188">
        <f xml:space="preserve"> SUMIFS(F_Inputs_BP!M$7:M$108, F_Inputs_BP!$A$7:$A$108, $A158, F_Inputs_BP!$B$7:$B$108, $B158)</f>
        <v>27808</v>
      </c>
      <c r="X158" s="188">
        <f xml:space="preserve"> SUMIFS(F_Inputs_BP!N$7:N$108, F_Inputs_BP!$A$7:$A$108, $A158, F_Inputs_BP!$B$7:$B$108, $B158)</f>
        <v>27808</v>
      </c>
      <c r="Y158" s="188">
        <f xml:space="preserve"> SUMIFS(F_Inputs_BP!O$7:O$108, F_Inputs_BP!$A$7:$A$108, $A158, F_Inputs_BP!$B$7:$B$108, $B158)</f>
        <v>27808</v>
      </c>
    </row>
    <row r="159" spans="1:25" x14ac:dyDescent="0.35">
      <c r="A159" s="142" t="s">
        <v>50</v>
      </c>
      <c r="B159" s="142" t="s">
        <v>40</v>
      </c>
      <c r="C159" s="142" t="s">
        <v>33</v>
      </c>
      <c r="D159" s="142" t="s">
        <v>34</v>
      </c>
      <c r="E159" s="142" t="s">
        <v>17</v>
      </c>
      <c r="F159" s="145" t="s">
        <v>18</v>
      </c>
      <c r="G159" s="145" t="s">
        <v>18</v>
      </c>
      <c r="H159" s="145" t="s">
        <v>18</v>
      </c>
      <c r="I159" s="145" t="s">
        <v>18</v>
      </c>
      <c r="J159" s="145" t="s">
        <v>18</v>
      </c>
      <c r="K159" s="145" t="s">
        <v>18</v>
      </c>
      <c r="L159" s="145" t="s">
        <v>18</v>
      </c>
      <c r="M159" s="145" t="s">
        <v>18</v>
      </c>
      <c r="N159" s="145" t="s">
        <v>18</v>
      </c>
      <c r="O159" s="145" t="s">
        <v>18</v>
      </c>
      <c r="P159" s="145" t="s">
        <v>18</v>
      </c>
      <c r="Q159" s="145" t="s">
        <v>18</v>
      </c>
      <c r="R159" s="187">
        <f xml:space="preserve"> SUMIFS(F_Inputs_BP!H$7:H$108, F_Inputs_BP!$A$7:$A$108, $A159, F_Inputs_BP!$B$7:$B$108, $B159)</f>
        <v>0.64722937905458588</v>
      </c>
      <c r="S159" s="187">
        <f xml:space="preserve"> SUMIFS(F_Inputs_BP!I$7:I$108, F_Inputs_BP!$A$7:$A$108, $A159, F_Inputs_BP!$B$7:$B$108, $B159)</f>
        <v>0.50096218745529963</v>
      </c>
      <c r="T159" s="187">
        <f xml:space="preserve"> SUMIFS(F_Inputs_BP!J$7:J$108, F_Inputs_BP!$A$7:$A$108, $A159, F_Inputs_BP!$B$7:$B$108, $B159)</f>
        <v>0.36829385253366581</v>
      </c>
      <c r="U159" s="187">
        <f xml:space="preserve"> SUMIFS(F_Inputs_BP!K$7:K$108, F_Inputs_BP!$A$7:$A$108, $A159, F_Inputs_BP!$B$7:$B$108, $B159)</f>
        <v>0.36827090730579631</v>
      </c>
      <c r="V159" s="187">
        <f xml:space="preserve"> SUMIFS(F_Inputs_BP!L$7:L$108, F_Inputs_BP!$A$7:$A$108, $A159, F_Inputs_BP!$B$7:$B$108, $B159)</f>
        <v>0.36827090730579631</v>
      </c>
      <c r="W159" s="187">
        <f xml:space="preserve"> SUMIFS(F_Inputs_BP!M$7:M$108, F_Inputs_BP!$A$7:$A$108, $A159, F_Inputs_BP!$B$7:$B$108, $B159)</f>
        <v>0.36827090730579631</v>
      </c>
      <c r="X159" s="187">
        <f xml:space="preserve"> SUMIFS(F_Inputs_BP!N$7:N$108, F_Inputs_BP!$A$7:$A$108, $A159, F_Inputs_BP!$B$7:$B$108, $B159)</f>
        <v>0.36827090730579631</v>
      </c>
      <c r="Y159" s="187">
        <f xml:space="preserve"> SUMIFS(F_Inputs_BP!O$7:O$108, F_Inputs_BP!$A$7:$A$108, $A159, F_Inputs_BP!$B$7:$B$108, $B159)</f>
        <v>0.36827090730579631</v>
      </c>
    </row>
    <row r="160" spans="1:25" x14ac:dyDescent="0.35">
      <c r="A160" s="142" t="s">
        <v>50</v>
      </c>
      <c r="B160" s="142" t="s">
        <v>41</v>
      </c>
      <c r="C160" s="142" t="s">
        <v>36</v>
      </c>
      <c r="D160" s="142" t="s">
        <v>34</v>
      </c>
      <c r="E160" s="142" t="s">
        <v>17</v>
      </c>
      <c r="F160" s="145" t="s">
        <v>18</v>
      </c>
      <c r="G160" s="145" t="s">
        <v>18</v>
      </c>
      <c r="H160" s="145" t="s">
        <v>18</v>
      </c>
      <c r="I160" s="145" t="s">
        <v>18</v>
      </c>
      <c r="J160" s="145" t="s">
        <v>18</v>
      </c>
      <c r="K160" s="145" t="s">
        <v>18</v>
      </c>
      <c r="L160" s="145" t="s">
        <v>18</v>
      </c>
      <c r="M160" s="145" t="s">
        <v>18</v>
      </c>
      <c r="N160" s="145" t="s">
        <v>18</v>
      </c>
      <c r="O160" s="145" t="s">
        <v>18</v>
      </c>
      <c r="P160" s="145" t="s">
        <v>18</v>
      </c>
      <c r="Q160" s="145" t="s">
        <v>18</v>
      </c>
      <c r="R160" s="187">
        <f xml:space="preserve"> SUMIFS(F_Inputs_BP!H$7:H$108, F_Inputs_BP!$A$7:$A$108, $A160, F_Inputs_BP!$B$7:$B$108, $B160)</f>
        <v>0</v>
      </c>
      <c r="S160" s="187">
        <f xml:space="preserve"> SUMIFS(F_Inputs_BP!I$7:I$108, F_Inputs_BP!$A$7:$A$108, $A160, F_Inputs_BP!$B$7:$B$108, $B160)</f>
        <v>0</v>
      </c>
      <c r="T160" s="187">
        <f xml:space="preserve"> SUMIFS(F_Inputs_BP!J$7:J$108, F_Inputs_BP!$A$7:$A$108, $A160, F_Inputs_BP!$B$7:$B$108, $B160)</f>
        <v>0</v>
      </c>
      <c r="U160" s="187">
        <f xml:space="preserve"> SUMIFS(F_Inputs_BP!K$7:K$108, F_Inputs_BP!$A$7:$A$108, $A160, F_Inputs_BP!$B$7:$B$108, $B160)</f>
        <v>4.1708182918053713E-2</v>
      </c>
      <c r="V160" s="187">
        <f xml:space="preserve"> SUMIFS(F_Inputs_BP!L$7:L$108, F_Inputs_BP!$A$7:$A$108, $A160, F_Inputs_BP!$B$7:$B$108, $B160)</f>
        <v>4.2160256588246632E-2</v>
      </c>
      <c r="W160" s="187">
        <f xml:space="preserve"> SUMIFS(F_Inputs_BP!M$7:M$108, F_Inputs_BP!$A$7:$A$108, $A160, F_Inputs_BP!$B$7:$B$108, $B160)</f>
        <v>4.2058886769113388E-2</v>
      </c>
      <c r="X160" s="187">
        <f xml:space="preserve"> SUMIFS(F_Inputs_BP!N$7:N$108, F_Inputs_BP!$A$7:$A$108, $A160, F_Inputs_BP!$B$7:$B$108, $B160)</f>
        <v>4.2484226429666379E-2</v>
      </c>
      <c r="Y160" s="187">
        <f xml:space="preserve"> SUMIFS(F_Inputs_BP!O$7:O$108, F_Inputs_BP!$A$7:$A$108, $A160, F_Inputs_BP!$B$7:$B$108, $B160)</f>
        <v>4.2491635905242187E-2</v>
      </c>
    </row>
    <row r="161" spans="1:25" x14ac:dyDescent="0.35">
      <c r="A161" s="142" t="s">
        <v>50</v>
      </c>
      <c r="B161" s="142" t="s">
        <v>42</v>
      </c>
      <c r="C161" s="142" t="s">
        <v>38</v>
      </c>
      <c r="D161" s="142" t="s">
        <v>39</v>
      </c>
      <c r="E161" s="142" t="s">
        <v>17</v>
      </c>
      <c r="F161" s="145" t="s">
        <v>18</v>
      </c>
      <c r="G161" s="145" t="s">
        <v>18</v>
      </c>
      <c r="H161" s="145" t="s">
        <v>18</v>
      </c>
      <c r="I161" s="145" t="s">
        <v>18</v>
      </c>
      <c r="J161" s="145" t="s">
        <v>18</v>
      </c>
      <c r="K161" s="145" t="s">
        <v>18</v>
      </c>
      <c r="L161" s="145" t="s">
        <v>18</v>
      </c>
      <c r="M161" s="145" t="s">
        <v>18</v>
      </c>
      <c r="N161" s="145" t="s">
        <v>18</v>
      </c>
      <c r="O161" s="145" t="s">
        <v>18</v>
      </c>
      <c r="P161" s="145" t="s">
        <v>18</v>
      </c>
      <c r="Q161" s="145" t="s">
        <v>18</v>
      </c>
      <c r="R161" s="188">
        <f xml:space="preserve"> SUMIFS(F_Inputs_BP!H$7:H$108, F_Inputs_BP!$A$7:$A$108, $A161, F_Inputs_BP!$B$7:$B$108, $B161)</f>
        <v>8236</v>
      </c>
      <c r="S161" s="188">
        <f xml:space="preserve"> SUMIFS(F_Inputs_BP!I$7:I$108, F_Inputs_BP!$A$7:$A$108, $A161, F_Inputs_BP!$B$7:$B$108, $B161)</f>
        <v>5660.9904389117037</v>
      </c>
      <c r="T161" s="188">
        <f xml:space="preserve"> SUMIFS(F_Inputs_BP!J$7:J$108, F_Inputs_BP!$A$7:$A$108, $A161, F_Inputs_BP!$B$7:$B$108, $B161)</f>
        <v>5051</v>
      </c>
      <c r="U161" s="188">
        <f xml:space="preserve"> SUMIFS(F_Inputs_BP!K$7:K$108, F_Inputs_BP!$A$7:$A$108, $A161, F_Inputs_BP!$B$7:$B$108, $B161)</f>
        <v>5088.1029506602217</v>
      </c>
      <c r="V161" s="188">
        <f xml:space="preserve"> SUMIFS(F_Inputs_BP!L$7:L$108, F_Inputs_BP!$A$7:$A$108, $A161, F_Inputs_BP!$B$7:$B$108, $B161)</f>
        <v>5088.1029506602217</v>
      </c>
      <c r="W161" s="188">
        <f xml:space="preserve"> SUMIFS(F_Inputs_BP!M$7:M$108, F_Inputs_BP!$A$7:$A$108, $A161, F_Inputs_BP!$B$7:$B$108, $B161)</f>
        <v>5088.1029506602217</v>
      </c>
      <c r="X161" s="188">
        <f xml:space="preserve"> SUMIFS(F_Inputs_BP!N$7:N$108, F_Inputs_BP!$A$7:$A$108, $A161, F_Inputs_BP!$B$7:$B$108, $B161)</f>
        <v>5088.1029506602217</v>
      </c>
      <c r="Y161" s="188">
        <f xml:space="preserve"> SUMIFS(F_Inputs_BP!O$7:O$108, F_Inputs_BP!$A$7:$A$108, $A161, F_Inputs_BP!$B$7:$B$108, $B161)</f>
        <v>5088.1029506602217</v>
      </c>
    </row>
    <row r="162" spans="1:25" x14ac:dyDescent="0.35">
      <c r="A162" s="142" t="s">
        <v>51</v>
      </c>
      <c r="B162" s="142" t="s">
        <v>32</v>
      </c>
      <c r="C162" s="142" t="s">
        <v>33</v>
      </c>
      <c r="D162" s="142" t="s">
        <v>34</v>
      </c>
      <c r="E162" s="142" t="s">
        <v>17</v>
      </c>
      <c r="F162" s="145" t="s">
        <v>18</v>
      </c>
      <c r="G162" s="145" t="s">
        <v>18</v>
      </c>
      <c r="H162" s="145" t="s">
        <v>18</v>
      </c>
      <c r="I162" s="145" t="s">
        <v>18</v>
      </c>
      <c r="J162" s="145" t="s">
        <v>18</v>
      </c>
      <c r="K162" s="145" t="s">
        <v>18</v>
      </c>
      <c r="L162" s="145" t="s">
        <v>18</v>
      </c>
      <c r="M162" s="145" t="s">
        <v>18</v>
      </c>
      <c r="N162" s="145" t="s">
        <v>18</v>
      </c>
      <c r="O162" s="145" t="s">
        <v>18</v>
      </c>
      <c r="P162" s="145" t="s">
        <v>18</v>
      </c>
      <c r="Q162" s="145" t="s">
        <v>18</v>
      </c>
      <c r="R162" s="187">
        <f xml:space="preserve"> SUMIFS(F_Inputs_BP!H$7:H$108, F_Inputs_BP!$A$7:$A$108, $A162, F_Inputs_BP!$B$7:$B$108, $B162)</f>
        <v>0.153</v>
      </c>
      <c r="S162" s="187">
        <f xml:space="preserve"> SUMIFS(F_Inputs_BP!I$7:I$108, F_Inputs_BP!$A$7:$A$108, $A162, F_Inputs_BP!$B$7:$B$108, $B162)</f>
        <v>0.11653587012320329</v>
      </c>
      <c r="T162" s="187">
        <f xml:space="preserve"> SUMIFS(F_Inputs_BP!J$7:J$108, F_Inputs_BP!$A$7:$A$108, $A162, F_Inputs_BP!$B$7:$B$108, $B162)</f>
        <v>0.113737443673724</v>
      </c>
      <c r="U162" s="187">
        <f xml:space="preserve"> SUMIFS(F_Inputs_BP!K$7:K$108, F_Inputs_BP!$A$7:$A$108, $A162, F_Inputs_BP!$B$7:$B$108, $B162)</f>
        <v>9.1269360515188233E-2</v>
      </c>
      <c r="V162" s="187">
        <f xml:space="preserve"> SUMIFS(F_Inputs_BP!L$7:L$108, F_Inputs_BP!$A$7:$A$108, $A162, F_Inputs_BP!$B$7:$B$108, $B162)</f>
        <v>9.6837609957494603E-2</v>
      </c>
      <c r="W162" s="187">
        <f xml:space="preserve"> SUMIFS(F_Inputs_BP!M$7:M$108, F_Inputs_BP!$A$7:$A$108, $A162, F_Inputs_BP!$B$7:$B$108, $B162)</f>
        <v>9.6132890631344448E-2</v>
      </c>
      <c r="X162" s="187">
        <f xml:space="preserve"> SUMIFS(F_Inputs_BP!N$7:N$108, F_Inputs_BP!$A$7:$A$108, $A162, F_Inputs_BP!$B$7:$B$108, $B162)</f>
        <v>9.5660761539398328E-2</v>
      </c>
      <c r="Y162" s="187">
        <f xml:space="preserve"> SUMIFS(F_Inputs_BP!O$7:O$108, F_Inputs_BP!$A$7:$A$108, $A162, F_Inputs_BP!$B$7:$B$108, $B162)</f>
        <v>0.100264359925965</v>
      </c>
    </row>
    <row r="163" spans="1:25" x14ac:dyDescent="0.35">
      <c r="A163" s="142" t="s">
        <v>51</v>
      </c>
      <c r="B163" s="142" t="s">
        <v>35</v>
      </c>
      <c r="C163" s="142" t="s">
        <v>36</v>
      </c>
      <c r="D163" s="142" t="s">
        <v>34</v>
      </c>
      <c r="E163" s="142" t="s">
        <v>17</v>
      </c>
      <c r="F163" s="145" t="s">
        <v>18</v>
      </c>
      <c r="G163" s="145" t="s">
        <v>18</v>
      </c>
      <c r="H163" s="145" t="s">
        <v>18</v>
      </c>
      <c r="I163" s="145" t="s">
        <v>18</v>
      </c>
      <c r="J163" s="145" t="s">
        <v>18</v>
      </c>
      <c r="K163" s="145" t="s">
        <v>18</v>
      </c>
      <c r="L163" s="145" t="s">
        <v>18</v>
      </c>
      <c r="M163" s="145" t="s">
        <v>18</v>
      </c>
      <c r="N163" s="145" t="s">
        <v>18</v>
      </c>
      <c r="O163" s="145" t="s">
        <v>18</v>
      </c>
      <c r="P163" s="145" t="s">
        <v>18</v>
      </c>
      <c r="Q163" s="145" t="s">
        <v>18</v>
      </c>
      <c r="R163" s="187">
        <f xml:space="preserve"> SUMIFS(F_Inputs_BP!H$7:H$108, F_Inputs_BP!$A$7:$A$108, $A163, F_Inputs_BP!$B$7:$B$108, $B163)</f>
        <v>0</v>
      </c>
      <c r="S163" s="187">
        <f xml:space="preserve"> SUMIFS(F_Inputs_BP!I$7:I$108, F_Inputs_BP!$A$7:$A$108, $A163, F_Inputs_BP!$B$7:$B$108, $B163)</f>
        <v>0</v>
      </c>
      <c r="T163" s="187">
        <f xml:space="preserve"> SUMIFS(F_Inputs_BP!J$7:J$108, F_Inputs_BP!$A$7:$A$108, $A163, F_Inputs_BP!$B$7:$B$108, $B163)</f>
        <v>0</v>
      </c>
      <c r="U163" s="187">
        <f xml:space="preserve"> SUMIFS(F_Inputs_BP!K$7:K$108, F_Inputs_BP!$A$7:$A$108, $A163, F_Inputs_BP!$B$7:$B$108, $B163)</f>
        <v>0</v>
      </c>
      <c r="V163" s="187">
        <f xml:space="preserve"> SUMIFS(F_Inputs_BP!L$7:L$108, F_Inputs_BP!$A$7:$A$108, $A163, F_Inputs_BP!$B$7:$B$108, $B163)</f>
        <v>0</v>
      </c>
      <c r="W163" s="187">
        <f xml:space="preserve"> SUMIFS(F_Inputs_BP!M$7:M$108, F_Inputs_BP!$A$7:$A$108, $A163, F_Inputs_BP!$B$7:$B$108, $B163)</f>
        <v>0</v>
      </c>
      <c r="X163" s="187">
        <f xml:space="preserve"> SUMIFS(F_Inputs_BP!N$7:N$108, F_Inputs_BP!$A$7:$A$108, $A163, F_Inputs_BP!$B$7:$B$108, $B163)</f>
        <v>0</v>
      </c>
      <c r="Y163" s="187">
        <f xml:space="preserve"> SUMIFS(F_Inputs_BP!O$7:O$108, F_Inputs_BP!$A$7:$A$108, $A163, F_Inputs_BP!$B$7:$B$108, $B163)</f>
        <v>0</v>
      </c>
    </row>
    <row r="164" spans="1:25" x14ac:dyDescent="0.35">
      <c r="A164" s="142" t="s">
        <v>51</v>
      </c>
      <c r="B164" s="142" t="s">
        <v>37</v>
      </c>
      <c r="C164" s="142" t="s">
        <v>38</v>
      </c>
      <c r="D164" s="142" t="s">
        <v>39</v>
      </c>
      <c r="E164" s="142" t="s">
        <v>17</v>
      </c>
      <c r="F164" s="145" t="s">
        <v>18</v>
      </c>
      <c r="G164" s="145" t="s">
        <v>18</v>
      </c>
      <c r="H164" s="145" t="s">
        <v>18</v>
      </c>
      <c r="I164" s="145" t="s">
        <v>18</v>
      </c>
      <c r="J164" s="145" t="s">
        <v>18</v>
      </c>
      <c r="K164" s="145" t="s">
        <v>18</v>
      </c>
      <c r="L164" s="145" t="s">
        <v>18</v>
      </c>
      <c r="M164" s="145" t="s">
        <v>18</v>
      </c>
      <c r="N164" s="145" t="s">
        <v>18</v>
      </c>
      <c r="O164" s="145" t="s">
        <v>18</v>
      </c>
      <c r="P164" s="145" t="s">
        <v>18</v>
      </c>
      <c r="Q164" s="145" t="s">
        <v>18</v>
      </c>
      <c r="R164" s="188">
        <f xml:space="preserve"> SUMIFS(F_Inputs_BP!H$7:H$108, F_Inputs_BP!$A$7:$A$108, $A164, F_Inputs_BP!$B$7:$B$108, $B164)</f>
        <v>4193</v>
      </c>
      <c r="S164" s="188">
        <f xml:space="preserve"> SUMIFS(F_Inputs_BP!I$7:I$108, F_Inputs_BP!$A$7:$A$108, $A164, F_Inputs_BP!$B$7:$B$108, $B164)</f>
        <v>2468</v>
      </c>
      <c r="T164" s="188">
        <f xml:space="preserve"> SUMIFS(F_Inputs_BP!J$7:J$108, F_Inputs_BP!$A$7:$A$108, $A164, F_Inputs_BP!$B$7:$B$108, $B164)</f>
        <v>3500</v>
      </c>
      <c r="U164" s="188">
        <f xml:space="preserve"> SUMIFS(F_Inputs_BP!K$7:K$108, F_Inputs_BP!$A$7:$A$108, $A164, F_Inputs_BP!$B$7:$B$108, $B164)</f>
        <v>3500</v>
      </c>
      <c r="V164" s="188">
        <f xml:space="preserve"> SUMIFS(F_Inputs_BP!L$7:L$108, F_Inputs_BP!$A$7:$A$108, $A164, F_Inputs_BP!$B$7:$B$108, $B164)</f>
        <v>3500</v>
      </c>
      <c r="W164" s="188">
        <f xml:space="preserve"> SUMIFS(F_Inputs_BP!M$7:M$108, F_Inputs_BP!$A$7:$A$108, $A164, F_Inputs_BP!$B$7:$B$108, $B164)</f>
        <v>3500</v>
      </c>
      <c r="X164" s="188">
        <f xml:space="preserve"> SUMIFS(F_Inputs_BP!N$7:N$108, F_Inputs_BP!$A$7:$A$108, $A164, F_Inputs_BP!$B$7:$B$108, $B164)</f>
        <v>3500</v>
      </c>
      <c r="Y164" s="188">
        <f xml:space="preserve"> SUMIFS(F_Inputs_BP!O$7:O$108, F_Inputs_BP!$A$7:$A$108, $A164, F_Inputs_BP!$B$7:$B$108, $B164)</f>
        <v>3500</v>
      </c>
    </row>
    <row r="165" spans="1:25" x14ac:dyDescent="0.35">
      <c r="A165" s="142" t="s">
        <v>51</v>
      </c>
      <c r="B165" s="142" t="s">
        <v>40</v>
      </c>
      <c r="C165" s="142" t="s">
        <v>33</v>
      </c>
      <c r="D165" s="142" t="s">
        <v>34</v>
      </c>
      <c r="E165" s="142" t="s">
        <v>17</v>
      </c>
      <c r="F165" s="145" t="s">
        <v>18</v>
      </c>
      <c r="G165" s="145" t="s">
        <v>18</v>
      </c>
      <c r="H165" s="145" t="s">
        <v>18</v>
      </c>
      <c r="I165" s="145" t="s">
        <v>18</v>
      </c>
      <c r="J165" s="145" t="s">
        <v>18</v>
      </c>
      <c r="K165" s="145" t="s">
        <v>18</v>
      </c>
      <c r="L165" s="145" t="s">
        <v>18</v>
      </c>
      <c r="M165" s="145" t="s">
        <v>18</v>
      </c>
      <c r="N165" s="145" t="s">
        <v>18</v>
      </c>
      <c r="O165" s="145" t="s">
        <v>18</v>
      </c>
      <c r="P165" s="145" t="s">
        <v>18</v>
      </c>
      <c r="Q165" s="145" t="s">
        <v>18</v>
      </c>
      <c r="R165" s="187">
        <f xml:space="preserve"> SUMIFS(F_Inputs_BP!H$7:H$108, F_Inputs_BP!$A$7:$A$108, $A165, F_Inputs_BP!$B$7:$B$108, $B165)</f>
        <v>2.5999999999999999E-2</v>
      </c>
      <c r="S165" s="187">
        <f xml:space="preserve"> SUMIFS(F_Inputs_BP!I$7:I$108, F_Inputs_BP!$A$7:$A$108, $A165, F_Inputs_BP!$B$7:$B$108, $B165)</f>
        <v>1.9896368069815189E-2</v>
      </c>
      <c r="T165" s="187">
        <f xml:space="preserve"> SUMIFS(F_Inputs_BP!J$7:J$108, F_Inputs_BP!$A$7:$A$108, $A165, F_Inputs_BP!$B$7:$B$108, $B165)</f>
        <v>0</v>
      </c>
      <c r="U165" s="187">
        <f xml:space="preserve"> SUMIFS(F_Inputs_BP!K$7:K$108, F_Inputs_BP!$A$7:$A$108, $A165, F_Inputs_BP!$B$7:$B$108, $B165)</f>
        <v>0</v>
      </c>
      <c r="V165" s="187">
        <f xml:space="preserve"> SUMIFS(F_Inputs_BP!L$7:L$108, F_Inputs_BP!$A$7:$A$108, $A165, F_Inputs_BP!$B$7:$B$108, $B165)</f>
        <v>0</v>
      </c>
      <c r="W165" s="187">
        <f xml:space="preserve"> SUMIFS(F_Inputs_BP!M$7:M$108, F_Inputs_BP!$A$7:$A$108, $A165, F_Inputs_BP!$B$7:$B$108, $B165)</f>
        <v>0</v>
      </c>
      <c r="X165" s="187">
        <f xml:space="preserve"> SUMIFS(F_Inputs_BP!N$7:N$108, F_Inputs_BP!$A$7:$A$108, $A165, F_Inputs_BP!$B$7:$B$108, $B165)</f>
        <v>0</v>
      </c>
      <c r="Y165" s="187">
        <f xml:space="preserve"> SUMIFS(F_Inputs_BP!O$7:O$108, F_Inputs_BP!$A$7:$A$108, $A165, F_Inputs_BP!$B$7:$B$108, $B165)</f>
        <v>0</v>
      </c>
    </row>
    <row r="166" spans="1:25" x14ac:dyDescent="0.35">
      <c r="A166" s="142" t="s">
        <v>51</v>
      </c>
      <c r="B166" s="142" t="s">
        <v>41</v>
      </c>
      <c r="C166" s="142" t="s">
        <v>36</v>
      </c>
      <c r="D166" s="142" t="s">
        <v>34</v>
      </c>
      <c r="E166" s="142" t="s">
        <v>17</v>
      </c>
      <c r="F166" s="145" t="s">
        <v>18</v>
      </c>
      <c r="G166" s="145" t="s">
        <v>18</v>
      </c>
      <c r="H166" s="145" t="s">
        <v>18</v>
      </c>
      <c r="I166" s="145" t="s">
        <v>18</v>
      </c>
      <c r="J166" s="145" t="s">
        <v>18</v>
      </c>
      <c r="K166" s="145" t="s">
        <v>18</v>
      </c>
      <c r="L166" s="145" t="s">
        <v>18</v>
      </c>
      <c r="M166" s="145" t="s">
        <v>18</v>
      </c>
      <c r="N166" s="145" t="s">
        <v>18</v>
      </c>
      <c r="O166" s="145" t="s">
        <v>18</v>
      </c>
      <c r="P166" s="145" t="s">
        <v>18</v>
      </c>
      <c r="Q166" s="145" t="s">
        <v>18</v>
      </c>
      <c r="R166" s="187">
        <f xml:space="preserve"> SUMIFS(F_Inputs_BP!H$7:H$108, F_Inputs_BP!$A$7:$A$108, $A166, F_Inputs_BP!$B$7:$B$108, $B166)</f>
        <v>0</v>
      </c>
      <c r="S166" s="187">
        <f xml:space="preserve"> SUMIFS(F_Inputs_BP!I$7:I$108, F_Inputs_BP!$A$7:$A$108, $A166, F_Inputs_BP!$B$7:$B$108, $B166)</f>
        <v>0</v>
      </c>
      <c r="T166" s="187">
        <f xml:space="preserve"> SUMIFS(F_Inputs_BP!J$7:J$108, F_Inputs_BP!$A$7:$A$108, $A166, F_Inputs_BP!$B$7:$B$108, $B166)</f>
        <v>0</v>
      </c>
      <c r="U166" s="187">
        <f xml:space="preserve"> SUMIFS(F_Inputs_BP!K$7:K$108, F_Inputs_BP!$A$7:$A$108, $A166, F_Inputs_BP!$B$7:$B$108, $B166)</f>
        <v>0</v>
      </c>
      <c r="V166" s="187">
        <f xml:space="preserve"> SUMIFS(F_Inputs_BP!L$7:L$108, F_Inputs_BP!$A$7:$A$108, $A166, F_Inputs_BP!$B$7:$B$108, $B166)</f>
        <v>0</v>
      </c>
      <c r="W166" s="187">
        <f xml:space="preserve"> SUMIFS(F_Inputs_BP!M$7:M$108, F_Inputs_BP!$A$7:$A$108, $A166, F_Inputs_BP!$B$7:$B$108, $B166)</f>
        <v>0</v>
      </c>
      <c r="X166" s="187">
        <f xml:space="preserve"> SUMIFS(F_Inputs_BP!N$7:N$108, F_Inputs_BP!$A$7:$A$108, $A166, F_Inputs_BP!$B$7:$B$108, $B166)</f>
        <v>0</v>
      </c>
      <c r="Y166" s="187">
        <f xml:space="preserve"> SUMIFS(F_Inputs_BP!O$7:O$108, F_Inputs_BP!$A$7:$A$108, $A166, F_Inputs_BP!$B$7:$B$108, $B166)</f>
        <v>0</v>
      </c>
    </row>
    <row r="167" spans="1:25" x14ac:dyDescent="0.35">
      <c r="A167" s="142" t="s">
        <v>51</v>
      </c>
      <c r="B167" s="142" t="s">
        <v>42</v>
      </c>
      <c r="C167" s="142" t="s">
        <v>38</v>
      </c>
      <c r="D167" s="142" t="s">
        <v>39</v>
      </c>
      <c r="E167" s="142" t="s">
        <v>17</v>
      </c>
      <c r="F167" s="145" t="s">
        <v>18</v>
      </c>
      <c r="G167" s="145" t="s">
        <v>18</v>
      </c>
      <c r="H167" s="145" t="s">
        <v>18</v>
      </c>
      <c r="I167" s="145" t="s">
        <v>18</v>
      </c>
      <c r="J167" s="145" t="s">
        <v>18</v>
      </c>
      <c r="K167" s="145" t="s">
        <v>18</v>
      </c>
      <c r="L167" s="145" t="s">
        <v>18</v>
      </c>
      <c r="M167" s="145" t="s">
        <v>18</v>
      </c>
      <c r="N167" s="145" t="s">
        <v>18</v>
      </c>
      <c r="O167" s="145" t="s">
        <v>18</v>
      </c>
      <c r="P167" s="145" t="s">
        <v>18</v>
      </c>
      <c r="Q167" s="145" t="s">
        <v>18</v>
      </c>
      <c r="R167" s="188">
        <f xml:space="preserve"> SUMIFS(F_Inputs_BP!H$7:H$108, F_Inputs_BP!$A$7:$A$108, $A167, F_Inputs_BP!$B$7:$B$108, $B167)</f>
        <v>390</v>
      </c>
      <c r="S167" s="188">
        <f xml:space="preserve"> SUMIFS(F_Inputs_BP!I$7:I$108, F_Inputs_BP!$A$7:$A$108, $A167, F_Inputs_BP!$B$7:$B$108, $B167)</f>
        <v>283</v>
      </c>
      <c r="T167" s="188">
        <f xml:space="preserve"> SUMIFS(F_Inputs_BP!J$7:J$108, F_Inputs_BP!$A$7:$A$108, $A167, F_Inputs_BP!$B$7:$B$108, $B167)</f>
        <v>350</v>
      </c>
      <c r="U167" s="188">
        <f xml:space="preserve"> SUMIFS(F_Inputs_BP!K$7:K$108, F_Inputs_BP!$A$7:$A$108, $A167, F_Inputs_BP!$B$7:$B$108, $B167)</f>
        <v>350</v>
      </c>
      <c r="V167" s="188">
        <f xml:space="preserve"> SUMIFS(F_Inputs_BP!L$7:L$108, F_Inputs_BP!$A$7:$A$108, $A167, F_Inputs_BP!$B$7:$B$108, $B167)</f>
        <v>350</v>
      </c>
      <c r="W167" s="188">
        <f xml:space="preserve"> SUMIFS(F_Inputs_BP!M$7:M$108, F_Inputs_BP!$A$7:$A$108, $A167, F_Inputs_BP!$B$7:$B$108, $B167)</f>
        <v>350</v>
      </c>
      <c r="X167" s="188">
        <f xml:space="preserve"> SUMIFS(F_Inputs_BP!N$7:N$108, F_Inputs_BP!$A$7:$A$108, $A167, F_Inputs_BP!$B$7:$B$108, $B167)</f>
        <v>350</v>
      </c>
      <c r="Y167" s="188">
        <f xml:space="preserve"> SUMIFS(F_Inputs_BP!O$7:O$108, F_Inputs_BP!$A$7:$A$108, $A167, F_Inputs_BP!$B$7:$B$108, $B167)</f>
        <v>350</v>
      </c>
    </row>
    <row r="168" spans="1:25" x14ac:dyDescent="0.35">
      <c r="A168" s="142" t="s">
        <v>52</v>
      </c>
      <c r="B168" s="142" t="s">
        <v>32</v>
      </c>
      <c r="C168" s="142" t="s">
        <v>33</v>
      </c>
      <c r="D168" s="142" t="s">
        <v>34</v>
      </c>
      <c r="E168" s="142" t="s">
        <v>17</v>
      </c>
      <c r="F168" s="145" t="s">
        <v>18</v>
      </c>
      <c r="G168" s="145" t="s">
        <v>18</v>
      </c>
      <c r="H168" s="145" t="s">
        <v>18</v>
      </c>
      <c r="I168" s="145" t="s">
        <v>18</v>
      </c>
      <c r="J168" s="145" t="s">
        <v>18</v>
      </c>
      <c r="K168" s="145" t="s">
        <v>18</v>
      </c>
      <c r="L168" s="145" t="s">
        <v>18</v>
      </c>
      <c r="M168" s="145" t="s">
        <v>18</v>
      </c>
      <c r="N168" s="145" t="s">
        <v>18</v>
      </c>
      <c r="O168" s="145" t="s">
        <v>18</v>
      </c>
      <c r="P168" s="145" t="s">
        <v>18</v>
      </c>
      <c r="Q168" s="145" t="s">
        <v>18</v>
      </c>
      <c r="R168" s="187">
        <f xml:space="preserve"> SUMIFS(F_Inputs_BP!H$7:H$108, F_Inputs_BP!$A$7:$A$108, $A168, F_Inputs_BP!$B$7:$B$108, $B168)</f>
        <v>3.706</v>
      </c>
      <c r="S168" s="187">
        <f xml:space="preserve"> SUMIFS(F_Inputs_BP!I$7:I$108, F_Inputs_BP!$A$7:$A$108, $A168, F_Inputs_BP!$B$7:$B$108, $B168)</f>
        <v>3.0313478434561851</v>
      </c>
      <c r="T168" s="187">
        <f xml:space="preserve"> SUMIFS(F_Inputs_BP!J$7:J$108, F_Inputs_BP!$A$7:$A$108, $A168, F_Inputs_BP!$B$7:$B$108, $B168)</f>
        <v>3.395046778847516</v>
      </c>
      <c r="U168" s="187">
        <f xml:space="preserve"> SUMIFS(F_Inputs_BP!K$7:K$108, F_Inputs_BP!$A$7:$A$108, $A168, F_Inputs_BP!$B$7:$B$108, $B168)</f>
        <v>4.0256264411990781</v>
      </c>
      <c r="V168" s="187">
        <f xml:space="preserve"> SUMIFS(F_Inputs_BP!L$7:L$108, F_Inputs_BP!$A$7:$A$108, $A168, F_Inputs_BP!$B$7:$B$108, $B168)</f>
        <v>4.0256264411990781</v>
      </c>
      <c r="W168" s="187">
        <f xml:space="preserve"> SUMIFS(F_Inputs_BP!M$7:M$108, F_Inputs_BP!$A$7:$A$108, $A168, F_Inputs_BP!$B$7:$B$108, $B168)</f>
        <v>4.0256264411990781</v>
      </c>
      <c r="X168" s="187">
        <f xml:space="preserve"> SUMIFS(F_Inputs_BP!N$7:N$108, F_Inputs_BP!$A$7:$A$108, $A168, F_Inputs_BP!$B$7:$B$108, $B168)</f>
        <v>4.0256264411990781</v>
      </c>
      <c r="Y168" s="187">
        <f xml:space="preserve"> SUMIFS(F_Inputs_BP!O$7:O$108, F_Inputs_BP!$A$7:$A$108, $A168, F_Inputs_BP!$B$7:$B$108, $B168)</f>
        <v>4.0256264411990781</v>
      </c>
    </row>
    <row r="169" spans="1:25" x14ac:dyDescent="0.35">
      <c r="A169" s="142" t="s">
        <v>52</v>
      </c>
      <c r="B169" s="142" t="s">
        <v>35</v>
      </c>
      <c r="C169" s="142" t="s">
        <v>36</v>
      </c>
      <c r="D169" s="142" t="s">
        <v>34</v>
      </c>
      <c r="E169" s="142" t="s">
        <v>17</v>
      </c>
      <c r="F169" s="145" t="s">
        <v>18</v>
      </c>
      <c r="G169" s="145" t="s">
        <v>18</v>
      </c>
      <c r="H169" s="145" t="s">
        <v>18</v>
      </c>
      <c r="I169" s="145" t="s">
        <v>18</v>
      </c>
      <c r="J169" s="145" t="s">
        <v>18</v>
      </c>
      <c r="K169" s="145" t="s">
        <v>18</v>
      </c>
      <c r="L169" s="145" t="s">
        <v>18</v>
      </c>
      <c r="M169" s="145" t="s">
        <v>18</v>
      </c>
      <c r="N169" s="145" t="s">
        <v>18</v>
      </c>
      <c r="O169" s="145" t="s">
        <v>18</v>
      </c>
      <c r="P169" s="145" t="s">
        <v>18</v>
      </c>
      <c r="Q169" s="145" t="s">
        <v>18</v>
      </c>
      <c r="R169" s="187">
        <f xml:space="preserve"> SUMIFS(F_Inputs_BP!H$7:H$108, F_Inputs_BP!$A$7:$A$108, $A169, F_Inputs_BP!$B$7:$B$108, $B169)</f>
        <v>0</v>
      </c>
      <c r="S169" s="187">
        <f xml:space="preserve"> SUMIFS(F_Inputs_BP!I$7:I$108, F_Inputs_BP!$A$7:$A$108, $A169, F_Inputs_BP!$B$7:$B$108, $B169)</f>
        <v>0</v>
      </c>
      <c r="T169" s="187">
        <f xml:space="preserve"> SUMIFS(F_Inputs_BP!J$7:J$108, F_Inputs_BP!$A$7:$A$108, $A169, F_Inputs_BP!$B$7:$B$108, $B169)</f>
        <v>0</v>
      </c>
      <c r="U169" s="187">
        <f xml:space="preserve"> SUMIFS(F_Inputs_BP!K$7:K$108, F_Inputs_BP!$A$7:$A$108, $A169, F_Inputs_BP!$B$7:$B$108, $B169)</f>
        <v>0.96099999999999997</v>
      </c>
      <c r="V169" s="187">
        <f xml:space="preserve"> SUMIFS(F_Inputs_BP!L$7:L$108, F_Inputs_BP!$A$7:$A$108, $A169, F_Inputs_BP!$B$7:$B$108, $B169)</f>
        <v>0.96099999999999997</v>
      </c>
      <c r="W169" s="187">
        <f xml:space="preserve"> SUMIFS(F_Inputs_BP!M$7:M$108, F_Inputs_BP!$A$7:$A$108, $A169, F_Inputs_BP!$B$7:$B$108, $B169)</f>
        <v>0.96099999999999997</v>
      </c>
      <c r="X169" s="187">
        <f xml:space="preserve"> SUMIFS(F_Inputs_BP!N$7:N$108, F_Inputs_BP!$A$7:$A$108, $A169, F_Inputs_BP!$B$7:$B$108, $B169)</f>
        <v>0.96099999999999997</v>
      </c>
      <c r="Y169" s="187">
        <f xml:space="preserve"> SUMIFS(F_Inputs_BP!O$7:O$108, F_Inputs_BP!$A$7:$A$108, $A169, F_Inputs_BP!$B$7:$B$108, $B169)</f>
        <v>0.96099999999999997</v>
      </c>
    </row>
    <row r="170" spans="1:25" x14ac:dyDescent="0.35">
      <c r="A170" s="142" t="s">
        <v>52</v>
      </c>
      <c r="B170" s="142" t="s">
        <v>37</v>
      </c>
      <c r="C170" s="142" t="s">
        <v>38</v>
      </c>
      <c r="D170" s="142" t="s">
        <v>39</v>
      </c>
      <c r="E170" s="142" t="s">
        <v>17</v>
      </c>
      <c r="F170" s="145" t="s">
        <v>18</v>
      </c>
      <c r="G170" s="145" t="s">
        <v>18</v>
      </c>
      <c r="H170" s="145" t="s">
        <v>18</v>
      </c>
      <c r="I170" s="145" t="s">
        <v>18</v>
      </c>
      <c r="J170" s="145" t="s">
        <v>18</v>
      </c>
      <c r="K170" s="145" t="s">
        <v>18</v>
      </c>
      <c r="L170" s="145" t="s">
        <v>18</v>
      </c>
      <c r="M170" s="145" t="s">
        <v>18</v>
      </c>
      <c r="N170" s="145" t="s">
        <v>18</v>
      </c>
      <c r="O170" s="145" t="s">
        <v>18</v>
      </c>
      <c r="P170" s="145" t="s">
        <v>18</v>
      </c>
      <c r="Q170" s="145" t="s">
        <v>18</v>
      </c>
      <c r="R170" s="188">
        <f xml:space="preserve"> SUMIFS(F_Inputs_BP!H$7:H$108, F_Inputs_BP!$A$7:$A$108, $A170, F_Inputs_BP!$B$7:$B$108, $B170)</f>
        <v>20800</v>
      </c>
      <c r="S170" s="188">
        <f xml:space="preserve"> SUMIFS(F_Inputs_BP!I$7:I$108, F_Inputs_BP!$A$7:$A$108, $A170, F_Inputs_BP!$B$7:$B$108, $B170)</f>
        <v>23607</v>
      </c>
      <c r="T170" s="188">
        <f xml:space="preserve"> SUMIFS(F_Inputs_BP!J$7:J$108, F_Inputs_BP!$A$7:$A$108, $A170, F_Inputs_BP!$B$7:$B$108, $B170)</f>
        <v>20927</v>
      </c>
      <c r="U170" s="188">
        <f xml:space="preserve"> SUMIFS(F_Inputs_BP!K$7:K$108, F_Inputs_BP!$A$7:$A$108, $A170, F_Inputs_BP!$B$7:$B$108, $B170)</f>
        <v>20927</v>
      </c>
      <c r="V170" s="188">
        <f xml:space="preserve"> SUMIFS(F_Inputs_BP!L$7:L$108, F_Inputs_BP!$A$7:$A$108, $A170, F_Inputs_BP!$B$7:$B$108, $B170)</f>
        <v>20927</v>
      </c>
      <c r="W170" s="188">
        <f xml:space="preserve"> SUMIFS(F_Inputs_BP!M$7:M$108, F_Inputs_BP!$A$7:$A$108, $A170, F_Inputs_BP!$B$7:$B$108, $B170)</f>
        <v>20927</v>
      </c>
      <c r="X170" s="188">
        <f xml:space="preserve"> SUMIFS(F_Inputs_BP!N$7:N$108, F_Inputs_BP!$A$7:$A$108, $A170, F_Inputs_BP!$B$7:$B$108, $B170)</f>
        <v>20927</v>
      </c>
      <c r="Y170" s="188">
        <f xml:space="preserve"> SUMIFS(F_Inputs_BP!O$7:O$108, F_Inputs_BP!$A$7:$A$108, $A170, F_Inputs_BP!$B$7:$B$108, $B170)</f>
        <v>20927</v>
      </c>
    </row>
    <row r="171" spans="1:25" x14ac:dyDescent="0.35">
      <c r="A171" s="142" t="s">
        <v>52</v>
      </c>
      <c r="B171" s="142" t="s">
        <v>40</v>
      </c>
      <c r="C171" s="142" t="s">
        <v>33</v>
      </c>
      <c r="D171" s="142" t="s">
        <v>34</v>
      </c>
      <c r="E171" s="142" t="s">
        <v>17</v>
      </c>
      <c r="F171" s="145" t="s">
        <v>18</v>
      </c>
      <c r="G171" s="145" t="s">
        <v>18</v>
      </c>
      <c r="H171" s="145" t="s">
        <v>18</v>
      </c>
      <c r="I171" s="145" t="s">
        <v>18</v>
      </c>
      <c r="J171" s="145" t="s">
        <v>18</v>
      </c>
      <c r="K171" s="145" t="s">
        <v>18</v>
      </c>
      <c r="L171" s="145" t="s">
        <v>18</v>
      </c>
      <c r="M171" s="145" t="s">
        <v>18</v>
      </c>
      <c r="N171" s="145" t="s">
        <v>18</v>
      </c>
      <c r="O171" s="145" t="s">
        <v>18</v>
      </c>
      <c r="P171" s="145" t="s">
        <v>18</v>
      </c>
      <c r="Q171" s="145" t="s">
        <v>18</v>
      </c>
      <c r="R171" s="187">
        <f xml:space="preserve"> SUMIFS(F_Inputs_BP!H$7:H$108, F_Inputs_BP!$A$7:$A$108, $A171, F_Inputs_BP!$B$7:$B$108, $B171)</f>
        <v>0.13200000000000001</v>
      </c>
      <c r="S171" s="187">
        <f xml:space="preserve"> SUMIFS(F_Inputs_BP!I$7:I$108, F_Inputs_BP!$A$7:$A$108, $A171, F_Inputs_BP!$B$7:$B$108, $B171)</f>
        <v>0.22518462756408841</v>
      </c>
      <c r="T171" s="187">
        <f xml:space="preserve"> SUMIFS(F_Inputs_BP!J$7:J$108, F_Inputs_BP!$A$7:$A$108, $A171, F_Inputs_BP!$B$7:$B$108, $B171)</f>
        <v>0.20161124306834519</v>
      </c>
      <c r="U171" s="187">
        <f xml:space="preserve"> SUMIFS(F_Inputs_BP!K$7:K$108, F_Inputs_BP!$A$7:$A$108, $A171, F_Inputs_BP!$B$7:$B$108, $B171)</f>
        <v>0.1437048424289008</v>
      </c>
      <c r="V171" s="187">
        <f xml:space="preserve"> SUMIFS(F_Inputs_BP!L$7:L$108, F_Inputs_BP!$A$7:$A$108, $A171, F_Inputs_BP!$B$7:$B$108, $B171)</f>
        <v>0.1437048424289008</v>
      </c>
      <c r="W171" s="187">
        <f xml:space="preserve"> SUMIFS(F_Inputs_BP!M$7:M$108, F_Inputs_BP!$A$7:$A$108, $A171, F_Inputs_BP!$B$7:$B$108, $B171)</f>
        <v>0.1437048424289008</v>
      </c>
      <c r="X171" s="187">
        <f xml:space="preserve"> SUMIFS(F_Inputs_BP!N$7:N$108, F_Inputs_BP!$A$7:$A$108, $A171, F_Inputs_BP!$B$7:$B$108, $B171)</f>
        <v>0.1437048424289008</v>
      </c>
      <c r="Y171" s="187">
        <f xml:space="preserve"> SUMIFS(F_Inputs_BP!O$7:O$108, F_Inputs_BP!$A$7:$A$108, $A171, F_Inputs_BP!$B$7:$B$108, $B171)</f>
        <v>0.1437048424289008</v>
      </c>
    </row>
    <row r="172" spans="1:25" x14ac:dyDescent="0.35">
      <c r="A172" s="142" t="s">
        <v>52</v>
      </c>
      <c r="B172" s="142" t="s">
        <v>41</v>
      </c>
      <c r="C172" s="142" t="s">
        <v>36</v>
      </c>
      <c r="D172" s="142" t="s">
        <v>34</v>
      </c>
      <c r="E172" s="142" t="s">
        <v>17</v>
      </c>
      <c r="F172" s="145" t="s">
        <v>18</v>
      </c>
      <c r="G172" s="145" t="s">
        <v>18</v>
      </c>
      <c r="H172" s="145" t="s">
        <v>18</v>
      </c>
      <c r="I172" s="145" t="s">
        <v>18</v>
      </c>
      <c r="J172" s="145" t="s">
        <v>18</v>
      </c>
      <c r="K172" s="145" t="s">
        <v>18</v>
      </c>
      <c r="L172" s="145" t="s">
        <v>18</v>
      </c>
      <c r="M172" s="145" t="s">
        <v>18</v>
      </c>
      <c r="N172" s="145" t="s">
        <v>18</v>
      </c>
      <c r="O172" s="145" t="s">
        <v>18</v>
      </c>
      <c r="P172" s="145" t="s">
        <v>18</v>
      </c>
      <c r="Q172" s="145" t="s">
        <v>18</v>
      </c>
      <c r="R172" s="187">
        <f xml:space="preserve"> SUMIFS(F_Inputs_BP!H$7:H$108, F_Inputs_BP!$A$7:$A$108, $A172, F_Inputs_BP!$B$7:$B$108, $B172)</f>
        <v>0</v>
      </c>
      <c r="S172" s="187">
        <f xml:space="preserve"> SUMIFS(F_Inputs_BP!I$7:I$108, F_Inputs_BP!$A$7:$A$108, $A172, F_Inputs_BP!$B$7:$B$108, $B172)</f>
        <v>0</v>
      </c>
      <c r="T172" s="187">
        <f xml:space="preserve"> SUMIFS(F_Inputs_BP!J$7:J$108, F_Inputs_BP!$A$7:$A$108, $A172, F_Inputs_BP!$B$7:$B$108, $B172)</f>
        <v>0</v>
      </c>
      <c r="U172" s="187">
        <f xml:space="preserve"> SUMIFS(F_Inputs_BP!K$7:K$108, F_Inputs_BP!$A$7:$A$108, $A172, F_Inputs_BP!$B$7:$B$108, $B172)</f>
        <v>0.107</v>
      </c>
      <c r="V172" s="187">
        <f xml:space="preserve"> SUMIFS(F_Inputs_BP!L$7:L$108, F_Inputs_BP!$A$7:$A$108, $A172, F_Inputs_BP!$B$7:$B$108, $B172)</f>
        <v>0.107</v>
      </c>
      <c r="W172" s="187">
        <f xml:space="preserve"> SUMIFS(F_Inputs_BP!M$7:M$108, F_Inputs_BP!$A$7:$A$108, $A172, F_Inputs_BP!$B$7:$B$108, $B172)</f>
        <v>0.107</v>
      </c>
      <c r="X172" s="187">
        <f xml:space="preserve"> SUMIFS(F_Inputs_BP!N$7:N$108, F_Inputs_BP!$A$7:$A$108, $A172, F_Inputs_BP!$B$7:$B$108, $B172)</f>
        <v>0.107</v>
      </c>
      <c r="Y172" s="187">
        <f xml:space="preserve"> SUMIFS(F_Inputs_BP!O$7:O$108, F_Inputs_BP!$A$7:$A$108, $A172, F_Inputs_BP!$B$7:$B$108, $B172)</f>
        <v>0.107</v>
      </c>
    </row>
    <row r="173" spans="1:25" x14ac:dyDescent="0.35">
      <c r="A173" s="142" t="s">
        <v>52</v>
      </c>
      <c r="B173" s="142" t="s">
        <v>42</v>
      </c>
      <c r="C173" s="142" t="s">
        <v>38</v>
      </c>
      <c r="D173" s="142" t="s">
        <v>39</v>
      </c>
      <c r="E173" s="142" t="s">
        <v>17</v>
      </c>
      <c r="F173" s="145" t="s">
        <v>18</v>
      </c>
      <c r="G173" s="145" t="s">
        <v>18</v>
      </c>
      <c r="H173" s="145" t="s">
        <v>18</v>
      </c>
      <c r="I173" s="145" t="s">
        <v>18</v>
      </c>
      <c r="J173" s="145" t="s">
        <v>18</v>
      </c>
      <c r="K173" s="145" t="s">
        <v>18</v>
      </c>
      <c r="L173" s="145" t="s">
        <v>18</v>
      </c>
      <c r="M173" s="145" t="s">
        <v>18</v>
      </c>
      <c r="N173" s="145" t="s">
        <v>18</v>
      </c>
      <c r="O173" s="145" t="s">
        <v>18</v>
      </c>
      <c r="P173" s="145" t="s">
        <v>18</v>
      </c>
      <c r="Q173" s="145" t="s">
        <v>18</v>
      </c>
      <c r="R173" s="188">
        <f xml:space="preserve"> SUMIFS(F_Inputs_BP!H$7:H$108, F_Inputs_BP!$A$7:$A$108, $A173, F_Inputs_BP!$B$7:$B$108, $B173)</f>
        <v>811</v>
      </c>
      <c r="S173" s="188">
        <f xml:space="preserve"> SUMIFS(F_Inputs_BP!I$7:I$108, F_Inputs_BP!$A$7:$A$108, $A173, F_Inputs_BP!$B$7:$B$108, $B173)</f>
        <v>1916</v>
      </c>
      <c r="T173" s="188">
        <f xml:space="preserve"> SUMIFS(F_Inputs_BP!J$7:J$108, F_Inputs_BP!$A$7:$A$108, $A173, F_Inputs_BP!$B$7:$B$108, $B173)</f>
        <v>815</v>
      </c>
      <c r="U173" s="188">
        <f xml:space="preserve"> SUMIFS(F_Inputs_BP!K$7:K$108, F_Inputs_BP!$A$7:$A$108, $A173, F_Inputs_BP!$B$7:$B$108, $B173)</f>
        <v>815</v>
      </c>
      <c r="V173" s="188">
        <f xml:space="preserve"> SUMIFS(F_Inputs_BP!L$7:L$108, F_Inputs_BP!$A$7:$A$108, $A173, F_Inputs_BP!$B$7:$B$108, $B173)</f>
        <v>815</v>
      </c>
      <c r="W173" s="188">
        <f xml:space="preserve"> SUMIFS(F_Inputs_BP!M$7:M$108, F_Inputs_BP!$A$7:$A$108, $A173, F_Inputs_BP!$B$7:$B$108, $B173)</f>
        <v>815</v>
      </c>
      <c r="X173" s="188">
        <f xml:space="preserve"> SUMIFS(F_Inputs_BP!N$7:N$108, F_Inputs_BP!$A$7:$A$108, $A173, F_Inputs_BP!$B$7:$B$108, $B173)</f>
        <v>815</v>
      </c>
      <c r="Y173" s="188">
        <f xml:space="preserve"> SUMIFS(F_Inputs_BP!O$7:O$108, F_Inputs_BP!$A$7:$A$108, $A173, F_Inputs_BP!$B$7:$B$108, $B173)</f>
        <v>815</v>
      </c>
    </row>
    <row r="174" spans="1:25" x14ac:dyDescent="0.35">
      <c r="A174" s="142" t="s">
        <v>53</v>
      </c>
      <c r="B174" s="142" t="s">
        <v>32</v>
      </c>
      <c r="C174" s="142" t="s">
        <v>33</v>
      </c>
      <c r="D174" s="142" t="s">
        <v>34</v>
      </c>
      <c r="E174" s="142" t="s">
        <v>17</v>
      </c>
      <c r="F174" s="145" t="s">
        <v>18</v>
      </c>
      <c r="G174" s="145" t="s">
        <v>18</v>
      </c>
      <c r="H174" s="145" t="s">
        <v>18</v>
      </c>
      <c r="I174" s="145" t="s">
        <v>18</v>
      </c>
      <c r="J174" s="145" t="s">
        <v>18</v>
      </c>
      <c r="K174" s="145" t="s">
        <v>18</v>
      </c>
      <c r="L174" s="145" t="s">
        <v>18</v>
      </c>
      <c r="M174" s="145" t="s">
        <v>18</v>
      </c>
      <c r="N174" s="145" t="s">
        <v>18</v>
      </c>
      <c r="O174" s="145" t="s">
        <v>18</v>
      </c>
      <c r="P174" s="145" t="s">
        <v>18</v>
      </c>
      <c r="Q174" s="145" t="s">
        <v>18</v>
      </c>
      <c r="R174" s="187">
        <f xml:space="preserve"> SUMIFS(F_Inputs_BP!H$7:H$108, F_Inputs_BP!$A$7:$A$108, $A174, F_Inputs_BP!$B$7:$B$108, $B174)</f>
        <v>0.61699999999999999</v>
      </c>
      <c r="S174" s="187">
        <f xml:space="preserve"> SUMIFS(F_Inputs_BP!I$7:I$108, F_Inputs_BP!$A$7:$A$108, $A174, F_Inputs_BP!$B$7:$B$108, $B174)</f>
        <v>0.48099999999999998</v>
      </c>
      <c r="T174" s="187">
        <f xml:space="preserve"> SUMIFS(F_Inputs_BP!J$7:J$108, F_Inputs_BP!$A$7:$A$108, $A174, F_Inputs_BP!$B$7:$B$108, $B174)</f>
        <v>0.623</v>
      </c>
      <c r="U174" s="187">
        <f xml:space="preserve"> SUMIFS(F_Inputs_BP!K$7:K$108, F_Inputs_BP!$A$7:$A$108, $A174, F_Inputs_BP!$B$7:$B$108, $B174)</f>
        <v>0.65</v>
      </c>
      <c r="V174" s="187">
        <f xml:space="preserve"> SUMIFS(F_Inputs_BP!L$7:L$108, F_Inputs_BP!$A$7:$A$108, $A174, F_Inputs_BP!$B$7:$B$108, $B174)</f>
        <v>0.65</v>
      </c>
      <c r="W174" s="187">
        <f xml:space="preserve"> SUMIFS(F_Inputs_BP!M$7:M$108, F_Inputs_BP!$A$7:$A$108, $A174, F_Inputs_BP!$B$7:$B$108, $B174)</f>
        <v>0.65100000000000002</v>
      </c>
      <c r="X174" s="187">
        <f xml:space="preserve"> SUMIFS(F_Inputs_BP!N$7:N$108, F_Inputs_BP!$A$7:$A$108, $A174, F_Inputs_BP!$B$7:$B$108, $B174)</f>
        <v>0.65100000000000002</v>
      </c>
      <c r="Y174" s="187">
        <f xml:space="preserve"> SUMIFS(F_Inputs_BP!O$7:O$108, F_Inputs_BP!$A$7:$A$108, $A174, F_Inputs_BP!$B$7:$B$108, $B174)</f>
        <v>0.65100000000000002</v>
      </c>
    </row>
    <row r="175" spans="1:25" x14ac:dyDescent="0.35">
      <c r="A175" s="142" t="s">
        <v>53</v>
      </c>
      <c r="B175" s="142" t="s">
        <v>35</v>
      </c>
      <c r="C175" s="142" t="s">
        <v>36</v>
      </c>
      <c r="D175" s="142" t="s">
        <v>34</v>
      </c>
      <c r="E175" s="142" t="s">
        <v>17</v>
      </c>
      <c r="F175" s="145" t="s">
        <v>18</v>
      </c>
      <c r="G175" s="145" t="s">
        <v>18</v>
      </c>
      <c r="H175" s="145" t="s">
        <v>18</v>
      </c>
      <c r="I175" s="145" t="s">
        <v>18</v>
      </c>
      <c r="J175" s="145" t="s">
        <v>18</v>
      </c>
      <c r="K175" s="145" t="s">
        <v>18</v>
      </c>
      <c r="L175" s="145" t="s">
        <v>18</v>
      </c>
      <c r="M175" s="145" t="s">
        <v>18</v>
      </c>
      <c r="N175" s="145" t="s">
        <v>18</v>
      </c>
      <c r="O175" s="145" t="s">
        <v>18</v>
      </c>
      <c r="P175" s="145" t="s">
        <v>18</v>
      </c>
      <c r="Q175" s="145" t="s">
        <v>18</v>
      </c>
      <c r="R175" s="187">
        <f xml:space="preserve"> SUMIFS(F_Inputs_BP!H$7:H$108, F_Inputs_BP!$A$7:$A$108, $A175, F_Inputs_BP!$B$7:$B$108, $B175)</f>
        <v>1.2999999999999999E-2</v>
      </c>
      <c r="S175" s="187">
        <f xml:space="preserve"> SUMIFS(F_Inputs_BP!I$7:I$108, F_Inputs_BP!$A$7:$A$108, $A175, F_Inputs_BP!$B$7:$B$108, $B175)</f>
        <v>7.0000000000000001E-3</v>
      </c>
      <c r="T175" s="187">
        <f xml:space="preserve"> SUMIFS(F_Inputs_BP!J$7:J$108, F_Inputs_BP!$A$7:$A$108, $A175, F_Inputs_BP!$B$7:$B$108, $B175)</f>
        <v>1.4999999999999999E-2</v>
      </c>
      <c r="U175" s="187">
        <f xml:space="preserve"> SUMIFS(F_Inputs_BP!K$7:K$108, F_Inputs_BP!$A$7:$A$108, $A175, F_Inputs_BP!$B$7:$B$108, $B175)</f>
        <v>1.4999999999999999E-2</v>
      </c>
      <c r="V175" s="187">
        <f xml:space="preserve"> SUMIFS(F_Inputs_BP!L$7:L$108, F_Inputs_BP!$A$7:$A$108, $A175, F_Inputs_BP!$B$7:$B$108, $B175)</f>
        <v>1.4999999999999999E-2</v>
      </c>
      <c r="W175" s="187">
        <f xml:space="preserve"> SUMIFS(F_Inputs_BP!M$7:M$108, F_Inputs_BP!$A$7:$A$108, $A175, F_Inputs_BP!$B$7:$B$108, $B175)</f>
        <v>1.4999999999999999E-2</v>
      </c>
      <c r="X175" s="187">
        <f xml:space="preserve"> SUMIFS(F_Inputs_BP!N$7:N$108, F_Inputs_BP!$A$7:$A$108, $A175, F_Inputs_BP!$B$7:$B$108, $B175)</f>
        <v>1.4999999999999999E-2</v>
      </c>
      <c r="Y175" s="187">
        <f xml:space="preserve"> SUMIFS(F_Inputs_BP!O$7:O$108, F_Inputs_BP!$A$7:$A$108, $A175, F_Inputs_BP!$B$7:$B$108, $B175)</f>
        <v>1.4999999999999999E-2</v>
      </c>
    </row>
    <row r="176" spans="1:25" x14ac:dyDescent="0.35">
      <c r="A176" s="142" t="s">
        <v>53</v>
      </c>
      <c r="B176" s="142" t="s">
        <v>37</v>
      </c>
      <c r="C176" s="142" t="s">
        <v>38</v>
      </c>
      <c r="D176" s="142" t="s">
        <v>39</v>
      </c>
      <c r="E176" s="142" t="s">
        <v>17</v>
      </c>
      <c r="F176" s="145" t="s">
        <v>18</v>
      </c>
      <c r="G176" s="145" t="s">
        <v>18</v>
      </c>
      <c r="H176" s="145" t="s">
        <v>18</v>
      </c>
      <c r="I176" s="145" t="s">
        <v>18</v>
      </c>
      <c r="J176" s="145" t="s">
        <v>18</v>
      </c>
      <c r="K176" s="145" t="s">
        <v>18</v>
      </c>
      <c r="L176" s="145" t="s">
        <v>18</v>
      </c>
      <c r="M176" s="145" t="s">
        <v>18</v>
      </c>
      <c r="N176" s="145" t="s">
        <v>18</v>
      </c>
      <c r="O176" s="145" t="s">
        <v>18</v>
      </c>
      <c r="P176" s="145" t="s">
        <v>18</v>
      </c>
      <c r="Q176" s="145" t="s">
        <v>18</v>
      </c>
      <c r="R176" s="188">
        <f xml:space="preserve"> SUMIFS(F_Inputs_BP!H$7:H$108, F_Inputs_BP!$A$7:$A$108, $A176, F_Inputs_BP!$B$7:$B$108, $B176)</f>
        <v>25354.19091949637</v>
      </c>
      <c r="S176" s="188">
        <f xml:space="preserve"> SUMIFS(F_Inputs_BP!I$7:I$108, F_Inputs_BP!$A$7:$A$108, $A176, F_Inputs_BP!$B$7:$B$108, $B176)</f>
        <v>23744.716</v>
      </c>
      <c r="T176" s="188">
        <f xml:space="preserve"> SUMIFS(F_Inputs_BP!J$7:J$108, F_Inputs_BP!$A$7:$A$108, $A176, F_Inputs_BP!$B$7:$B$108, $B176)</f>
        <v>25000</v>
      </c>
      <c r="U176" s="188">
        <f xml:space="preserve"> SUMIFS(F_Inputs_BP!K$7:K$108, F_Inputs_BP!$A$7:$A$108, $A176, F_Inputs_BP!$B$7:$B$108, $B176)</f>
        <v>25000</v>
      </c>
      <c r="V176" s="188">
        <f xml:space="preserve"> SUMIFS(F_Inputs_BP!L$7:L$108, F_Inputs_BP!$A$7:$A$108, $A176, F_Inputs_BP!$B$7:$B$108, $B176)</f>
        <v>25000</v>
      </c>
      <c r="W176" s="188">
        <f xml:space="preserve"> SUMIFS(F_Inputs_BP!M$7:M$108, F_Inputs_BP!$A$7:$A$108, $A176, F_Inputs_BP!$B$7:$B$108, $B176)</f>
        <v>25000</v>
      </c>
      <c r="X176" s="188">
        <f xml:space="preserve"> SUMIFS(F_Inputs_BP!N$7:N$108, F_Inputs_BP!$A$7:$A$108, $A176, F_Inputs_BP!$B$7:$B$108, $B176)</f>
        <v>25000</v>
      </c>
      <c r="Y176" s="188">
        <f xml:space="preserve"> SUMIFS(F_Inputs_BP!O$7:O$108, F_Inputs_BP!$A$7:$A$108, $A176, F_Inputs_BP!$B$7:$B$108, $B176)</f>
        <v>25000</v>
      </c>
    </row>
    <row r="177" spans="1:25" x14ac:dyDescent="0.35">
      <c r="A177" s="142" t="s">
        <v>53</v>
      </c>
      <c r="B177" s="142" t="s">
        <v>40</v>
      </c>
      <c r="C177" s="142" t="s">
        <v>33</v>
      </c>
      <c r="D177" s="142" t="s">
        <v>34</v>
      </c>
      <c r="E177" s="142" t="s">
        <v>17</v>
      </c>
      <c r="F177" s="145" t="s">
        <v>18</v>
      </c>
      <c r="G177" s="145" t="s">
        <v>18</v>
      </c>
      <c r="H177" s="145" t="s">
        <v>18</v>
      </c>
      <c r="I177" s="145" t="s">
        <v>18</v>
      </c>
      <c r="J177" s="145" t="s">
        <v>18</v>
      </c>
      <c r="K177" s="145" t="s">
        <v>18</v>
      </c>
      <c r="L177" s="145" t="s">
        <v>18</v>
      </c>
      <c r="M177" s="145" t="s">
        <v>18</v>
      </c>
      <c r="N177" s="145" t="s">
        <v>18</v>
      </c>
      <c r="O177" s="145" t="s">
        <v>18</v>
      </c>
      <c r="P177" s="145" t="s">
        <v>18</v>
      </c>
      <c r="Q177" s="145" t="s">
        <v>18</v>
      </c>
      <c r="R177" s="187">
        <f xml:space="preserve"> SUMIFS(F_Inputs_BP!H$7:H$108, F_Inputs_BP!$A$7:$A$108, $A177, F_Inputs_BP!$B$7:$B$108, $B177)</f>
        <v>0</v>
      </c>
      <c r="S177" s="187">
        <f xml:space="preserve"> SUMIFS(F_Inputs_BP!I$7:I$108, F_Inputs_BP!$A$7:$A$108, $A177, F_Inputs_BP!$B$7:$B$108, $B177)</f>
        <v>0</v>
      </c>
      <c r="T177" s="187">
        <f xml:space="preserve"> SUMIFS(F_Inputs_BP!J$7:J$108, F_Inputs_BP!$A$7:$A$108, $A177, F_Inputs_BP!$B$7:$B$108, $B177)</f>
        <v>0</v>
      </c>
      <c r="U177" s="187">
        <f xml:space="preserve"> SUMIFS(F_Inputs_BP!K$7:K$108, F_Inputs_BP!$A$7:$A$108, $A177, F_Inputs_BP!$B$7:$B$108, $B177)</f>
        <v>0</v>
      </c>
      <c r="V177" s="187">
        <f xml:space="preserve"> SUMIFS(F_Inputs_BP!L$7:L$108, F_Inputs_BP!$A$7:$A$108, $A177, F_Inputs_BP!$B$7:$B$108, $B177)</f>
        <v>0</v>
      </c>
      <c r="W177" s="187">
        <f xml:space="preserve"> SUMIFS(F_Inputs_BP!M$7:M$108, F_Inputs_BP!$A$7:$A$108, $A177, F_Inputs_BP!$B$7:$B$108, $B177)</f>
        <v>0</v>
      </c>
      <c r="X177" s="187">
        <f xml:space="preserve"> SUMIFS(F_Inputs_BP!N$7:N$108, F_Inputs_BP!$A$7:$A$108, $A177, F_Inputs_BP!$B$7:$B$108, $B177)</f>
        <v>0</v>
      </c>
      <c r="Y177" s="187">
        <f xml:space="preserve"> SUMIFS(F_Inputs_BP!O$7:O$108, F_Inputs_BP!$A$7:$A$108, $A177, F_Inputs_BP!$B$7:$B$108, $B177)</f>
        <v>0</v>
      </c>
    </row>
    <row r="178" spans="1:25" x14ac:dyDescent="0.35">
      <c r="A178" s="142" t="s">
        <v>53</v>
      </c>
      <c r="B178" s="142" t="s">
        <v>41</v>
      </c>
      <c r="C178" s="142" t="s">
        <v>36</v>
      </c>
      <c r="D178" s="142" t="s">
        <v>34</v>
      </c>
      <c r="E178" s="142" t="s">
        <v>17</v>
      </c>
      <c r="F178" s="145" t="s">
        <v>18</v>
      </c>
      <c r="G178" s="145" t="s">
        <v>18</v>
      </c>
      <c r="H178" s="145" t="s">
        <v>18</v>
      </c>
      <c r="I178" s="145" t="s">
        <v>18</v>
      </c>
      <c r="J178" s="145" t="s">
        <v>18</v>
      </c>
      <c r="K178" s="145" t="s">
        <v>18</v>
      </c>
      <c r="L178" s="145" t="s">
        <v>18</v>
      </c>
      <c r="M178" s="145" t="s">
        <v>18</v>
      </c>
      <c r="N178" s="145" t="s">
        <v>18</v>
      </c>
      <c r="O178" s="145" t="s">
        <v>18</v>
      </c>
      <c r="P178" s="145" t="s">
        <v>18</v>
      </c>
      <c r="Q178" s="145" t="s">
        <v>18</v>
      </c>
      <c r="R178" s="187">
        <f xml:space="preserve"> SUMIFS(F_Inputs_BP!H$7:H$108, F_Inputs_BP!$A$7:$A$108, $A178, F_Inputs_BP!$B$7:$B$108, $B178)</f>
        <v>0</v>
      </c>
      <c r="S178" s="187">
        <f xml:space="preserve"> SUMIFS(F_Inputs_BP!I$7:I$108, F_Inputs_BP!$A$7:$A$108, $A178, F_Inputs_BP!$B$7:$B$108, $B178)</f>
        <v>0</v>
      </c>
      <c r="T178" s="187">
        <f xml:space="preserve"> SUMIFS(F_Inputs_BP!J$7:J$108, F_Inputs_BP!$A$7:$A$108, $A178, F_Inputs_BP!$B$7:$B$108, $B178)</f>
        <v>0</v>
      </c>
      <c r="U178" s="187">
        <f xml:space="preserve"> SUMIFS(F_Inputs_BP!K$7:K$108, F_Inputs_BP!$A$7:$A$108, $A178, F_Inputs_BP!$B$7:$B$108, $B178)</f>
        <v>0</v>
      </c>
      <c r="V178" s="187">
        <f xml:space="preserve"> SUMIFS(F_Inputs_BP!L$7:L$108, F_Inputs_BP!$A$7:$A$108, $A178, F_Inputs_BP!$B$7:$B$108, $B178)</f>
        <v>0</v>
      </c>
      <c r="W178" s="187">
        <f xml:space="preserve"> SUMIFS(F_Inputs_BP!M$7:M$108, F_Inputs_BP!$A$7:$A$108, $A178, F_Inputs_BP!$B$7:$B$108, $B178)</f>
        <v>0</v>
      </c>
      <c r="X178" s="187">
        <f xml:space="preserve"> SUMIFS(F_Inputs_BP!N$7:N$108, F_Inputs_BP!$A$7:$A$108, $A178, F_Inputs_BP!$B$7:$B$108, $B178)</f>
        <v>0</v>
      </c>
      <c r="Y178" s="187">
        <f xml:space="preserve"> SUMIFS(F_Inputs_BP!O$7:O$108, F_Inputs_BP!$A$7:$A$108, $A178, F_Inputs_BP!$B$7:$B$108, $B178)</f>
        <v>0</v>
      </c>
    </row>
    <row r="179" spans="1:25" x14ac:dyDescent="0.35">
      <c r="A179" s="142" t="s">
        <v>53</v>
      </c>
      <c r="B179" s="142" t="s">
        <v>42</v>
      </c>
      <c r="C179" s="142" t="s">
        <v>38</v>
      </c>
      <c r="D179" s="142" t="s">
        <v>39</v>
      </c>
      <c r="E179" s="142" t="s">
        <v>17</v>
      </c>
      <c r="F179" s="145" t="s">
        <v>18</v>
      </c>
      <c r="G179" s="145" t="s">
        <v>18</v>
      </c>
      <c r="H179" s="145" t="s">
        <v>18</v>
      </c>
      <c r="I179" s="145" t="s">
        <v>18</v>
      </c>
      <c r="J179" s="145" t="s">
        <v>18</v>
      </c>
      <c r="K179" s="145" t="s">
        <v>18</v>
      </c>
      <c r="L179" s="145" t="s">
        <v>18</v>
      </c>
      <c r="M179" s="145" t="s">
        <v>18</v>
      </c>
      <c r="N179" s="145" t="s">
        <v>18</v>
      </c>
      <c r="O179" s="145" t="s">
        <v>18</v>
      </c>
      <c r="P179" s="145" t="s">
        <v>18</v>
      </c>
      <c r="Q179" s="145" t="s">
        <v>18</v>
      </c>
      <c r="R179" s="188">
        <f xml:space="preserve"> SUMIFS(F_Inputs_BP!H$7:H$108, F_Inputs_BP!$A$7:$A$108, $A179, F_Inputs_BP!$B$7:$B$108, $B179)</f>
        <v>0</v>
      </c>
      <c r="S179" s="188">
        <f xml:space="preserve"> SUMIFS(F_Inputs_BP!I$7:I$108, F_Inputs_BP!$A$7:$A$108, $A179, F_Inputs_BP!$B$7:$B$108, $B179)</f>
        <v>0</v>
      </c>
      <c r="T179" s="188">
        <f xml:space="preserve"> SUMIFS(F_Inputs_BP!J$7:J$108, F_Inputs_BP!$A$7:$A$108, $A179, F_Inputs_BP!$B$7:$B$108, $B179)</f>
        <v>0</v>
      </c>
      <c r="U179" s="188">
        <f xml:space="preserve"> SUMIFS(F_Inputs_BP!K$7:K$108, F_Inputs_BP!$A$7:$A$108, $A179, F_Inputs_BP!$B$7:$B$108, $B179)</f>
        <v>0</v>
      </c>
      <c r="V179" s="188">
        <f xml:space="preserve"> SUMIFS(F_Inputs_BP!L$7:L$108, F_Inputs_BP!$A$7:$A$108, $A179, F_Inputs_BP!$B$7:$B$108, $B179)</f>
        <v>0</v>
      </c>
      <c r="W179" s="188">
        <f xml:space="preserve"> SUMIFS(F_Inputs_BP!M$7:M$108, F_Inputs_BP!$A$7:$A$108, $A179, F_Inputs_BP!$B$7:$B$108, $B179)</f>
        <v>0</v>
      </c>
      <c r="X179" s="188">
        <f xml:space="preserve"> SUMIFS(F_Inputs_BP!N$7:N$108, F_Inputs_BP!$A$7:$A$108, $A179, F_Inputs_BP!$B$7:$B$108, $B179)</f>
        <v>0</v>
      </c>
      <c r="Y179" s="188">
        <f xml:space="preserve"> SUMIFS(F_Inputs_BP!O$7:O$108, F_Inputs_BP!$A$7:$A$108, $A179, F_Inputs_BP!$B$7:$B$108, $B179)</f>
        <v>0</v>
      </c>
    </row>
    <row r="180" spans="1:25" x14ac:dyDescent="0.35">
      <c r="A180" s="142" t="s">
        <v>54</v>
      </c>
      <c r="B180" s="142" t="s">
        <v>32</v>
      </c>
      <c r="C180" s="142" t="s">
        <v>33</v>
      </c>
      <c r="D180" s="142" t="s">
        <v>34</v>
      </c>
      <c r="E180" s="142" t="s">
        <v>17</v>
      </c>
      <c r="F180" s="145" t="s">
        <v>18</v>
      </c>
      <c r="G180" s="145" t="s">
        <v>18</v>
      </c>
      <c r="H180" s="145" t="s">
        <v>18</v>
      </c>
      <c r="I180" s="145" t="s">
        <v>18</v>
      </c>
      <c r="J180" s="145" t="s">
        <v>18</v>
      </c>
      <c r="K180" s="145" t="s">
        <v>18</v>
      </c>
      <c r="L180" s="145" t="s">
        <v>18</v>
      </c>
      <c r="M180" s="145" t="s">
        <v>18</v>
      </c>
      <c r="N180" s="145" t="s">
        <v>18</v>
      </c>
      <c r="O180" s="145" t="s">
        <v>18</v>
      </c>
      <c r="P180" s="145" t="s">
        <v>18</v>
      </c>
      <c r="Q180" s="145" t="s">
        <v>18</v>
      </c>
      <c r="R180" s="187">
        <f xml:space="preserve"> SUMIFS(F_Inputs_BP!H$7:H$108, F_Inputs_BP!$A$7:$A$108, $A180, F_Inputs_BP!$B$7:$B$108, $B180)</f>
        <v>0.20599999999999999</v>
      </c>
      <c r="S180" s="187">
        <f xml:space="preserve"> SUMIFS(F_Inputs_BP!I$7:I$108, F_Inputs_BP!$A$7:$A$108, $A180, F_Inputs_BP!$B$7:$B$108, $B180)</f>
        <v>0.44719455852156048</v>
      </c>
      <c r="T180" s="187">
        <f xml:space="preserve"> SUMIFS(F_Inputs_BP!J$7:J$108, F_Inputs_BP!$A$7:$A$108, $A180, F_Inputs_BP!$B$7:$B$108, $B180)</f>
        <v>0.47199999999999998</v>
      </c>
      <c r="U180" s="187">
        <f xml:space="preserve"> SUMIFS(F_Inputs_BP!K$7:K$108, F_Inputs_BP!$A$7:$A$108, $A180, F_Inputs_BP!$B$7:$B$108, $B180)</f>
        <v>0.18539385899999999</v>
      </c>
      <c r="V180" s="187">
        <f xml:space="preserve"> SUMIFS(F_Inputs_BP!L$7:L$108, F_Inputs_BP!$A$7:$A$108, $A180, F_Inputs_BP!$B$7:$B$108, $B180)</f>
        <v>0.18540647900000001</v>
      </c>
      <c r="W180" s="187">
        <f xml:space="preserve"> SUMIFS(F_Inputs_BP!M$7:M$108, F_Inputs_BP!$A$7:$A$108, $A180, F_Inputs_BP!$B$7:$B$108, $B180)</f>
        <v>0.185392694</v>
      </c>
      <c r="X180" s="187">
        <f xml:space="preserve"> SUMIFS(F_Inputs_BP!N$7:N$108, F_Inputs_BP!$A$7:$A$108, $A180, F_Inputs_BP!$B$7:$B$108, $B180)</f>
        <v>0.185397645</v>
      </c>
      <c r="Y180" s="187">
        <f xml:space="preserve"> SUMIFS(F_Inputs_BP!O$7:O$108, F_Inputs_BP!$A$7:$A$108, $A180, F_Inputs_BP!$B$7:$B$108, $B180)</f>
        <v>0.18540731699999999</v>
      </c>
    </row>
    <row r="181" spans="1:25" x14ac:dyDescent="0.35">
      <c r="A181" s="142" t="s">
        <v>54</v>
      </c>
      <c r="B181" s="142" t="s">
        <v>35</v>
      </c>
      <c r="C181" s="142" t="s">
        <v>36</v>
      </c>
      <c r="D181" s="142" t="s">
        <v>34</v>
      </c>
      <c r="E181" s="142" t="s">
        <v>17</v>
      </c>
      <c r="F181" s="145" t="s">
        <v>18</v>
      </c>
      <c r="G181" s="145" t="s">
        <v>18</v>
      </c>
      <c r="H181" s="145" t="s">
        <v>18</v>
      </c>
      <c r="I181" s="145" t="s">
        <v>18</v>
      </c>
      <c r="J181" s="145" t="s">
        <v>18</v>
      </c>
      <c r="K181" s="145" t="s">
        <v>18</v>
      </c>
      <c r="L181" s="145" t="s">
        <v>18</v>
      </c>
      <c r="M181" s="145" t="s">
        <v>18</v>
      </c>
      <c r="N181" s="145" t="s">
        <v>18</v>
      </c>
      <c r="O181" s="145" t="s">
        <v>18</v>
      </c>
      <c r="P181" s="145" t="s">
        <v>18</v>
      </c>
      <c r="Q181" s="145" t="s">
        <v>18</v>
      </c>
      <c r="R181" s="187">
        <f xml:space="preserve"> SUMIFS(F_Inputs_BP!H$7:H$108, F_Inputs_BP!$A$7:$A$108, $A181, F_Inputs_BP!$B$7:$B$108, $B181)</f>
        <v>0</v>
      </c>
      <c r="S181" s="187">
        <f xml:space="preserve"> SUMIFS(F_Inputs_BP!I$7:I$108, F_Inputs_BP!$A$7:$A$108, $A181, F_Inputs_BP!$B$7:$B$108, $B181)</f>
        <v>0</v>
      </c>
      <c r="T181" s="187">
        <f xml:space="preserve"> SUMIFS(F_Inputs_BP!J$7:J$108, F_Inputs_BP!$A$7:$A$108, $A181, F_Inputs_BP!$B$7:$B$108, $B181)</f>
        <v>0</v>
      </c>
      <c r="U181" s="187">
        <f xml:space="preserve"> SUMIFS(F_Inputs_BP!K$7:K$108, F_Inputs_BP!$A$7:$A$108, $A181, F_Inputs_BP!$B$7:$B$108, $B181)</f>
        <v>0</v>
      </c>
      <c r="V181" s="187">
        <f xml:space="preserve"> SUMIFS(F_Inputs_BP!L$7:L$108, F_Inputs_BP!$A$7:$A$108, $A181, F_Inputs_BP!$B$7:$B$108, $B181)</f>
        <v>0</v>
      </c>
      <c r="W181" s="187">
        <f xml:space="preserve"> SUMIFS(F_Inputs_BP!M$7:M$108, F_Inputs_BP!$A$7:$A$108, $A181, F_Inputs_BP!$B$7:$B$108, $B181)</f>
        <v>0</v>
      </c>
      <c r="X181" s="187">
        <f xml:space="preserve"> SUMIFS(F_Inputs_BP!N$7:N$108, F_Inputs_BP!$A$7:$A$108, $A181, F_Inputs_BP!$B$7:$B$108, $B181)</f>
        <v>0</v>
      </c>
      <c r="Y181" s="187">
        <f xml:space="preserve"> SUMIFS(F_Inputs_BP!O$7:O$108, F_Inputs_BP!$A$7:$A$108, $A181, F_Inputs_BP!$B$7:$B$108, $B181)</f>
        <v>0</v>
      </c>
    </row>
    <row r="182" spans="1:25" x14ac:dyDescent="0.35">
      <c r="A182" s="142" t="s">
        <v>54</v>
      </c>
      <c r="B182" s="142" t="s">
        <v>37</v>
      </c>
      <c r="C182" s="142" t="s">
        <v>38</v>
      </c>
      <c r="D182" s="142" t="s">
        <v>39</v>
      </c>
      <c r="E182" s="142" t="s">
        <v>17</v>
      </c>
      <c r="F182" s="145" t="s">
        <v>18</v>
      </c>
      <c r="G182" s="145" t="s">
        <v>18</v>
      </c>
      <c r="H182" s="145" t="s">
        <v>18</v>
      </c>
      <c r="I182" s="145" t="s">
        <v>18</v>
      </c>
      <c r="J182" s="145" t="s">
        <v>18</v>
      </c>
      <c r="K182" s="145" t="s">
        <v>18</v>
      </c>
      <c r="L182" s="145" t="s">
        <v>18</v>
      </c>
      <c r="M182" s="145" t="s">
        <v>18</v>
      </c>
      <c r="N182" s="145" t="s">
        <v>18</v>
      </c>
      <c r="O182" s="145" t="s">
        <v>18</v>
      </c>
      <c r="P182" s="145" t="s">
        <v>18</v>
      </c>
      <c r="Q182" s="145" t="s">
        <v>18</v>
      </c>
      <c r="R182" s="188">
        <f xml:space="preserve"> SUMIFS(F_Inputs_BP!H$7:H$108, F_Inputs_BP!$A$7:$A$108, $A182, F_Inputs_BP!$B$7:$B$108, $B182)</f>
        <v>13989</v>
      </c>
      <c r="S182" s="188">
        <f xml:space="preserve"> SUMIFS(F_Inputs_BP!I$7:I$108, F_Inputs_BP!$A$7:$A$108, $A182, F_Inputs_BP!$B$7:$B$108, $B182)</f>
        <v>14099</v>
      </c>
      <c r="T182" s="188">
        <f xml:space="preserve"> SUMIFS(F_Inputs_BP!J$7:J$108, F_Inputs_BP!$A$7:$A$108, $A182, F_Inputs_BP!$B$7:$B$108, $B182)</f>
        <v>13989</v>
      </c>
      <c r="U182" s="188">
        <f xml:space="preserve"> SUMIFS(F_Inputs_BP!K$7:K$108, F_Inputs_BP!$A$7:$A$108, $A182, F_Inputs_BP!$B$7:$B$108, $B182)</f>
        <v>22523</v>
      </c>
      <c r="V182" s="188">
        <f xml:space="preserve"> SUMIFS(F_Inputs_BP!L$7:L$108, F_Inputs_BP!$A$7:$A$108, $A182, F_Inputs_BP!$B$7:$B$108, $B182)</f>
        <v>22523</v>
      </c>
      <c r="W182" s="188">
        <f xml:space="preserve"> SUMIFS(F_Inputs_BP!M$7:M$108, F_Inputs_BP!$A$7:$A$108, $A182, F_Inputs_BP!$B$7:$B$108, $B182)</f>
        <v>22523</v>
      </c>
      <c r="X182" s="188">
        <f xml:space="preserve"> SUMIFS(F_Inputs_BP!N$7:N$108, F_Inputs_BP!$A$7:$A$108, $A182, F_Inputs_BP!$B$7:$B$108, $B182)</f>
        <v>22523</v>
      </c>
      <c r="Y182" s="188">
        <f xml:space="preserve"> SUMIFS(F_Inputs_BP!O$7:O$108, F_Inputs_BP!$A$7:$A$108, $A182, F_Inputs_BP!$B$7:$B$108, $B182)</f>
        <v>22523</v>
      </c>
    </row>
    <row r="183" spans="1:25" x14ac:dyDescent="0.35">
      <c r="A183" s="142" t="s">
        <v>54</v>
      </c>
      <c r="B183" s="142" t="s">
        <v>40</v>
      </c>
      <c r="C183" s="142" t="s">
        <v>33</v>
      </c>
      <c r="D183" s="142" t="s">
        <v>34</v>
      </c>
      <c r="E183" s="142" t="s">
        <v>17</v>
      </c>
      <c r="F183" s="145" t="s">
        <v>18</v>
      </c>
      <c r="G183" s="145" t="s">
        <v>18</v>
      </c>
      <c r="H183" s="145" t="s">
        <v>18</v>
      </c>
      <c r="I183" s="145" t="s">
        <v>18</v>
      </c>
      <c r="J183" s="145" t="s">
        <v>18</v>
      </c>
      <c r="K183" s="145" t="s">
        <v>18</v>
      </c>
      <c r="L183" s="145" t="s">
        <v>18</v>
      </c>
      <c r="M183" s="145" t="s">
        <v>18</v>
      </c>
      <c r="N183" s="145" t="s">
        <v>18</v>
      </c>
      <c r="O183" s="145" t="s">
        <v>18</v>
      </c>
      <c r="P183" s="145" t="s">
        <v>18</v>
      </c>
      <c r="Q183" s="145" t="s">
        <v>18</v>
      </c>
      <c r="R183" s="187">
        <f xml:space="preserve"> SUMIFS(F_Inputs_BP!H$7:H$108, F_Inputs_BP!$A$7:$A$108, $A183, F_Inputs_BP!$B$7:$B$108, $B183)</f>
        <v>0</v>
      </c>
      <c r="S183" s="187">
        <f xml:space="preserve"> SUMIFS(F_Inputs_BP!I$7:I$108, F_Inputs_BP!$A$7:$A$108, $A183, F_Inputs_BP!$B$7:$B$108, $B183)</f>
        <v>0</v>
      </c>
      <c r="T183" s="187">
        <f xml:space="preserve"> SUMIFS(F_Inputs_BP!J$7:J$108, F_Inputs_BP!$A$7:$A$108, $A183, F_Inputs_BP!$B$7:$B$108, $B183)</f>
        <v>0</v>
      </c>
      <c r="U183" s="187">
        <f xml:space="preserve"> SUMIFS(F_Inputs_BP!K$7:K$108, F_Inputs_BP!$A$7:$A$108, $A183, F_Inputs_BP!$B$7:$B$108, $B183)</f>
        <v>0</v>
      </c>
      <c r="V183" s="187">
        <f xml:space="preserve"> SUMIFS(F_Inputs_BP!L$7:L$108, F_Inputs_BP!$A$7:$A$108, $A183, F_Inputs_BP!$B$7:$B$108, $B183)</f>
        <v>0</v>
      </c>
      <c r="W183" s="187">
        <f xml:space="preserve"> SUMIFS(F_Inputs_BP!M$7:M$108, F_Inputs_BP!$A$7:$A$108, $A183, F_Inputs_BP!$B$7:$B$108, $B183)</f>
        <v>0</v>
      </c>
      <c r="X183" s="187">
        <f xml:space="preserve"> SUMIFS(F_Inputs_BP!N$7:N$108, F_Inputs_BP!$A$7:$A$108, $A183, F_Inputs_BP!$B$7:$B$108, $B183)</f>
        <v>0</v>
      </c>
      <c r="Y183" s="187">
        <f xml:space="preserve"> SUMIFS(F_Inputs_BP!O$7:O$108, F_Inputs_BP!$A$7:$A$108, $A183, F_Inputs_BP!$B$7:$B$108, $B183)</f>
        <v>0</v>
      </c>
    </row>
    <row r="184" spans="1:25" x14ac:dyDescent="0.35">
      <c r="A184" s="142" t="s">
        <v>54</v>
      </c>
      <c r="B184" s="142" t="s">
        <v>41</v>
      </c>
      <c r="C184" s="142" t="s">
        <v>36</v>
      </c>
      <c r="D184" s="142" t="s">
        <v>34</v>
      </c>
      <c r="E184" s="142" t="s">
        <v>17</v>
      </c>
      <c r="F184" s="145" t="s">
        <v>18</v>
      </c>
      <c r="G184" s="145" t="s">
        <v>18</v>
      </c>
      <c r="H184" s="145" t="s">
        <v>18</v>
      </c>
      <c r="I184" s="145" t="s">
        <v>18</v>
      </c>
      <c r="J184" s="145" t="s">
        <v>18</v>
      </c>
      <c r="K184" s="145" t="s">
        <v>18</v>
      </c>
      <c r="L184" s="145" t="s">
        <v>18</v>
      </c>
      <c r="M184" s="145" t="s">
        <v>18</v>
      </c>
      <c r="N184" s="145" t="s">
        <v>18</v>
      </c>
      <c r="O184" s="145" t="s">
        <v>18</v>
      </c>
      <c r="P184" s="145" t="s">
        <v>18</v>
      </c>
      <c r="Q184" s="145" t="s">
        <v>18</v>
      </c>
      <c r="R184" s="187">
        <f xml:space="preserve"> SUMIFS(F_Inputs_BP!H$7:H$108, F_Inputs_BP!$A$7:$A$108, $A184, F_Inputs_BP!$B$7:$B$108, $B184)</f>
        <v>0</v>
      </c>
      <c r="S184" s="187">
        <f xml:space="preserve"> SUMIFS(F_Inputs_BP!I$7:I$108, F_Inputs_BP!$A$7:$A$108, $A184, F_Inputs_BP!$B$7:$B$108, $B184)</f>
        <v>0</v>
      </c>
      <c r="T184" s="187">
        <f xml:space="preserve"> SUMIFS(F_Inputs_BP!J$7:J$108, F_Inputs_BP!$A$7:$A$108, $A184, F_Inputs_BP!$B$7:$B$108, $B184)</f>
        <v>0</v>
      </c>
      <c r="U184" s="187">
        <f xml:space="preserve"> SUMIFS(F_Inputs_BP!K$7:K$108, F_Inputs_BP!$A$7:$A$108, $A184, F_Inputs_BP!$B$7:$B$108, $B184)</f>
        <v>0</v>
      </c>
      <c r="V184" s="187">
        <f xml:space="preserve"> SUMIFS(F_Inputs_BP!L$7:L$108, F_Inputs_BP!$A$7:$A$108, $A184, F_Inputs_BP!$B$7:$B$108, $B184)</f>
        <v>0</v>
      </c>
      <c r="W184" s="187">
        <f xml:space="preserve"> SUMIFS(F_Inputs_BP!M$7:M$108, F_Inputs_BP!$A$7:$A$108, $A184, F_Inputs_BP!$B$7:$B$108, $B184)</f>
        <v>0</v>
      </c>
      <c r="X184" s="187">
        <f xml:space="preserve"> SUMIFS(F_Inputs_BP!N$7:N$108, F_Inputs_BP!$A$7:$A$108, $A184, F_Inputs_BP!$B$7:$B$108, $B184)</f>
        <v>0</v>
      </c>
      <c r="Y184" s="187">
        <f xml:space="preserve"> SUMIFS(F_Inputs_BP!O$7:O$108, F_Inputs_BP!$A$7:$A$108, $A184, F_Inputs_BP!$B$7:$B$108, $B184)</f>
        <v>0</v>
      </c>
    </row>
    <row r="185" spans="1:25" x14ac:dyDescent="0.35">
      <c r="A185" s="142" t="s">
        <v>54</v>
      </c>
      <c r="B185" s="142" t="s">
        <v>42</v>
      </c>
      <c r="C185" s="142" t="s">
        <v>38</v>
      </c>
      <c r="D185" s="142" t="s">
        <v>39</v>
      </c>
      <c r="E185" s="142" t="s">
        <v>17</v>
      </c>
      <c r="F185" s="145" t="s">
        <v>18</v>
      </c>
      <c r="G185" s="145" t="s">
        <v>18</v>
      </c>
      <c r="H185" s="145" t="s">
        <v>18</v>
      </c>
      <c r="I185" s="145" t="s">
        <v>18</v>
      </c>
      <c r="J185" s="145" t="s">
        <v>18</v>
      </c>
      <c r="K185" s="145" t="s">
        <v>18</v>
      </c>
      <c r="L185" s="145" t="s">
        <v>18</v>
      </c>
      <c r="M185" s="145" t="s">
        <v>18</v>
      </c>
      <c r="N185" s="145" t="s">
        <v>18</v>
      </c>
      <c r="O185" s="145" t="s">
        <v>18</v>
      </c>
      <c r="P185" s="145" t="s">
        <v>18</v>
      </c>
      <c r="Q185" s="145" t="s">
        <v>18</v>
      </c>
      <c r="R185" s="188">
        <f xml:space="preserve"> SUMIFS(F_Inputs_BP!H$7:H$108, F_Inputs_BP!$A$7:$A$108, $A185, F_Inputs_BP!$B$7:$B$108, $B185)</f>
        <v>0</v>
      </c>
      <c r="S185" s="188">
        <f xml:space="preserve"> SUMIFS(F_Inputs_BP!I$7:I$108, F_Inputs_BP!$A$7:$A$108, $A185, F_Inputs_BP!$B$7:$B$108, $B185)</f>
        <v>0</v>
      </c>
      <c r="T185" s="188">
        <f xml:space="preserve"> SUMIFS(F_Inputs_BP!J$7:J$108, F_Inputs_BP!$A$7:$A$108, $A185, F_Inputs_BP!$B$7:$B$108, $B185)</f>
        <v>0</v>
      </c>
      <c r="U185" s="188">
        <f xml:space="preserve"> SUMIFS(F_Inputs_BP!K$7:K$108, F_Inputs_BP!$A$7:$A$108, $A185, F_Inputs_BP!$B$7:$B$108, $B185)</f>
        <v>0</v>
      </c>
      <c r="V185" s="188">
        <f xml:space="preserve"> SUMIFS(F_Inputs_BP!L$7:L$108, F_Inputs_BP!$A$7:$A$108, $A185, F_Inputs_BP!$B$7:$B$108, $B185)</f>
        <v>0</v>
      </c>
      <c r="W185" s="188">
        <f xml:space="preserve"> SUMIFS(F_Inputs_BP!M$7:M$108, F_Inputs_BP!$A$7:$A$108, $A185, F_Inputs_BP!$B$7:$B$108, $B185)</f>
        <v>0</v>
      </c>
      <c r="X185" s="188">
        <f xml:space="preserve"> SUMIFS(F_Inputs_BP!N$7:N$108, F_Inputs_BP!$A$7:$A$108, $A185, F_Inputs_BP!$B$7:$B$108, $B185)</f>
        <v>0</v>
      </c>
      <c r="Y185" s="188">
        <f xml:space="preserve"> SUMIFS(F_Inputs_BP!O$7:O$108, F_Inputs_BP!$A$7:$A$108, $A185, F_Inputs_BP!$B$7:$B$108, $B185)</f>
        <v>0</v>
      </c>
    </row>
    <row r="186" spans="1:25" x14ac:dyDescent="0.35">
      <c r="A186" s="142" t="s">
        <v>55</v>
      </c>
      <c r="B186" s="142" t="s">
        <v>32</v>
      </c>
      <c r="C186" s="142" t="s">
        <v>33</v>
      </c>
      <c r="D186" s="142" t="s">
        <v>34</v>
      </c>
      <c r="E186" s="142" t="s">
        <v>17</v>
      </c>
      <c r="F186" s="145" t="s">
        <v>18</v>
      </c>
      <c r="G186" s="145" t="s">
        <v>18</v>
      </c>
      <c r="H186" s="145" t="s">
        <v>18</v>
      </c>
      <c r="I186" s="145" t="s">
        <v>18</v>
      </c>
      <c r="J186" s="145" t="s">
        <v>18</v>
      </c>
      <c r="K186" s="145" t="s">
        <v>18</v>
      </c>
      <c r="L186" s="145" t="s">
        <v>18</v>
      </c>
      <c r="M186" s="145" t="s">
        <v>18</v>
      </c>
      <c r="N186" s="145" t="s">
        <v>18</v>
      </c>
      <c r="O186" s="145" t="s">
        <v>18</v>
      </c>
      <c r="P186" s="145" t="s">
        <v>18</v>
      </c>
      <c r="Q186" s="145" t="s">
        <v>18</v>
      </c>
      <c r="R186" s="187">
        <f xml:space="preserve"> SUMIFS(F_Inputs_BP!H$7:H$108, F_Inputs_BP!$A$7:$A$108, $A186, F_Inputs_BP!$B$7:$B$108, $B186)</f>
        <v>0.22900000000000001</v>
      </c>
      <c r="S186" s="187">
        <f xml:space="preserve"> SUMIFS(F_Inputs_BP!I$7:I$108, F_Inputs_BP!$A$7:$A$108, $A186, F_Inputs_BP!$B$7:$B$108, $B186)</f>
        <v>0.1212731006160164</v>
      </c>
      <c r="T186" s="187">
        <f xml:space="preserve"> SUMIFS(F_Inputs_BP!J$7:J$108, F_Inputs_BP!$A$7:$A$108, $A186, F_Inputs_BP!$B$7:$B$108, $B186)</f>
        <v>0.41</v>
      </c>
      <c r="U186" s="187">
        <f xml:space="preserve"> SUMIFS(F_Inputs_BP!K$7:K$108, F_Inputs_BP!$A$7:$A$108, $A186, F_Inputs_BP!$B$7:$B$108, $B186)</f>
        <v>0.48699999999999999</v>
      </c>
      <c r="V186" s="187">
        <f xml:space="preserve"> SUMIFS(F_Inputs_BP!L$7:L$108, F_Inputs_BP!$A$7:$A$108, $A186, F_Inputs_BP!$B$7:$B$108, $B186)</f>
        <v>0.49164000000000002</v>
      </c>
      <c r="W186" s="187">
        <f xml:space="preserve"> SUMIFS(F_Inputs_BP!M$7:M$108, F_Inputs_BP!$A$7:$A$108, $A186, F_Inputs_BP!$B$7:$B$108, $B186)</f>
        <v>0.48681999999999997</v>
      </c>
      <c r="X186" s="187">
        <f xml:space="preserve"> SUMIFS(F_Inputs_BP!N$7:N$108, F_Inputs_BP!$A$7:$A$108, $A186, F_Inputs_BP!$B$7:$B$108, $B186)</f>
        <v>0.48681999999999997</v>
      </c>
      <c r="Y186" s="187">
        <f xml:space="preserve"> SUMIFS(F_Inputs_BP!O$7:O$108, F_Inputs_BP!$A$7:$A$108, $A186, F_Inputs_BP!$B$7:$B$108, $B186)</f>
        <v>0.48681999999999997</v>
      </c>
    </row>
    <row r="187" spans="1:25" x14ac:dyDescent="0.35">
      <c r="A187" s="142" t="s">
        <v>55</v>
      </c>
      <c r="B187" s="142" t="s">
        <v>35</v>
      </c>
      <c r="C187" s="142" t="s">
        <v>36</v>
      </c>
      <c r="D187" s="142" t="s">
        <v>34</v>
      </c>
      <c r="E187" s="142" t="s">
        <v>17</v>
      </c>
      <c r="F187" s="145" t="s">
        <v>18</v>
      </c>
      <c r="G187" s="145" t="s">
        <v>18</v>
      </c>
      <c r="H187" s="145" t="s">
        <v>18</v>
      </c>
      <c r="I187" s="145" t="s">
        <v>18</v>
      </c>
      <c r="J187" s="145" t="s">
        <v>18</v>
      </c>
      <c r="K187" s="145" t="s">
        <v>18</v>
      </c>
      <c r="L187" s="145" t="s">
        <v>18</v>
      </c>
      <c r="M187" s="145" t="s">
        <v>18</v>
      </c>
      <c r="N187" s="145" t="s">
        <v>18</v>
      </c>
      <c r="O187" s="145" t="s">
        <v>18</v>
      </c>
      <c r="P187" s="145" t="s">
        <v>18</v>
      </c>
      <c r="Q187" s="145" t="s">
        <v>18</v>
      </c>
      <c r="R187" s="187">
        <f xml:space="preserve"> SUMIFS(F_Inputs_BP!H$7:H$108, F_Inputs_BP!$A$7:$A$108, $A187, F_Inputs_BP!$B$7:$B$108, $B187)</f>
        <v>0</v>
      </c>
      <c r="S187" s="187">
        <f xml:space="preserve"> SUMIFS(F_Inputs_BP!I$7:I$108, F_Inputs_BP!$A$7:$A$108, $A187, F_Inputs_BP!$B$7:$B$108, $B187)</f>
        <v>0.15159137577002049</v>
      </c>
      <c r="T187" s="187">
        <f xml:space="preserve"> SUMIFS(F_Inputs_BP!J$7:J$108, F_Inputs_BP!$A$7:$A$108, $A187, F_Inputs_BP!$B$7:$B$108, $B187)</f>
        <v>0.15</v>
      </c>
      <c r="U187" s="187">
        <f xml:space="preserve"> SUMIFS(F_Inputs_BP!K$7:K$108, F_Inputs_BP!$A$7:$A$108, $A187, F_Inputs_BP!$B$7:$B$108, $B187)</f>
        <v>0.20200000000000001</v>
      </c>
      <c r="V187" s="187">
        <f xml:space="preserve"> SUMIFS(F_Inputs_BP!L$7:L$108, F_Inputs_BP!$A$7:$A$108, $A187, F_Inputs_BP!$B$7:$B$108, $B187)</f>
        <v>0.20399999999999999</v>
      </c>
      <c r="W187" s="187">
        <f xml:space="preserve"> SUMIFS(F_Inputs_BP!M$7:M$108, F_Inputs_BP!$A$7:$A$108, $A187, F_Inputs_BP!$B$7:$B$108, $B187)</f>
        <v>0.20200000000000001</v>
      </c>
      <c r="X187" s="187">
        <f xml:space="preserve"> SUMIFS(F_Inputs_BP!N$7:N$108, F_Inputs_BP!$A$7:$A$108, $A187, F_Inputs_BP!$B$7:$B$108, $B187)</f>
        <v>0.20200000000000001</v>
      </c>
      <c r="Y187" s="187">
        <f xml:space="preserve"> SUMIFS(F_Inputs_BP!O$7:O$108, F_Inputs_BP!$A$7:$A$108, $A187, F_Inputs_BP!$B$7:$B$108, $B187)</f>
        <v>0.20200000000000001</v>
      </c>
    </row>
    <row r="188" spans="1:25" x14ac:dyDescent="0.35">
      <c r="A188" s="142" t="s">
        <v>55</v>
      </c>
      <c r="B188" s="142" t="s">
        <v>37</v>
      </c>
      <c r="C188" s="142" t="s">
        <v>38</v>
      </c>
      <c r="D188" s="142" t="s">
        <v>39</v>
      </c>
      <c r="E188" s="142" t="s">
        <v>17</v>
      </c>
      <c r="F188" s="145" t="s">
        <v>18</v>
      </c>
      <c r="G188" s="145" t="s">
        <v>18</v>
      </c>
      <c r="H188" s="145" t="s">
        <v>18</v>
      </c>
      <c r="I188" s="145" t="s">
        <v>18</v>
      </c>
      <c r="J188" s="145" t="s">
        <v>18</v>
      </c>
      <c r="K188" s="145" t="s">
        <v>18</v>
      </c>
      <c r="L188" s="145" t="s">
        <v>18</v>
      </c>
      <c r="M188" s="145" t="s">
        <v>18</v>
      </c>
      <c r="N188" s="145" t="s">
        <v>18</v>
      </c>
      <c r="O188" s="145" t="s">
        <v>18</v>
      </c>
      <c r="P188" s="145" t="s">
        <v>18</v>
      </c>
      <c r="Q188" s="145" t="s">
        <v>18</v>
      </c>
      <c r="R188" s="188">
        <f xml:space="preserve"> SUMIFS(F_Inputs_BP!H$7:H$108, F_Inputs_BP!$A$7:$A$108, $A188, F_Inputs_BP!$B$7:$B$108, $B188)</f>
        <v>3523</v>
      </c>
      <c r="S188" s="188">
        <f xml:space="preserve"> SUMIFS(F_Inputs_BP!I$7:I$108, F_Inputs_BP!$A$7:$A$108, $A188, F_Inputs_BP!$B$7:$B$108, $B188)</f>
        <v>4120</v>
      </c>
      <c r="T188" s="188">
        <f xml:space="preserve"> SUMIFS(F_Inputs_BP!J$7:J$108, F_Inputs_BP!$A$7:$A$108, $A188, F_Inputs_BP!$B$7:$B$108, $B188)</f>
        <v>5857</v>
      </c>
      <c r="U188" s="188">
        <f xml:space="preserve"> SUMIFS(F_Inputs_BP!K$7:K$108, F_Inputs_BP!$A$7:$A$108, $A188, F_Inputs_BP!$B$7:$B$108, $B188)</f>
        <v>6957</v>
      </c>
      <c r="V188" s="188">
        <f xml:space="preserve"> SUMIFS(F_Inputs_BP!L$7:L$108, F_Inputs_BP!$A$7:$A$108, $A188, F_Inputs_BP!$B$7:$B$108, $B188)</f>
        <v>7569</v>
      </c>
      <c r="W188" s="188">
        <f xml:space="preserve"> SUMIFS(F_Inputs_BP!M$7:M$108, F_Inputs_BP!$A$7:$A$108, $A188, F_Inputs_BP!$B$7:$B$108, $B188)</f>
        <v>6957</v>
      </c>
      <c r="X188" s="188">
        <f xml:space="preserve"> SUMIFS(F_Inputs_BP!N$7:N$108, F_Inputs_BP!$A$7:$A$108, $A188, F_Inputs_BP!$B$7:$B$108, $B188)</f>
        <v>6957</v>
      </c>
      <c r="Y188" s="188">
        <f xml:space="preserve"> SUMIFS(F_Inputs_BP!O$7:O$108, F_Inputs_BP!$A$7:$A$108, $A188, F_Inputs_BP!$B$7:$B$108, $B188)</f>
        <v>6957</v>
      </c>
    </row>
    <row r="189" spans="1:25" x14ac:dyDescent="0.35">
      <c r="A189" s="142" t="s">
        <v>55</v>
      </c>
      <c r="B189" s="142" t="s">
        <v>40</v>
      </c>
      <c r="C189" s="142" t="s">
        <v>33</v>
      </c>
      <c r="D189" s="142" t="s">
        <v>34</v>
      </c>
      <c r="E189" s="142" t="s">
        <v>17</v>
      </c>
      <c r="F189" s="145" t="s">
        <v>18</v>
      </c>
      <c r="G189" s="145" t="s">
        <v>18</v>
      </c>
      <c r="H189" s="145" t="s">
        <v>18</v>
      </c>
      <c r="I189" s="145" t="s">
        <v>18</v>
      </c>
      <c r="J189" s="145" t="s">
        <v>18</v>
      </c>
      <c r="K189" s="145" t="s">
        <v>18</v>
      </c>
      <c r="L189" s="145" t="s">
        <v>18</v>
      </c>
      <c r="M189" s="145" t="s">
        <v>18</v>
      </c>
      <c r="N189" s="145" t="s">
        <v>18</v>
      </c>
      <c r="O189" s="145" t="s">
        <v>18</v>
      </c>
      <c r="P189" s="145" t="s">
        <v>18</v>
      </c>
      <c r="Q189" s="145" t="s">
        <v>18</v>
      </c>
      <c r="R189" s="187">
        <f xml:space="preserve"> SUMIFS(F_Inputs_BP!H$7:H$108, F_Inputs_BP!$A$7:$A$108, $A189, F_Inputs_BP!$B$7:$B$108, $B189)</f>
        <v>0</v>
      </c>
      <c r="S189" s="187">
        <f xml:space="preserve"> SUMIFS(F_Inputs_BP!I$7:I$108, F_Inputs_BP!$A$7:$A$108, $A189, F_Inputs_BP!$B$7:$B$108, $B189)</f>
        <v>0</v>
      </c>
      <c r="T189" s="187">
        <f xml:space="preserve"> SUMIFS(F_Inputs_BP!J$7:J$108, F_Inputs_BP!$A$7:$A$108, $A189, F_Inputs_BP!$B$7:$B$108, $B189)</f>
        <v>0</v>
      </c>
      <c r="U189" s="187">
        <f xml:space="preserve"> SUMIFS(F_Inputs_BP!K$7:K$108, F_Inputs_BP!$A$7:$A$108, $A189, F_Inputs_BP!$B$7:$B$108, $B189)</f>
        <v>0</v>
      </c>
      <c r="V189" s="187">
        <f xml:space="preserve"> SUMIFS(F_Inputs_BP!L$7:L$108, F_Inputs_BP!$A$7:$A$108, $A189, F_Inputs_BP!$B$7:$B$108, $B189)</f>
        <v>0</v>
      </c>
      <c r="W189" s="187">
        <f xml:space="preserve"> SUMIFS(F_Inputs_BP!M$7:M$108, F_Inputs_BP!$A$7:$A$108, $A189, F_Inputs_BP!$B$7:$B$108, $B189)</f>
        <v>0</v>
      </c>
      <c r="X189" s="187">
        <f xml:space="preserve"> SUMIFS(F_Inputs_BP!N$7:N$108, F_Inputs_BP!$A$7:$A$108, $A189, F_Inputs_BP!$B$7:$B$108, $B189)</f>
        <v>0</v>
      </c>
      <c r="Y189" s="187">
        <f xml:space="preserve"> SUMIFS(F_Inputs_BP!O$7:O$108, F_Inputs_BP!$A$7:$A$108, $A189, F_Inputs_BP!$B$7:$B$108, $B189)</f>
        <v>0</v>
      </c>
    </row>
    <row r="190" spans="1:25" x14ac:dyDescent="0.35">
      <c r="A190" s="142" t="s">
        <v>55</v>
      </c>
      <c r="B190" s="142" t="s">
        <v>41</v>
      </c>
      <c r="C190" s="142" t="s">
        <v>36</v>
      </c>
      <c r="D190" s="142" t="s">
        <v>34</v>
      </c>
      <c r="E190" s="142" t="s">
        <v>17</v>
      </c>
      <c r="F190" s="145" t="s">
        <v>18</v>
      </c>
      <c r="G190" s="145" t="s">
        <v>18</v>
      </c>
      <c r="H190" s="145" t="s">
        <v>18</v>
      </c>
      <c r="I190" s="145" t="s">
        <v>18</v>
      </c>
      <c r="J190" s="145" t="s">
        <v>18</v>
      </c>
      <c r="K190" s="145" t="s">
        <v>18</v>
      </c>
      <c r="L190" s="145" t="s">
        <v>18</v>
      </c>
      <c r="M190" s="145" t="s">
        <v>18</v>
      </c>
      <c r="N190" s="145" t="s">
        <v>18</v>
      </c>
      <c r="O190" s="145" t="s">
        <v>18</v>
      </c>
      <c r="P190" s="145" t="s">
        <v>18</v>
      </c>
      <c r="Q190" s="145" t="s">
        <v>18</v>
      </c>
      <c r="R190" s="187">
        <f xml:space="preserve"> SUMIFS(F_Inputs_BP!H$7:H$108, F_Inputs_BP!$A$7:$A$108, $A190, F_Inputs_BP!$B$7:$B$108, $B190)</f>
        <v>0</v>
      </c>
      <c r="S190" s="187">
        <f xml:space="preserve"> SUMIFS(F_Inputs_BP!I$7:I$108, F_Inputs_BP!$A$7:$A$108, $A190, F_Inputs_BP!$B$7:$B$108, $B190)</f>
        <v>0</v>
      </c>
      <c r="T190" s="187">
        <f xml:space="preserve"> SUMIFS(F_Inputs_BP!J$7:J$108, F_Inputs_BP!$A$7:$A$108, $A190, F_Inputs_BP!$B$7:$B$108, $B190)</f>
        <v>0</v>
      </c>
      <c r="U190" s="187">
        <f xml:space="preserve"> SUMIFS(F_Inputs_BP!K$7:K$108, F_Inputs_BP!$A$7:$A$108, $A190, F_Inputs_BP!$B$7:$B$108, $B190)</f>
        <v>0</v>
      </c>
      <c r="V190" s="187">
        <f xml:space="preserve"> SUMIFS(F_Inputs_BP!L$7:L$108, F_Inputs_BP!$A$7:$A$108, $A190, F_Inputs_BP!$B$7:$B$108, $B190)</f>
        <v>0</v>
      </c>
      <c r="W190" s="187">
        <f xml:space="preserve"> SUMIFS(F_Inputs_BP!M$7:M$108, F_Inputs_BP!$A$7:$A$108, $A190, F_Inputs_BP!$B$7:$B$108, $B190)</f>
        <v>0</v>
      </c>
      <c r="X190" s="187">
        <f xml:space="preserve"> SUMIFS(F_Inputs_BP!N$7:N$108, F_Inputs_BP!$A$7:$A$108, $A190, F_Inputs_BP!$B$7:$B$108, $B190)</f>
        <v>0</v>
      </c>
      <c r="Y190" s="187">
        <f xml:space="preserve"> SUMIFS(F_Inputs_BP!O$7:O$108, F_Inputs_BP!$A$7:$A$108, $A190, F_Inputs_BP!$B$7:$B$108, $B190)</f>
        <v>0</v>
      </c>
    </row>
    <row r="191" spans="1:25" x14ac:dyDescent="0.35">
      <c r="A191" s="142" t="s">
        <v>55</v>
      </c>
      <c r="B191" s="142" t="s">
        <v>42</v>
      </c>
      <c r="C191" s="142" t="s">
        <v>38</v>
      </c>
      <c r="D191" s="142" t="s">
        <v>39</v>
      </c>
      <c r="E191" s="142" t="s">
        <v>17</v>
      </c>
      <c r="F191" s="145" t="s">
        <v>18</v>
      </c>
      <c r="G191" s="145" t="s">
        <v>18</v>
      </c>
      <c r="H191" s="145" t="s">
        <v>18</v>
      </c>
      <c r="I191" s="145" t="s">
        <v>18</v>
      </c>
      <c r="J191" s="145" t="s">
        <v>18</v>
      </c>
      <c r="K191" s="145" t="s">
        <v>18</v>
      </c>
      <c r="L191" s="145" t="s">
        <v>18</v>
      </c>
      <c r="M191" s="145" t="s">
        <v>18</v>
      </c>
      <c r="N191" s="145" t="s">
        <v>18</v>
      </c>
      <c r="O191" s="145" t="s">
        <v>18</v>
      </c>
      <c r="P191" s="145" t="s">
        <v>18</v>
      </c>
      <c r="Q191" s="145" t="s">
        <v>18</v>
      </c>
      <c r="R191" s="188">
        <f xml:space="preserve"> SUMIFS(F_Inputs_BP!H$7:H$108, F_Inputs_BP!$A$7:$A$108, $A191, F_Inputs_BP!$B$7:$B$108, $B191)</f>
        <v>0</v>
      </c>
      <c r="S191" s="188">
        <f xml:space="preserve"> SUMIFS(F_Inputs_BP!I$7:I$108, F_Inputs_BP!$A$7:$A$108, $A191, F_Inputs_BP!$B$7:$B$108, $B191)</f>
        <v>0</v>
      </c>
      <c r="T191" s="188">
        <f xml:space="preserve"> SUMIFS(F_Inputs_BP!J$7:J$108, F_Inputs_BP!$A$7:$A$108, $A191, F_Inputs_BP!$B$7:$B$108, $B191)</f>
        <v>0</v>
      </c>
      <c r="U191" s="188">
        <f xml:space="preserve"> SUMIFS(F_Inputs_BP!K$7:K$108, F_Inputs_BP!$A$7:$A$108, $A191, F_Inputs_BP!$B$7:$B$108, $B191)</f>
        <v>0</v>
      </c>
      <c r="V191" s="188">
        <f xml:space="preserve"> SUMIFS(F_Inputs_BP!L$7:L$108, F_Inputs_BP!$A$7:$A$108, $A191, F_Inputs_BP!$B$7:$B$108, $B191)</f>
        <v>0</v>
      </c>
      <c r="W191" s="188">
        <f xml:space="preserve"> SUMIFS(F_Inputs_BP!M$7:M$108, F_Inputs_BP!$A$7:$A$108, $A191, F_Inputs_BP!$B$7:$B$108, $B191)</f>
        <v>0</v>
      </c>
      <c r="X191" s="188">
        <f xml:space="preserve"> SUMIFS(F_Inputs_BP!N$7:N$108, F_Inputs_BP!$A$7:$A$108, $A191, F_Inputs_BP!$B$7:$B$108, $B191)</f>
        <v>0</v>
      </c>
      <c r="Y191" s="188">
        <f xml:space="preserve"> SUMIFS(F_Inputs_BP!O$7:O$108, F_Inputs_BP!$A$7:$A$108, $A191, F_Inputs_BP!$B$7:$B$108, $B191)</f>
        <v>0</v>
      </c>
    </row>
    <row r="192" spans="1:25" x14ac:dyDescent="0.35">
      <c r="A192" s="142" t="s">
        <v>56</v>
      </c>
      <c r="B192" s="142" t="s">
        <v>32</v>
      </c>
      <c r="C192" s="142" t="s">
        <v>33</v>
      </c>
      <c r="D192" s="142" t="s">
        <v>34</v>
      </c>
      <c r="E192" s="142" t="s">
        <v>17</v>
      </c>
      <c r="F192" s="145" t="s">
        <v>18</v>
      </c>
      <c r="G192" s="145" t="s">
        <v>18</v>
      </c>
      <c r="H192" s="145" t="s">
        <v>18</v>
      </c>
      <c r="I192" s="145" t="s">
        <v>18</v>
      </c>
      <c r="J192" s="145" t="s">
        <v>18</v>
      </c>
      <c r="K192" s="145" t="s">
        <v>18</v>
      </c>
      <c r="L192" s="145" t="s">
        <v>18</v>
      </c>
      <c r="M192" s="145" t="s">
        <v>18</v>
      </c>
      <c r="N192" s="145" t="s">
        <v>18</v>
      </c>
      <c r="O192" s="145" t="s">
        <v>18</v>
      </c>
      <c r="P192" s="145" t="s">
        <v>18</v>
      </c>
      <c r="Q192" s="145" t="s">
        <v>18</v>
      </c>
      <c r="R192" s="187">
        <f xml:space="preserve"> SUMIFS(F_Inputs_BP!H$7:H$108, F_Inputs_BP!$A$7:$A$108, $A192, F_Inputs_BP!$B$7:$B$108, $B192)</f>
        <v>0.57299999999999995</v>
      </c>
      <c r="S192" s="187">
        <f xml:space="preserve"> SUMIFS(F_Inputs_BP!I$7:I$108, F_Inputs_BP!$A$7:$A$108, $A192, F_Inputs_BP!$B$7:$B$108, $B192)</f>
        <v>1.0507178729007369</v>
      </c>
      <c r="T192" s="187">
        <f xml:space="preserve"> SUMIFS(F_Inputs_BP!J$7:J$108, F_Inputs_BP!$A$7:$A$108, $A192, F_Inputs_BP!$B$7:$B$108, $B192)</f>
        <v>1.366560737738022</v>
      </c>
      <c r="U192" s="187">
        <f xml:space="preserve"> SUMIFS(F_Inputs_BP!K$7:K$108, F_Inputs_BP!$A$7:$A$108, $A192, F_Inputs_BP!$B$7:$B$108, $B192)</f>
        <v>1.367</v>
      </c>
      <c r="V192" s="187">
        <f xml:space="preserve"> SUMIFS(F_Inputs_BP!L$7:L$108, F_Inputs_BP!$A$7:$A$108, $A192, F_Inputs_BP!$B$7:$B$108, $B192)</f>
        <v>1.367</v>
      </c>
      <c r="W192" s="187">
        <f xml:space="preserve"> SUMIFS(F_Inputs_BP!M$7:M$108, F_Inputs_BP!$A$7:$A$108, $A192, F_Inputs_BP!$B$7:$B$108, $B192)</f>
        <v>1.367</v>
      </c>
      <c r="X192" s="187">
        <f xml:space="preserve"> SUMIFS(F_Inputs_BP!N$7:N$108, F_Inputs_BP!$A$7:$A$108, $A192, F_Inputs_BP!$B$7:$B$108, $B192)</f>
        <v>1.367</v>
      </c>
      <c r="Y192" s="187">
        <f xml:space="preserve"> SUMIFS(F_Inputs_BP!O$7:O$108, F_Inputs_BP!$A$7:$A$108, $A192, F_Inputs_BP!$B$7:$B$108, $B192)</f>
        <v>1.367</v>
      </c>
    </row>
    <row r="193" spans="1:25" x14ac:dyDescent="0.35">
      <c r="A193" s="142" t="s">
        <v>56</v>
      </c>
      <c r="B193" s="142" t="s">
        <v>35</v>
      </c>
      <c r="C193" s="142" t="s">
        <v>36</v>
      </c>
      <c r="D193" s="142" t="s">
        <v>34</v>
      </c>
      <c r="E193" s="142" t="s">
        <v>17</v>
      </c>
      <c r="F193" s="145" t="s">
        <v>18</v>
      </c>
      <c r="G193" s="145" t="s">
        <v>18</v>
      </c>
      <c r="H193" s="145" t="s">
        <v>18</v>
      </c>
      <c r="I193" s="145" t="s">
        <v>18</v>
      </c>
      <c r="J193" s="145" t="s">
        <v>18</v>
      </c>
      <c r="K193" s="145" t="s">
        <v>18</v>
      </c>
      <c r="L193" s="145" t="s">
        <v>18</v>
      </c>
      <c r="M193" s="145" t="s">
        <v>18</v>
      </c>
      <c r="N193" s="145" t="s">
        <v>18</v>
      </c>
      <c r="O193" s="145" t="s">
        <v>18</v>
      </c>
      <c r="P193" s="145" t="s">
        <v>18</v>
      </c>
      <c r="Q193" s="145" t="s">
        <v>18</v>
      </c>
      <c r="R193" s="187">
        <f xml:space="preserve"> SUMIFS(F_Inputs_BP!H$7:H$108, F_Inputs_BP!$A$7:$A$108, $A193, F_Inputs_BP!$B$7:$B$108, $B193)</f>
        <v>0.109</v>
      </c>
      <c r="S193" s="187">
        <f xml:space="preserve"> SUMIFS(F_Inputs_BP!I$7:I$108, F_Inputs_BP!$A$7:$A$108, $A193, F_Inputs_BP!$B$7:$B$108, $B193)</f>
        <v>0.3695040310471483</v>
      </c>
      <c r="T193" s="187">
        <f xml:space="preserve"> SUMIFS(F_Inputs_BP!J$7:J$108, F_Inputs_BP!$A$7:$A$108, $A193, F_Inputs_BP!$B$7:$B$108, $B193)</f>
        <v>0.48036680478063809</v>
      </c>
      <c r="U193" s="187">
        <f xml:space="preserve"> SUMIFS(F_Inputs_BP!K$7:K$108, F_Inputs_BP!$A$7:$A$108, $A193, F_Inputs_BP!$B$7:$B$108, $B193)</f>
        <v>0.48</v>
      </c>
      <c r="V193" s="187">
        <f xml:space="preserve"> SUMIFS(F_Inputs_BP!L$7:L$108, F_Inputs_BP!$A$7:$A$108, $A193, F_Inputs_BP!$B$7:$B$108, $B193)</f>
        <v>0.48</v>
      </c>
      <c r="W193" s="187">
        <f xml:space="preserve"> SUMIFS(F_Inputs_BP!M$7:M$108, F_Inputs_BP!$A$7:$A$108, $A193, F_Inputs_BP!$B$7:$B$108, $B193)</f>
        <v>0.48</v>
      </c>
      <c r="X193" s="187">
        <f xml:space="preserve"> SUMIFS(F_Inputs_BP!N$7:N$108, F_Inputs_BP!$A$7:$A$108, $A193, F_Inputs_BP!$B$7:$B$108, $B193)</f>
        <v>0.48</v>
      </c>
      <c r="Y193" s="187">
        <f xml:space="preserve"> SUMIFS(F_Inputs_BP!O$7:O$108, F_Inputs_BP!$A$7:$A$108, $A193, F_Inputs_BP!$B$7:$B$108, $B193)</f>
        <v>0.48</v>
      </c>
    </row>
    <row r="194" spans="1:25" x14ac:dyDescent="0.35">
      <c r="A194" s="142" t="s">
        <v>56</v>
      </c>
      <c r="B194" s="142" t="s">
        <v>37</v>
      </c>
      <c r="C194" s="142" t="s">
        <v>38</v>
      </c>
      <c r="D194" s="142" t="s">
        <v>39</v>
      </c>
      <c r="E194" s="142" t="s">
        <v>17</v>
      </c>
      <c r="F194" s="145" t="s">
        <v>18</v>
      </c>
      <c r="G194" s="145" t="s">
        <v>18</v>
      </c>
      <c r="H194" s="145" t="s">
        <v>18</v>
      </c>
      <c r="I194" s="145" t="s">
        <v>18</v>
      </c>
      <c r="J194" s="145" t="s">
        <v>18</v>
      </c>
      <c r="K194" s="145" t="s">
        <v>18</v>
      </c>
      <c r="L194" s="145" t="s">
        <v>18</v>
      </c>
      <c r="M194" s="145" t="s">
        <v>18</v>
      </c>
      <c r="N194" s="145" t="s">
        <v>18</v>
      </c>
      <c r="O194" s="145" t="s">
        <v>18</v>
      </c>
      <c r="P194" s="145" t="s">
        <v>18</v>
      </c>
      <c r="Q194" s="145" t="s">
        <v>18</v>
      </c>
      <c r="R194" s="188">
        <f xml:space="preserve"> SUMIFS(F_Inputs_BP!H$7:H$108, F_Inputs_BP!$A$7:$A$108, $A194, F_Inputs_BP!$B$7:$B$108, $B194)</f>
        <v>18931</v>
      </c>
      <c r="S194" s="188">
        <f xml:space="preserve"> SUMIFS(F_Inputs_BP!I$7:I$108, F_Inputs_BP!$A$7:$A$108, $A194, F_Inputs_BP!$B$7:$B$108, $B194)</f>
        <v>21517</v>
      </c>
      <c r="T194" s="188">
        <f xml:space="preserve"> SUMIFS(F_Inputs_BP!J$7:J$108, F_Inputs_BP!$A$7:$A$108, $A194, F_Inputs_BP!$B$7:$B$108, $B194)</f>
        <v>21662</v>
      </c>
      <c r="U194" s="188">
        <f xml:space="preserve"> SUMIFS(F_Inputs_BP!K$7:K$108, F_Inputs_BP!$A$7:$A$108, $A194, F_Inputs_BP!$B$7:$B$108, $B194)</f>
        <v>21749</v>
      </c>
      <c r="V194" s="188">
        <f xml:space="preserve"> SUMIFS(F_Inputs_BP!L$7:L$108, F_Inputs_BP!$A$7:$A$108, $A194, F_Inputs_BP!$B$7:$B$108, $B194)</f>
        <v>21827</v>
      </c>
      <c r="W194" s="188">
        <f xml:space="preserve"> SUMIFS(F_Inputs_BP!M$7:M$108, F_Inputs_BP!$A$7:$A$108, $A194, F_Inputs_BP!$B$7:$B$108, $B194)</f>
        <v>21936</v>
      </c>
      <c r="X194" s="188">
        <f xml:space="preserve"> SUMIFS(F_Inputs_BP!N$7:N$108, F_Inputs_BP!$A$7:$A$108, $A194, F_Inputs_BP!$B$7:$B$108, $B194)</f>
        <v>22070</v>
      </c>
      <c r="Y194" s="188">
        <f xml:space="preserve"> SUMIFS(F_Inputs_BP!O$7:O$108, F_Inputs_BP!$A$7:$A$108, $A194, F_Inputs_BP!$B$7:$B$108, $B194)</f>
        <v>22253</v>
      </c>
    </row>
    <row r="195" spans="1:25" x14ac:dyDescent="0.35">
      <c r="A195" s="142" t="s">
        <v>56</v>
      </c>
      <c r="B195" s="142" t="s">
        <v>40</v>
      </c>
      <c r="C195" s="142" t="s">
        <v>33</v>
      </c>
      <c r="D195" s="142" t="s">
        <v>34</v>
      </c>
      <c r="E195" s="142" t="s">
        <v>17</v>
      </c>
      <c r="F195" s="145" t="s">
        <v>18</v>
      </c>
      <c r="G195" s="145" t="s">
        <v>18</v>
      </c>
      <c r="H195" s="145" t="s">
        <v>18</v>
      </c>
      <c r="I195" s="145" t="s">
        <v>18</v>
      </c>
      <c r="J195" s="145" t="s">
        <v>18</v>
      </c>
      <c r="K195" s="145" t="s">
        <v>18</v>
      </c>
      <c r="L195" s="145" t="s">
        <v>18</v>
      </c>
      <c r="M195" s="145" t="s">
        <v>18</v>
      </c>
      <c r="N195" s="145" t="s">
        <v>18</v>
      </c>
      <c r="O195" s="145" t="s">
        <v>18</v>
      </c>
      <c r="P195" s="145" t="s">
        <v>18</v>
      </c>
      <c r="Q195" s="145" t="s">
        <v>18</v>
      </c>
      <c r="R195" s="187">
        <f xml:space="preserve"> SUMIFS(F_Inputs_BP!H$7:H$108, F_Inputs_BP!$A$7:$A$108, $A195, F_Inputs_BP!$B$7:$B$108, $B195)</f>
        <v>0</v>
      </c>
      <c r="S195" s="187">
        <f xml:space="preserve"> SUMIFS(F_Inputs_BP!I$7:I$108, F_Inputs_BP!$A$7:$A$108, $A195, F_Inputs_BP!$B$7:$B$108, $B195)</f>
        <v>0</v>
      </c>
      <c r="T195" s="187">
        <f xml:space="preserve"> SUMIFS(F_Inputs_BP!J$7:J$108, F_Inputs_BP!$A$7:$A$108, $A195, F_Inputs_BP!$B$7:$B$108, $B195)</f>
        <v>0</v>
      </c>
      <c r="U195" s="187">
        <f xml:space="preserve"> SUMIFS(F_Inputs_BP!K$7:K$108, F_Inputs_BP!$A$7:$A$108, $A195, F_Inputs_BP!$B$7:$B$108, $B195)</f>
        <v>0</v>
      </c>
      <c r="V195" s="187">
        <f xml:space="preserve"> SUMIFS(F_Inputs_BP!L$7:L$108, F_Inputs_BP!$A$7:$A$108, $A195, F_Inputs_BP!$B$7:$B$108, $B195)</f>
        <v>0</v>
      </c>
      <c r="W195" s="187">
        <f xml:space="preserve"> SUMIFS(F_Inputs_BP!M$7:M$108, F_Inputs_BP!$A$7:$A$108, $A195, F_Inputs_BP!$B$7:$B$108, $B195)</f>
        <v>0</v>
      </c>
      <c r="X195" s="187">
        <f xml:space="preserve"> SUMIFS(F_Inputs_BP!N$7:N$108, F_Inputs_BP!$A$7:$A$108, $A195, F_Inputs_BP!$B$7:$B$108, $B195)</f>
        <v>0</v>
      </c>
      <c r="Y195" s="187">
        <f xml:space="preserve"> SUMIFS(F_Inputs_BP!O$7:O$108, F_Inputs_BP!$A$7:$A$108, $A195, F_Inputs_BP!$B$7:$B$108, $B195)</f>
        <v>0</v>
      </c>
    </row>
    <row r="196" spans="1:25" x14ac:dyDescent="0.35">
      <c r="A196" s="142" t="s">
        <v>56</v>
      </c>
      <c r="B196" s="142" t="s">
        <v>41</v>
      </c>
      <c r="C196" s="142" t="s">
        <v>36</v>
      </c>
      <c r="D196" s="142" t="s">
        <v>34</v>
      </c>
      <c r="E196" s="142" t="s">
        <v>17</v>
      </c>
      <c r="F196" s="145" t="s">
        <v>18</v>
      </c>
      <c r="G196" s="145" t="s">
        <v>18</v>
      </c>
      <c r="H196" s="145" t="s">
        <v>18</v>
      </c>
      <c r="I196" s="145" t="s">
        <v>18</v>
      </c>
      <c r="J196" s="145" t="s">
        <v>18</v>
      </c>
      <c r="K196" s="145" t="s">
        <v>18</v>
      </c>
      <c r="L196" s="145" t="s">
        <v>18</v>
      </c>
      <c r="M196" s="145" t="s">
        <v>18</v>
      </c>
      <c r="N196" s="145" t="s">
        <v>18</v>
      </c>
      <c r="O196" s="145" t="s">
        <v>18</v>
      </c>
      <c r="P196" s="145" t="s">
        <v>18</v>
      </c>
      <c r="Q196" s="145" t="s">
        <v>18</v>
      </c>
      <c r="R196" s="187">
        <f xml:space="preserve"> SUMIFS(F_Inputs_BP!H$7:H$108, F_Inputs_BP!$A$7:$A$108, $A196, F_Inputs_BP!$B$7:$B$108, $B196)</f>
        <v>0</v>
      </c>
      <c r="S196" s="187">
        <f xml:space="preserve"> SUMIFS(F_Inputs_BP!I$7:I$108, F_Inputs_BP!$A$7:$A$108, $A196, F_Inputs_BP!$B$7:$B$108, $B196)</f>
        <v>0</v>
      </c>
      <c r="T196" s="187">
        <f xml:space="preserve"> SUMIFS(F_Inputs_BP!J$7:J$108, F_Inputs_BP!$A$7:$A$108, $A196, F_Inputs_BP!$B$7:$B$108, $B196)</f>
        <v>0</v>
      </c>
      <c r="U196" s="187">
        <f xml:space="preserve"> SUMIFS(F_Inputs_BP!K$7:K$108, F_Inputs_BP!$A$7:$A$108, $A196, F_Inputs_BP!$B$7:$B$108, $B196)</f>
        <v>0</v>
      </c>
      <c r="V196" s="187">
        <f xml:space="preserve"> SUMIFS(F_Inputs_BP!L$7:L$108, F_Inputs_BP!$A$7:$A$108, $A196, F_Inputs_BP!$B$7:$B$108, $B196)</f>
        <v>0</v>
      </c>
      <c r="W196" s="187">
        <f xml:space="preserve"> SUMIFS(F_Inputs_BP!M$7:M$108, F_Inputs_BP!$A$7:$A$108, $A196, F_Inputs_BP!$B$7:$B$108, $B196)</f>
        <v>0</v>
      </c>
      <c r="X196" s="187">
        <f xml:space="preserve"> SUMIFS(F_Inputs_BP!N$7:N$108, F_Inputs_BP!$A$7:$A$108, $A196, F_Inputs_BP!$B$7:$B$108, $B196)</f>
        <v>0</v>
      </c>
      <c r="Y196" s="187">
        <f xml:space="preserve"> SUMIFS(F_Inputs_BP!O$7:O$108, F_Inputs_BP!$A$7:$A$108, $A196, F_Inputs_BP!$B$7:$B$108, $B196)</f>
        <v>0</v>
      </c>
    </row>
    <row r="197" spans="1:25" x14ac:dyDescent="0.35">
      <c r="A197" s="142" t="s">
        <v>56</v>
      </c>
      <c r="B197" s="142" t="s">
        <v>42</v>
      </c>
      <c r="C197" s="142" t="s">
        <v>38</v>
      </c>
      <c r="D197" s="142" t="s">
        <v>39</v>
      </c>
      <c r="E197" s="142" t="s">
        <v>17</v>
      </c>
      <c r="F197" s="145" t="s">
        <v>18</v>
      </c>
      <c r="G197" s="145" t="s">
        <v>18</v>
      </c>
      <c r="H197" s="145" t="s">
        <v>18</v>
      </c>
      <c r="I197" s="145" t="s">
        <v>18</v>
      </c>
      <c r="J197" s="145" t="s">
        <v>18</v>
      </c>
      <c r="K197" s="145" t="s">
        <v>18</v>
      </c>
      <c r="L197" s="145" t="s">
        <v>18</v>
      </c>
      <c r="M197" s="145" t="s">
        <v>18</v>
      </c>
      <c r="N197" s="145" t="s">
        <v>18</v>
      </c>
      <c r="O197" s="145" t="s">
        <v>18</v>
      </c>
      <c r="P197" s="145" t="s">
        <v>18</v>
      </c>
      <c r="Q197" s="145" t="s">
        <v>18</v>
      </c>
      <c r="R197" s="188">
        <f xml:space="preserve"> SUMIFS(F_Inputs_BP!H$7:H$108, F_Inputs_BP!$A$7:$A$108, $A197, F_Inputs_BP!$B$7:$B$108, $B197)</f>
        <v>0</v>
      </c>
      <c r="S197" s="188">
        <f xml:space="preserve"> SUMIFS(F_Inputs_BP!I$7:I$108, F_Inputs_BP!$A$7:$A$108, $A197, F_Inputs_BP!$B$7:$B$108, $B197)</f>
        <v>0</v>
      </c>
      <c r="T197" s="188">
        <f xml:space="preserve"> SUMIFS(F_Inputs_BP!J$7:J$108, F_Inputs_BP!$A$7:$A$108, $A197, F_Inputs_BP!$B$7:$B$108, $B197)</f>
        <v>0</v>
      </c>
      <c r="U197" s="188">
        <f xml:space="preserve"> SUMIFS(F_Inputs_BP!K$7:K$108, F_Inputs_BP!$A$7:$A$108, $A197, F_Inputs_BP!$B$7:$B$108, $B197)</f>
        <v>0</v>
      </c>
      <c r="V197" s="188">
        <f xml:space="preserve"> SUMIFS(F_Inputs_BP!L$7:L$108, F_Inputs_BP!$A$7:$A$108, $A197, F_Inputs_BP!$B$7:$B$108, $B197)</f>
        <v>0</v>
      </c>
      <c r="W197" s="188">
        <f xml:space="preserve"> SUMIFS(F_Inputs_BP!M$7:M$108, F_Inputs_BP!$A$7:$A$108, $A197, F_Inputs_BP!$B$7:$B$108, $B197)</f>
        <v>0</v>
      </c>
      <c r="X197" s="188">
        <f xml:space="preserve"> SUMIFS(F_Inputs_BP!N$7:N$108, F_Inputs_BP!$A$7:$A$108, $A197, F_Inputs_BP!$B$7:$B$108, $B197)</f>
        <v>0</v>
      </c>
      <c r="Y197" s="188">
        <f xml:space="preserve"> SUMIFS(F_Inputs_BP!O$7:O$108, F_Inputs_BP!$A$7:$A$108, $A197, F_Inputs_BP!$B$7:$B$108, $B197)</f>
        <v>0</v>
      </c>
    </row>
    <row r="198" spans="1:25" x14ac:dyDescent="0.35">
      <c r="A198" s="142" t="s">
        <v>57</v>
      </c>
      <c r="B198" s="142" t="s">
        <v>32</v>
      </c>
      <c r="C198" s="142" t="s">
        <v>33</v>
      </c>
      <c r="D198" s="142" t="s">
        <v>34</v>
      </c>
      <c r="E198" s="142" t="s">
        <v>17</v>
      </c>
      <c r="F198" s="145" t="s">
        <v>18</v>
      </c>
      <c r="G198" s="145" t="s">
        <v>18</v>
      </c>
      <c r="H198" s="145" t="s">
        <v>18</v>
      </c>
      <c r="I198" s="145" t="s">
        <v>18</v>
      </c>
      <c r="J198" s="145" t="s">
        <v>18</v>
      </c>
      <c r="K198" s="145" t="s">
        <v>18</v>
      </c>
      <c r="L198" s="145" t="s">
        <v>18</v>
      </c>
      <c r="M198" s="145" t="s">
        <v>18</v>
      </c>
      <c r="N198" s="145" t="s">
        <v>18</v>
      </c>
      <c r="O198" s="145" t="s">
        <v>18</v>
      </c>
      <c r="P198" s="145" t="s">
        <v>18</v>
      </c>
      <c r="Q198" s="145" t="s">
        <v>18</v>
      </c>
      <c r="R198" s="187">
        <f xml:space="preserve"> SUMIFS(F_Inputs_BP!H$7:H$108, F_Inputs_BP!$A$7:$A$108, $A198, F_Inputs_BP!$B$7:$B$108, $B198)</f>
        <v>0.48899999999999999</v>
      </c>
      <c r="S198" s="187">
        <f xml:space="preserve"> SUMIFS(F_Inputs_BP!I$7:I$108, F_Inputs_BP!$A$7:$A$108, $A198, F_Inputs_BP!$B$7:$B$108, $B198)</f>
        <v>0.48899999999999999</v>
      </c>
      <c r="T198" s="187">
        <f xml:space="preserve"> SUMIFS(F_Inputs_BP!J$7:J$108, F_Inputs_BP!$A$7:$A$108, $A198, F_Inputs_BP!$B$7:$B$108, $B198)</f>
        <v>0.48899999999999999</v>
      </c>
      <c r="U198" s="187">
        <f xml:space="preserve"> SUMIFS(F_Inputs_BP!K$7:K$108, F_Inputs_BP!$A$7:$A$108, $A198, F_Inputs_BP!$B$7:$B$108, $B198)</f>
        <v>0.48899999999999999</v>
      </c>
      <c r="V198" s="187">
        <f xml:space="preserve"> SUMIFS(F_Inputs_BP!L$7:L$108, F_Inputs_BP!$A$7:$A$108, $A198, F_Inputs_BP!$B$7:$B$108, $B198)</f>
        <v>0.48899999999999999</v>
      </c>
      <c r="W198" s="187">
        <f xml:space="preserve"> SUMIFS(F_Inputs_BP!M$7:M$108, F_Inputs_BP!$A$7:$A$108, $A198, F_Inputs_BP!$B$7:$B$108, $B198)</f>
        <v>0.48899999999999999</v>
      </c>
      <c r="X198" s="187">
        <f xml:space="preserve"> SUMIFS(F_Inputs_BP!N$7:N$108, F_Inputs_BP!$A$7:$A$108, $A198, F_Inputs_BP!$B$7:$B$108, $B198)</f>
        <v>0.48899999999999999</v>
      </c>
      <c r="Y198" s="187">
        <f xml:space="preserve"> SUMIFS(F_Inputs_BP!O$7:O$108, F_Inputs_BP!$A$7:$A$108, $A198, F_Inputs_BP!$B$7:$B$108, $B198)</f>
        <v>0.48899999999999999</v>
      </c>
    </row>
    <row r="199" spans="1:25" x14ac:dyDescent="0.35">
      <c r="A199" s="142" t="s">
        <v>57</v>
      </c>
      <c r="B199" s="142" t="s">
        <v>35</v>
      </c>
      <c r="C199" s="142" t="s">
        <v>36</v>
      </c>
      <c r="D199" s="142" t="s">
        <v>34</v>
      </c>
      <c r="E199" s="142" t="s">
        <v>17</v>
      </c>
      <c r="F199" s="145" t="s">
        <v>18</v>
      </c>
      <c r="G199" s="145" t="s">
        <v>18</v>
      </c>
      <c r="H199" s="145" t="s">
        <v>18</v>
      </c>
      <c r="I199" s="145" t="s">
        <v>18</v>
      </c>
      <c r="J199" s="145" t="s">
        <v>18</v>
      </c>
      <c r="K199" s="145" t="s">
        <v>18</v>
      </c>
      <c r="L199" s="145" t="s">
        <v>18</v>
      </c>
      <c r="M199" s="145" t="s">
        <v>18</v>
      </c>
      <c r="N199" s="145" t="s">
        <v>18</v>
      </c>
      <c r="O199" s="145" t="s">
        <v>18</v>
      </c>
      <c r="P199" s="145" t="s">
        <v>18</v>
      </c>
      <c r="Q199" s="145" t="s">
        <v>18</v>
      </c>
      <c r="R199" s="187">
        <f xml:space="preserve"> SUMIFS(F_Inputs_BP!H$7:H$108, F_Inputs_BP!$A$7:$A$108, $A199, F_Inputs_BP!$B$7:$B$108, $B199)</f>
        <v>0.253</v>
      </c>
      <c r="S199" s="187">
        <f xml:space="preserve"> SUMIFS(F_Inputs_BP!I$7:I$108, F_Inputs_BP!$A$7:$A$108, $A199, F_Inputs_BP!$B$7:$B$108, $B199)</f>
        <v>0.253</v>
      </c>
      <c r="T199" s="187">
        <f xml:space="preserve"> SUMIFS(F_Inputs_BP!J$7:J$108, F_Inputs_BP!$A$7:$A$108, $A199, F_Inputs_BP!$B$7:$B$108, $B199)</f>
        <v>0.253</v>
      </c>
      <c r="U199" s="187">
        <f xml:space="preserve"> SUMIFS(F_Inputs_BP!K$7:K$108, F_Inputs_BP!$A$7:$A$108, $A199, F_Inputs_BP!$B$7:$B$108, $B199)</f>
        <v>0.253</v>
      </c>
      <c r="V199" s="187">
        <f xml:space="preserve"> SUMIFS(F_Inputs_BP!L$7:L$108, F_Inputs_BP!$A$7:$A$108, $A199, F_Inputs_BP!$B$7:$B$108, $B199)</f>
        <v>0.253</v>
      </c>
      <c r="W199" s="187">
        <f xml:space="preserve"> SUMIFS(F_Inputs_BP!M$7:M$108, F_Inputs_BP!$A$7:$A$108, $A199, F_Inputs_BP!$B$7:$B$108, $B199)</f>
        <v>0.253</v>
      </c>
      <c r="X199" s="187">
        <f xml:space="preserve"> SUMIFS(F_Inputs_BP!N$7:N$108, F_Inputs_BP!$A$7:$A$108, $A199, F_Inputs_BP!$B$7:$B$108, $B199)</f>
        <v>0.253</v>
      </c>
      <c r="Y199" s="187">
        <f xml:space="preserve"> SUMIFS(F_Inputs_BP!O$7:O$108, F_Inputs_BP!$A$7:$A$108, $A199, F_Inputs_BP!$B$7:$B$108, $B199)</f>
        <v>0.253</v>
      </c>
    </row>
    <row r="200" spans="1:25" x14ac:dyDescent="0.35">
      <c r="A200" s="142" t="s">
        <v>57</v>
      </c>
      <c r="B200" s="142" t="s">
        <v>37</v>
      </c>
      <c r="C200" s="142" t="s">
        <v>38</v>
      </c>
      <c r="D200" s="142" t="s">
        <v>39</v>
      </c>
      <c r="E200" s="142" t="s">
        <v>17</v>
      </c>
      <c r="F200" s="145" t="s">
        <v>18</v>
      </c>
      <c r="G200" s="145" t="s">
        <v>18</v>
      </c>
      <c r="H200" s="145" t="s">
        <v>18</v>
      </c>
      <c r="I200" s="145" t="s">
        <v>18</v>
      </c>
      <c r="J200" s="145" t="s">
        <v>18</v>
      </c>
      <c r="K200" s="145" t="s">
        <v>18</v>
      </c>
      <c r="L200" s="145" t="s">
        <v>18</v>
      </c>
      <c r="M200" s="145" t="s">
        <v>18</v>
      </c>
      <c r="N200" s="145" t="s">
        <v>18</v>
      </c>
      <c r="O200" s="145" t="s">
        <v>18</v>
      </c>
      <c r="P200" s="145" t="s">
        <v>18</v>
      </c>
      <c r="Q200" s="145" t="s">
        <v>18</v>
      </c>
      <c r="R200" s="188">
        <f xml:space="preserve"> SUMIFS(F_Inputs_BP!H$7:H$108, F_Inputs_BP!$A$7:$A$108, $A200, F_Inputs_BP!$B$7:$B$108, $B200)</f>
        <v>9974</v>
      </c>
      <c r="S200" s="188">
        <f xml:space="preserve"> SUMIFS(F_Inputs_BP!I$7:I$108, F_Inputs_BP!$A$7:$A$108, $A200, F_Inputs_BP!$B$7:$B$108, $B200)</f>
        <v>9974</v>
      </c>
      <c r="T200" s="188">
        <f xml:space="preserve"> SUMIFS(F_Inputs_BP!J$7:J$108, F_Inputs_BP!$A$7:$A$108, $A200, F_Inputs_BP!$B$7:$B$108, $B200)</f>
        <v>9974</v>
      </c>
      <c r="U200" s="188">
        <f xml:space="preserve"> SUMIFS(F_Inputs_BP!K$7:K$108, F_Inputs_BP!$A$7:$A$108, $A200, F_Inputs_BP!$B$7:$B$108, $B200)</f>
        <v>9974</v>
      </c>
      <c r="V200" s="188">
        <f xml:space="preserve"> SUMIFS(F_Inputs_BP!L$7:L$108, F_Inputs_BP!$A$7:$A$108, $A200, F_Inputs_BP!$B$7:$B$108, $B200)</f>
        <v>9974</v>
      </c>
      <c r="W200" s="188">
        <f xml:space="preserve"> SUMIFS(F_Inputs_BP!M$7:M$108, F_Inputs_BP!$A$7:$A$108, $A200, F_Inputs_BP!$B$7:$B$108, $B200)</f>
        <v>9974</v>
      </c>
      <c r="X200" s="188">
        <f xml:space="preserve"> SUMIFS(F_Inputs_BP!N$7:N$108, F_Inputs_BP!$A$7:$A$108, $A200, F_Inputs_BP!$B$7:$B$108, $B200)</f>
        <v>9974</v>
      </c>
      <c r="Y200" s="188">
        <f xml:space="preserve"> SUMIFS(F_Inputs_BP!O$7:O$108, F_Inputs_BP!$A$7:$A$108, $A200, F_Inputs_BP!$B$7:$B$108, $B200)</f>
        <v>9974</v>
      </c>
    </row>
    <row r="201" spans="1:25" x14ac:dyDescent="0.35">
      <c r="A201" s="142" t="s">
        <v>57</v>
      </c>
      <c r="B201" s="142" t="s">
        <v>40</v>
      </c>
      <c r="C201" s="142" t="s">
        <v>33</v>
      </c>
      <c r="D201" s="142" t="s">
        <v>34</v>
      </c>
      <c r="E201" s="142" t="s">
        <v>17</v>
      </c>
      <c r="F201" s="145" t="s">
        <v>18</v>
      </c>
      <c r="G201" s="145" t="s">
        <v>18</v>
      </c>
      <c r="H201" s="145" t="s">
        <v>18</v>
      </c>
      <c r="I201" s="145" t="s">
        <v>18</v>
      </c>
      <c r="J201" s="145" t="s">
        <v>18</v>
      </c>
      <c r="K201" s="145" t="s">
        <v>18</v>
      </c>
      <c r="L201" s="145" t="s">
        <v>18</v>
      </c>
      <c r="M201" s="145" t="s">
        <v>18</v>
      </c>
      <c r="N201" s="145" t="s">
        <v>18</v>
      </c>
      <c r="O201" s="145" t="s">
        <v>18</v>
      </c>
      <c r="P201" s="145" t="s">
        <v>18</v>
      </c>
      <c r="Q201" s="145" t="s">
        <v>18</v>
      </c>
      <c r="R201" s="187">
        <f xml:space="preserve"> SUMIFS(F_Inputs_BP!H$7:H$108, F_Inputs_BP!$A$7:$A$108, $A201, F_Inputs_BP!$B$7:$B$108, $B201)</f>
        <v>0</v>
      </c>
      <c r="S201" s="187">
        <f xml:space="preserve"> SUMIFS(F_Inputs_BP!I$7:I$108, F_Inputs_BP!$A$7:$A$108, $A201, F_Inputs_BP!$B$7:$B$108, $B201)</f>
        <v>0</v>
      </c>
      <c r="T201" s="187">
        <f xml:space="preserve"> SUMIFS(F_Inputs_BP!J$7:J$108, F_Inputs_BP!$A$7:$A$108, $A201, F_Inputs_BP!$B$7:$B$108, $B201)</f>
        <v>0</v>
      </c>
      <c r="U201" s="187">
        <f xml:space="preserve"> SUMIFS(F_Inputs_BP!K$7:K$108, F_Inputs_BP!$A$7:$A$108, $A201, F_Inputs_BP!$B$7:$B$108, $B201)</f>
        <v>0</v>
      </c>
      <c r="V201" s="187">
        <f xml:space="preserve"> SUMIFS(F_Inputs_BP!L$7:L$108, F_Inputs_BP!$A$7:$A$108, $A201, F_Inputs_BP!$B$7:$B$108, $B201)</f>
        <v>0</v>
      </c>
      <c r="W201" s="187">
        <f xml:space="preserve"> SUMIFS(F_Inputs_BP!M$7:M$108, F_Inputs_BP!$A$7:$A$108, $A201, F_Inputs_BP!$B$7:$B$108, $B201)</f>
        <v>0</v>
      </c>
      <c r="X201" s="187">
        <f xml:space="preserve"> SUMIFS(F_Inputs_BP!N$7:N$108, F_Inputs_BP!$A$7:$A$108, $A201, F_Inputs_BP!$B$7:$B$108, $B201)</f>
        <v>0</v>
      </c>
      <c r="Y201" s="187">
        <f xml:space="preserve"> SUMIFS(F_Inputs_BP!O$7:O$108, F_Inputs_BP!$A$7:$A$108, $A201, F_Inputs_BP!$B$7:$B$108, $B201)</f>
        <v>0</v>
      </c>
    </row>
    <row r="202" spans="1:25" x14ac:dyDescent="0.35">
      <c r="A202" s="142" t="s">
        <v>57</v>
      </c>
      <c r="B202" s="142" t="s">
        <v>41</v>
      </c>
      <c r="C202" s="142" t="s">
        <v>36</v>
      </c>
      <c r="D202" s="142" t="s">
        <v>34</v>
      </c>
      <c r="E202" s="142" t="s">
        <v>17</v>
      </c>
      <c r="F202" s="145" t="s">
        <v>18</v>
      </c>
      <c r="G202" s="145" t="s">
        <v>18</v>
      </c>
      <c r="H202" s="145" t="s">
        <v>18</v>
      </c>
      <c r="I202" s="145" t="s">
        <v>18</v>
      </c>
      <c r="J202" s="145" t="s">
        <v>18</v>
      </c>
      <c r="K202" s="145" t="s">
        <v>18</v>
      </c>
      <c r="L202" s="145" t="s">
        <v>18</v>
      </c>
      <c r="M202" s="145" t="s">
        <v>18</v>
      </c>
      <c r="N202" s="145" t="s">
        <v>18</v>
      </c>
      <c r="O202" s="145" t="s">
        <v>18</v>
      </c>
      <c r="P202" s="145" t="s">
        <v>18</v>
      </c>
      <c r="Q202" s="145" t="s">
        <v>18</v>
      </c>
      <c r="R202" s="187">
        <f xml:space="preserve"> SUMIFS(F_Inputs_BP!H$7:H$108, F_Inputs_BP!$A$7:$A$108, $A202, F_Inputs_BP!$B$7:$B$108, $B202)</f>
        <v>0</v>
      </c>
      <c r="S202" s="187">
        <f xml:space="preserve"> SUMIFS(F_Inputs_BP!I$7:I$108, F_Inputs_BP!$A$7:$A$108, $A202, F_Inputs_BP!$B$7:$B$108, $B202)</f>
        <v>0</v>
      </c>
      <c r="T202" s="187">
        <f xml:space="preserve"> SUMIFS(F_Inputs_BP!J$7:J$108, F_Inputs_BP!$A$7:$A$108, $A202, F_Inputs_BP!$B$7:$B$108, $B202)</f>
        <v>0</v>
      </c>
      <c r="U202" s="187">
        <f xml:space="preserve"> SUMIFS(F_Inputs_BP!K$7:K$108, F_Inputs_BP!$A$7:$A$108, $A202, F_Inputs_BP!$B$7:$B$108, $B202)</f>
        <v>0</v>
      </c>
      <c r="V202" s="187">
        <f xml:space="preserve"> SUMIFS(F_Inputs_BP!L$7:L$108, F_Inputs_BP!$A$7:$A$108, $A202, F_Inputs_BP!$B$7:$B$108, $B202)</f>
        <v>0</v>
      </c>
      <c r="W202" s="187">
        <f xml:space="preserve"> SUMIFS(F_Inputs_BP!M$7:M$108, F_Inputs_BP!$A$7:$A$108, $A202, F_Inputs_BP!$B$7:$B$108, $B202)</f>
        <v>0</v>
      </c>
      <c r="X202" s="187">
        <f xml:space="preserve"> SUMIFS(F_Inputs_BP!N$7:N$108, F_Inputs_BP!$A$7:$A$108, $A202, F_Inputs_BP!$B$7:$B$108, $B202)</f>
        <v>0</v>
      </c>
      <c r="Y202" s="187">
        <f xml:space="preserve"> SUMIFS(F_Inputs_BP!O$7:O$108, F_Inputs_BP!$A$7:$A$108, $A202, F_Inputs_BP!$B$7:$B$108, $B202)</f>
        <v>0</v>
      </c>
    </row>
    <row r="203" spans="1:25" x14ac:dyDescent="0.35">
      <c r="A203" s="142" t="s">
        <v>57</v>
      </c>
      <c r="B203" s="142" t="s">
        <v>42</v>
      </c>
      <c r="C203" s="142" t="s">
        <v>38</v>
      </c>
      <c r="D203" s="142" t="s">
        <v>39</v>
      </c>
      <c r="E203" s="142" t="s">
        <v>17</v>
      </c>
      <c r="F203" s="145" t="s">
        <v>18</v>
      </c>
      <c r="G203" s="145" t="s">
        <v>18</v>
      </c>
      <c r="H203" s="145" t="s">
        <v>18</v>
      </c>
      <c r="I203" s="145" t="s">
        <v>18</v>
      </c>
      <c r="J203" s="145" t="s">
        <v>18</v>
      </c>
      <c r="K203" s="145" t="s">
        <v>18</v>
      </c>
      <c r="L203" s="145" t="s">
        <v>18</v>
      </c>
      <c r="M203" s="145" t="s">
        <v>18</v>
      </c>
      <c r="N203" s="145" t="s">
        <v>18</v>
      </c>
      <c r="O203" s="145" t="s">
        <v>18</v>
      </c>
      <c r="P203" s="145" t="s">
        <v>18</v>
      </c>
      <c r="Q203" s="145" t="s">
        <v>18</v>
      </c>
      <c r="R203" s="188">
        <f xml:space="preserve"> SUMIFS(F_Inputs_BP!H$7:H$108, F_Inputs_BP!$A$7:$A$108, $A203, F_Inputs_BP!$B$7:$B$108, $B203)</f>
        <v>0</v>
      </c>
      <c r="S203" s="188">
        <f xml:space="preserve"> SUMIFS(F_Inputs_BP!I$7:I$108, F_Inputs_BP!$A$7:$A$108, $A203, F_Inputs_BP!$B$7:$B$108, $B203)</f>
        <v>0</v>
      </c>
      <c r="T203" s="188">
        <f xml:space="preserve"> SUMIFS(F_Inputs_BP!J$7:J$108, F_Inputs_BP!$A$7:$A$108, $A203, F_Inputs_BP!$B$7:$B$108, $B203)</f>
        <v>0</v>
      </c>
      <c r="U203" s="188">
        <f xml:space="preserve"> SUMIFS(F_Inputs_BP!K$7:K$108, F_Inputs_BP!$A$7:$A$108, $A203, F_Inputs_BP!$B$7:$B$108, $B203)</f>
        <v>0</v>
      </c>
      <c r="V203" s="188">
        <f xml:space="preserve"> SUMIFS(F_Inputs_BP!L$7:L$108, F_Inputs_BP!$A$7:$A$108, $A203, F_Inputs_BP!$B$7:$B$108, $B203)</f>
        <v>0</v>
      </c>
      <c r="W203" s="188">
        <f xml:space="preserve"> SUMIFS(F_Inputs_BP!M$7:M$108, F_Inputs_BP!$A$7:$A$108, $A203, F_Inputs_BP!$B$7:$B$108, $B203)</f>
        <v>0</v>
      </c>
      <c r="X203" s="188">
        <f xml:space="preserve"> SUMIFS(F_Inputs_BP!N$7:N$108, F_Inputs_BP!$A$7:$A$108, $A203, F_Inputs_BP!$B$7:$B$108, $B203)</f>
        <v>0</v>
      </c>
      <c r="Y203" s="188">
        <f xml:space="preserve"> SUMIFS(F_Inputs_BP!O$7:O$108, F_Inputs_BP!$A$7:$A$108, $A203, F_Inputs_BP!$B$7:$B$108, $B203)</f>
        <v>0</v>
      </c>
    </row>
    <row r="204" spans="1:25" x14ac:dyDescent="0.35">
      <c r="A204" s="142" t="s">
        <v>58</v>
      </c>
      <c r="B204" s="142" t="s">
        <v>32</v>
      </c>
      <c r="C204" s="142" t="s">
        <v>33</v>
      </c>
      <c r="D204" s="142" t="s">
        <v>34</v>
      </c>
      <c r="E204" s="142" t="s">
        <v>17</v>
      </c>
      <c r="F204" s="145" t="s">
        <v>18</v>
      </c>
      <c r="G204" s="145" t="s">
        <v>18</v>
      </c>
      <c r="H204" s="145" t="s">
        <v>18</v>
      </c>
      <c r="I204" s="145" t="s">
        <v>18</v>
      </c>
      <c r="J204" s="145" t="s">
        <v>18</v>
      </c>
      <c r="K204" s="145" t="s">
        <v>18</v>
      </c>
      <c r="L204" s="145" t="s">
        <v>18</v>
      </c>
      <c r="M204" s="145" t="s">
        <v>18</v>
      </c>
      <c r="N204" s="145" t="s">
        <v>18</v>
      </c>
      <c r="O204" s="145" t="s">
        <v>18</v>
      </c>
      <c r="P204" s="145" t="s">
        <v>18</v>
      </c>
      <c r="Q204" s="145" t="s">
        <v>18</v>
      </c>
      <c r="R204" s="187">
        <f xml:space="preserve"> SUMIFS(F_Inputs_BP!H$7:H$108, F_Inputs_BP!$A$7:$A$108, $A204, F_Inputs_BP!$B$7:$B$108, $B204)</f>
        <v>0.31</v>
      </c>
      <c r="S204" s="187">
        <f xml:space="preserve"> SUMIFS(F_Inputs_BP!I$7:I$108, F_Inputs_BP!$A$7:$A$108, $A204, F_Inputs_BP!$B$7:$B$108, $B204)</f>
        <v>0.34269271435338688</v>
      </c>
      <c r="T204" s="187">
        <f xml:space="preserve"> SUMIFS(F_Inputs_BP!J$7:J$108, F_Inputs_BP!$A$7:$A$108, $A204, F_Inputs_BP!$B$7:$B$108, $B204)</f>
        <v>0.33700000000000002</v>
      </c>
      <c r="U204" s="187">
        <f xml:space="preserve"> SUMIFS(F_Inputs_BP!K$7:K$108, F_Inputs_BP!$A$7:$A$108, $A204, F_Inputs_BP!$B$7:$B$108, $B204)</f>
        <v>0.34399999999999997</v>
      </c>
      <c r="V204" s="187">
        <f xml:space="preserve"> SUMIFS(F_Inputs_BP!L$7:L$108, F_Inputs_BP!$A$7:$A$108, $A204, F_Inputs_BP!$B$7:$B$108, $B204)</f>
        <v>0.34699999999999998</v>
      </c>
      <c r="W204" s="187">
        <f xml:space="preserve"> SUMIFS(F_Inputs_BP!M$7:M$108, F_Inputs_BP!$A$7:$A$108, $A204, F_Inputs_BP!$B$7:$B$108, $B204)</f>
        <v>0.34799999999999998</v>
      </c>
      <c r="X204" s="187">
        <f xml:space="preserve"> SUMIFS(F_Inputs_BP!N$7:N$108, F_Inputs_BP!$A$7:$A$108, $A204, F_Inputs_BP!$B$7:$B$108, $B204)</f>
        <v>0.35399999999999998</v>
      </c>
      <c r="Y204" s="187">
        <f xml:space="preserve"> SUMIFS(F_Inputs_BP!O$7:O$108, F_Inputs_BP!$A$7:$A$108, $A204, F_Inputs_BP!$B$7:$B$108, $B204)</f>
        <v>0.35699999999999998</v>
      </c>
    </row>
    <row r="205" spans="1:25" x14ac:dyDescent="0.35">
      <c r="A205" s="142" t="s">
        <v>58</v>
      </c>
      <c r="B205" s="142" t="s">
        <v>35</v>
      </c>
      <c r="C205" s="142" t="s">
        <v>36</v>
      </c>
      <c r="D205" s="142" t="s">
        <v>34</v>
      </c>
      <c r="E205" s="142" t="s">
        <v>17</v>
      </c>
      <c r="F205" s="145" t="s">
        <v>18</v>
      </c>
      <c r="G205" s="145" t="s">
        <v>18</v>
      </c>
      <c r="H205" s="145" t="s">
        <v>18</v>
      </c>
      <c r="I205" s="145" t="s">
        <v>18</v>
      </c>
      <c r="J205" s="145" t="s">
        <v>18</v>
      </c>
      <c r="K205" s="145" t="s">
        <v>18</v>
      </c>
      <c r="L205" s="145" t="s">
        <v>18</v>
      </c>
      <c r="M205" s="145" t="s">
        <v>18</v>
      </c>
      <c r="N205" s="145" t="s">
        <v>18</v>
      </c>
      <c r="O205" s="145" t="s">
        <v>18</v>
      </c>
      <c r="P205" s="145" t="s">
        <v>18</v>
      </c>
      <c r="Q205" s="145" t="s">
        <v>18</v>
      </c>
      <c r="R205" s="187">
        <f xml:space="preserve"> SUMIFS(F_Inputs_BP!H$7:H$108, F_Inputs_BP!$A$7:$A$108, $A205, F_Inputs_BP!$B$7:$B$108, $B205)</f>
        <v>0</v>
      </c>
      <c r="S205" s="187">
        <f xml:space="preserve"> SUMIFS(F_Inputs_BP!I$7:I$108, F_Inputs_BP!$A$7:$A$108, $A205, F_Inputs_BP!$B$7:$B$108, $B205)</f>
        <v>0</v>
      </c>
      <c r="T205" s="187">
        <f xml:space="preserve"> SUMIFS(F_Inputs_BP!J$7:J$108, F_Inputs_BP!$A$7:$A$108, $A205, F_Inputs_BP!$B$7:$B$108, $B205)</f>
        <v>0</v>
      </c>
      <c r="U205" s="187">
        <f xml:space="preserve"> SUMIFS(F_Inputs_BP!K$7:K$108, F_Inputs_BP!$A$7:$A$108, $A205, F_Inputs_BP!$B$7:$B$108, $B205)</f>
        <v>0</v>
      </c>
      <c r="V205" s="187">
        <f xml:space="preserve"> SUMIFS(F_Inputs_BP!L$7:L$108, F_Inputs_BP!$A$7:$A$108, $A205, F_Inputs_BP!$B$7:$B$108, $B205)</f>
        <v>0</v>
      </c>
      <c r="W205" s="187">
        <f xml:space="preserve"> SUMIFS(F_Inputs_BP!M$7:M$108, F_Inputs_BP!$A$7:$A$108, $A205, F_Inputs_BP!$B$7:$B$108, $B205)</f>
        <v>0</v>
      </c>
      <c r="X205" s="187">
        <f xml:space="preserve"> SUMIFS(F_Inputs_BP!N$7:N$108, F_Inputs_BP!$A$7:$A$108, $A205, F_Inputs_BP!$B$7:$B$108, $B205)</f>
        <v>0</v>
      </c>
      <c r="Y205" s="187">
        <f xml:space="preserve"> SUMIFS(F_Inputs_BP!O$7:O$108, F_Inputs_BP!$A$7:$A$108, $A205, F_Inputs_BP!$B$7:$B$108, $B205)</f>
        <v>0</v>
      </c>
    </row>
    <row r="206" spans="1:25" x14ac:dyDescent="0.35">
      <c r="A206" s="142" t="s">
        <v>58</v>
      </c>
      <c r="B206" s="142" t="s">
        <v>37</v>
      </c>
      <c r="C206" s="142" t="s">
        <v>38</v>
      </c>
      <c r="D206" s="142" t="s">
        <v>39</v>
      </c>
      <c r="E206" s="142" t="s">
        <v>17</v>
      </c>
      <c r="F206" s="145" t="s">
        <v>18</v>
      </c>
      <c r="G206" s="145" t="s">
        <v>18</v>
      </c>
      <c r="H206" s="145" t="s">
        <v>18</v>
      </c>
      <c r="I206" s="145" t="s">
        <v>18</v>
      </c>
      <c r="J206" s="145" t="s">
        <v>18</v>
      </c>
      <c r="K206" s="145" t="s">
        <v>18</v>
      </c>
      <c r="L206" s="145" t="s">
        <v>18</v>
      </c>
      <c r="M206" s="145" t="s">
        <v>18</v>
      </c>
      <c r="N206" s="145" t="s">
        <v>18</v>
      </c>
      <c r="O206" s="145" t="s">
        <v>18</v>
      </c>
      <c r="P206" s="145" t="s">
        <v>18</v>
      </c>
      <c r="Q206" s="145" t="s">
        <v>18</v>
      </c>
      <c r="R206" s="188">
        <f xml:space="preserve"> SUMIFS(F_Inputs_BP!H$7:H$108, F_Inputs_BP!$A$7:$A$108, $A206, F_Inputs_BP!$B$7:$B$108, $B206)</f>
        <v>6275</v>
      </c>
      <c r="S206" s="188">
        <f xml:space="preserve"> SUMIFS(F_Inputs_BP!I$7:I$108, F_Inputs_BP!$A$7:$A$108, $A206, F_Inputs_BP!$B$7:$B$108, $B206)</f>
        <v>248</v>
      </c>
      <c r="T206" s="188">
        <f xml:space="preserve"> SUMIFS(F_Inputs_BP!J$7:J$108, F_Inputs_BP!$A$7:$A$108, $A206, F_Inputs_BP!$B$7:$B$108, $B206)</f>
        <v>6650</v>
      </c>
      <c r="U206" s="188">
        <f xml:space="preserve"> SUMIFS(F_Inputs_BP!K$7:K$108, F_Inputs_BP!$A$7:$A$108, $A206, F_Inputs_BP!$B$7:$B$108, $B206)</f>
        <v>6650</v>
      </c>
      <c r="V206" s="188">
        <f xml:space="preserve"> SUMIFS(F_Inputs_BP!L$7:L$108, F_Inputs_BP!$A$7:$A$108, $A206, F_Inputs_BP!$B$7:$B$108, $B206)</f>
        <v>6650</v>
      </c>
      <c r="W206" s="188">
        <f xml:space="preserve"> SUMIFS(F_Inputs_BP!M$7:M$108, F_Inputs_BP!$A$7:$A$108, $A206, F_Inputs_BP!$B$7:$B$108, $B206)</f>
        <v>6650</v>
      </c>
      <c r="X206" s="188">
        <f xml:space="preserve"> SUMIFS(F_Inputs_BP!N$7:N$108, F_Inputs_BP!$A$7:$A$108, $A206, F_Inputs_BP!$B$7:$B$108, $B206)</f>
        <v>6650</v>
      </c>
      <c r="Y206" s="188">
        <f xml:space="preserve"> SUMIFS(F_Inputs_BP!O$7:O$108, F_Inputs_BP!$A$7:$A$108, $A206, F_Inputs_BP!$B$7:$B$108, $B206)</f>
        <v>6650</v>
      </c>
    </row>
    <row r="207" spans="1:25" x14ac:dyDescent="0.35">
      <c r="A207" s="142" t="s">
        <v>58</v>
      </c>
      <c r="B207" s="142" t="s">
        <v>40</v>
      </c>
      <c r="C207" s="142" t="s">
        <v>33</v>
      </c>
      <c r="D207" s="142" t="s">
        <v>34</v>
      </c>
      <c r="E207" s="142" t="s">
        <v>17</v>
      </c>
      <c r="F207" s="145" t="s">
        <v>18</v>
      </c>
      <c r="G207" s="145" t="s">
        <v>18</v>
      </c>
      <c r="H207" s="145" t="s">
        <v>18</v>
      </c>
      <c r="I207" s="145" t="s">
        <v>18</v>
      </c>
      <c r="J207" s="145" t="s">
        <v>18</v>
      </c>
      <c r="K207" s="145" t="s">
        <v>18</v>
      </c>
      <c r="L207" s="145" t="s">
        <v>18</v>
      </c>
      <c r="M207" s="145" t="s">
        <v>18</v>
      </c>
      <c r="N207" s="145" t="s">
        <v>18</v>
      </c>
      <c r="O207" s="145" t="s">
        <v>18</v>
      </c>
      <c r="P207" s="145" t="s">
        <v>18</v>
      </c>
      <c r="Q207" s="145" t="s">
        <v>18</v>
      </c>
      <c r="R207" s="187">
        <f xml:space="preserve"> SUMIFS(F_Inputs_BP!H$7:H$108, F_Inputs_BP!$A$7:$A$108, $A207, F_Inputs_BP!$B$7:$B$108, $B207)</f>
        <v>0</v>
      </c>
      <c r="S207" s="187">
        <f xml:space="preserve"> SUMIFS(F_Inputs_BP!I$7:I$108, F_Inputs_BP!$A$7:$A$108, $A207, F_Inputs_BP!$B$7:$B$108, $B207)</f>
        <v>0</v>
      </c>
      <c r="T207" s="187">
        <f xml:space="preserve"> SUMIFS(F_Inputs_BP!J$7:J$108, F_Inputs_BP!$A$7:$A$108, $A207, F_Inputs_BP!$B$7:$B$108, $B207)</f>
        <v>0</v>
      </c>
      <c r="U207" s="187">
        <f xml:space="preserve"> SUMIFS(F_Inputs_BP!K$7:K$108, F_Inputs_BP!$A$7:$A$108, $A207, F_Inputs_BP!$B$7:$B$108, $B207)</f>
        <v>0</v>
      </c>
      <c r="V207" s="187">
        <f xml:space="preserve"> SUMIFS(F_Inputs_BP!L$7:L$108, F_Inputs_BP!$A$7:$A$108, $A207, F_Inputs_BP!$B$7:$B$108, $B207)</f>
        <v>0</v>
      </c>
      <c r="W207" s="187">
        <f xml:space="preserve"> SUMIFS(F_Inputs_BP!M$7:M$108, F_Inputs_BP!$A$7:$A$108, $A207, F_Inputs_BP!$B$7:$B$108, $B207)</f>
        <v>0</v>
      </c>
      <c r="X207" s="187">
        <f xml:space="preserve"> SUMIFS(F_Inputs_BP!N$7:N$108, F_Inputs_BP!$A$7:$A$108, $A207, F_Inputs_BP!$B$7:$B$108, $B207)</f>
        <v>0</v>
      </c>
      <c r="Y207" s="187">
        <f xml:space="preserve"> SUMIFS(F_Inputs_BP!O$7:O$108, F_Inputs_BP!$A$7:$A$108, $A207, F_Inputs_BP!$B$7:$B$108, $B207)</f>
        <v>0</v>
      </c>
    </row>
    <row r="208" spans="1:25" x14ac:dyDescent="0.35">
      <c r="A208" s="142" t="s">
        <v>58</v>
      </c>
      <c r="B208" s="142" t="s">
        <v>41</v>
      </c>
      <c r="C208" s="142" t="s">
        <v>36</v>
      </c>
      <c r="D208" s="142" t="s">
        <v>34</v>
      </c>
      <c r="E208" s="142" t="s">
        <v>17</v>
      </c>
      <c r="F208" s="145" t="s">
        <v>18</v>
      </c>
      <c r="G208" s="145" t="s">
        <v>18</v>
      </c>
      <c r="H208" s="145" t="s">
        <v>18</v>
      </c>
      <c r="I208" s="145" t="s">
        <v>18</v>
      </c>
      <c r="J208" s="145" t="s">
        <v>18</v>
      </c>
      <c r="K208" s="145" t="s">
        <v>18</v>
      </c>
      <c r="L208" s="145" t="s">
        <v>18</v>
      </c>
      <c r="M208" s="145" t="s">
        <v>18</v>
      </c>
      <c r="N208" s="145" t="s">
        <v>18</v>
      </c>
      <c r="O208" s="145" t="s">
        <v>18</v>
      </c>
      <c r="P208" s="145" t="s">
        <v>18</v>
      </c>
      <c r="Q208" s="145" t="s">
        <v>18</v>
      </c>
      <c r="R208" s="187">
        <f xml:space="preserve"> SUMIFS(F_Inputs_BP!H$7:H$108, F_Inputs_BP!$A$7:$A$108, $A208, F_Inputs_BP!$B$7:$B$108, $B208)</f>
        <v>0</v>
      </c>
      <c r="S208" s="187">
        <f xml:space="preserve"> SUMIFS(F_Inputs_BP!I$7:I$108, F_Inputs_BP!$A$7:$A$108, $A208, F_Inputs_BP!$B$7:$B$108, $B208)</f>
        <v>0</v>
      </c>
      <c r="T208" s="187">
        <f xml:space="preserve"> SUMIFS(F_Inputs_BP!J$7:J$108, F_Inputs_BP!$A$7:$A$108, $A208, F_Inputs_BP!$B$7:$B$108, $B208)</f>
        <v>0</v>
      </c>
      <c r="U208" s="187">
        <f xml:space="preserve"> SUMIFS(F_Inputs_BP!K$7:K$108, F_Inputs_BP!$A$7:$A$108, $A208, F_Inputs_BP!$B$7:$B$108, $B208)</f>
        <v>0</v>
      </c>
      <c r="V208" s="187">
        <f xml:space="preserve"> SUMIFS(F_Inputs_BP!L$7:L$108, F_Inputs_BP!$A$7:$A$108, $A208, F_Inputs_BP!$B$7:$B$108, $B208)</f>
        <v>0</v>
      </c>
      <c r="W208" s="187">
        <f xml:space="preserve"> SUMIFS(F_Inputs_BP!M$7:M$108, F_Inputs_BP!$A$7:$A$108, $A208, F_Inputs_BP!$B$7:$B$108, $B208)</f>
        <v>0</v>
      </c>
      <c r="X208" s="187">
        <f xml:space="preserve"> SUMIFS(F_Inputs_BP!N$7:N$108, F_Inputs_BP!$A$7:$A$108, $A208, F_Inputs_BP!$B$7:$B$108, $B208)</f>
        <v>0</v>
      </c>
      <c r="Y208" s="187">
        <f xml:space="preserve"> SUMIFS(F_Inputs_BP!O$7:O$108, F_Inputs_BP!$A$7:$A$108, $A208, F_Inputs_BP!$B$7:$B$108, $B208)</f>
        <v>0</v>
      </c>
    </row>
    <row r="209" spans="1:25" x14ac:dyDescent="0.35">
      <c r="A209" s="142" t="s">
        <v>58</v>
      </c>
      <c r="B209" s="142" t="s">
        <v>42</v>
      </c>
      <c r="C209" s="142" t="s">
        <v>38</v>
      </c>
      <c r="D209" s="142" t="s">
        <v>39</v>
      </c>
      <c r="E209" s="142" t="s">
        <v>17</v>
      </c>
      <c r="F209" s="145" t="s">
        <v>18</v>
      </c>
      <c r="G209" s="145" t="s">
        <v>18</v>
      </c>
      <c r="H209" s="145" t="s">
        <v>18</v>
      </c>
      <c r="I209" s="145" t="s">
        <v>18</v>
      </c>
      <c r="J209" s="145" t="s">
        <v>18</v>
      </c>
      <c r="K209" s="145" t="s">
        <v>18</v>
      </c>
      <c r="L209" s="145" t="s">
        <v>18</v>
      </c>
      <c r="M209" s="145" t="s">
        <v>18</v>
      </c>
      <c r="N209" s="145" t="s">
        <v>18</v>
      </c>
      <c r="O209" s="145" t="s">
        <v>18</v>
      </c>
      <c r="P209" s="145" t="s">
        <v>18</v>
      </c>
      <c r="Q209" s="145" t="s">
        <v>18</v>
      </c>
      <c r="R209" s="188">
        <f xml:space="preserve"> SUMIFS(F_Inputs_BP!H$7:H$108, F_Inputs_BP!$A$7:$A$108, $A209, F_Inputs_BP!$B$7:$B$108, $B209)</f>
        <v>0</v>
      </c>
      <c r="S209" s="188">
        <f xml:space="preserve"> SUMIFS(F_Inputs_BP!I$7:I$108, F_Inputs_BP!$A$7:$A$108, $A209, F_Inputs_BP!$B$7:$B$108, $B209)</f>
        <v>0</v>
      </c>
      <c r="T209" s="188">
        <f xml:space="preserve"> SUMIFS(F_Inputs_BP!J$7:J$108, F_Inputs_BP!$A$7:$A$108, $A209, F_Inputs_BP!$B$7:$B$108, $B209)</f>
        <v>0</v>
      </c>
      <c r="U209" s="188">
        <f xml:space="preserve"> SUMIFS(F_Inputs_BP!K$7:K$108, F_Inputs_BP!$A$7:$A$108, $A209, F_Inputs_BP!$B$7:$B$108, $B209)</f>
        <v>0</v>
      </c>
      <c r="V209" s="188">
        <f xml:space="preserve"> SUMIFS(F_Inputs_BP!L$7:L$108, F_Inputs_BP!$A$7:$A$108, $A209, F_Inputs_BP!$B$7:$B$108, $B209)</f>
        <v>0</v>
      </c>
      <c r="W209" s="188">
        <f xml:space="preserve"> SUMIFS(F_Inputs_BP!M$7:M$108, F_Inputs_BP!$A$7:$A$108, $A209, F_Inputs_BP!$B$7:$B$108, $B209)</f>
        <v>0</v>
      </c>
      <c r="X209" s="188">
        <f xml:space="preserve"> SUMIFS(F_Inputs_BP!N$7:N$108, F_Inputs_BP!$A$7:$A$108, $A209, F_Inputs_BP!$B$7:$B$108, $B209)</f>
        <v>0</v>
      </c>
      <c r="Y209" s="188">
        <f xml:space="preserve"> SUMIFS(F_Inputs_BP!O$7:O$108, F_Inputs_BP!$A$7:$A$108, $A209, F_Inputs_BP!$B$7:$B$108, $B209)</f>
        <v>0</v>
      </c>
    </row>
  </sheetData>
  <phoneticPr fontId="36"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ADDD-BB62-4042-A52D-4A5AF2398F19}">
  <sheetPr codeName="Sheet8">
    <tabColor rgb="FFFFDB8E"/>
    <outlinePr summaryBelow="0" summaryRight="0"/>
  </sheetPr>
  <dimension ref="A1:JD34"/>
  <sheetViews>
    <sheetView zoomScale="80" zoomScaleNormal="80" workbookViewId="0"/>
  </sheetViews>
  <sheetFormatPr defaultColWidth="0" defaultRowHeight="13.15" outlineLevelRow="1" x14ac:dyDescent="0.35"/>
  <cols>
    <col min="1" max="2" width="1.265625" style="11" customWidth="1"/>
    <col min="3" max="3" width="1.265625" style="16" customWidth="1"/>
    <col min="4" max="4" width="1.265625" style="35" customWidth="1"/>
    <col min="5" max="5" width="40.73046875" style="10" customWidth="1"/>
    <col min="6" max="6" width="12.73046875" style="10" customWidth="1"/>
    <col min="7" max="8" width="11.73046875" style="10" customWidth="1"/>
    <col min="9" max="9" width="2.73046875" style="8" customWidth="1"/>
    <col min="10" max="19" width="11.73046875" style="10" customWidth="1"/>
    <col min="20" max="20" width="11.73046875" customWidth="1"/>
    <col min="21" max="16384" width="11.73046875" hidden="1"/>
  </cols>
  <sheetData>
    <row r="1" spans="1:264" s="24" customFormat="1" ht="25.15" x14ac:dyDescent="0.35">
      <c r="A1" s="19" t="str">
        <f ca="1">RIGHT(CELL("filename", A1), LEN(CELL("filename", A1)) - SEARCH("]", CELL("filename", A1)))</f>
        <v>Time</v>
      </c>
      <c r="B1" s="11"/>
      <c r="C1" s="16"/>
      <c r="D1" s="35"/>
      <c r="E1" s="10"/>
      <c r="F1" s="10"/>
      <c r="G1" s="10"/>
      <c r="H1" s="10"/>
      <c r="I1" s="8"/>
      <c r="J1" s="10"/>
      <c r="K1" s="10"/>
      <c r="L1" s="10"/>
      <c r="M1" s="10"/>
      <c r="N1" s="10"/>
      <c r="O1" s="10"/>
      <c r="P1" s="10"/>
      <c r="Q1" s="10"/>
      <c r="R1" s="10"/>
      <c r="S1" s="10"/>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row>
    <row r="2" spans="1:264" s="30" customFormat="1" x14ac:dyDescent="0.35">
      <c r="A2" s="38"/>
      <c r="B2" s="38"/>
      <c r="C2" s="39"/>
      <c r="D2" s="40"/>
      <c r="E2" s="124" t="str">
        <f xml:space="preserve"> Time!E$19</f>
        <v>Model period ending</v>
      </c>
      <c r="F2" s="17"/>
      <c r="G2" s="17"/>
      <c r="H2" s="17"/>
      <c r="I2" s="18"/>
      <c r="J2" s="17">
        <f xml:space="preserve"> Time!J$19</f>
        <v>44286</v>
      </c>
      <c r="K2" s="17">
        <f xml:space="preserve"> Time!K$19</f>
        <v>44651</v>
      </c>
      <c r="L2" s="17">
        <f xml:space="preserve"> Time!L$19</f>
        <v>45016</v>
      </c>
      <c r="M2" s="17">
        <f xml:space="preserve"> Time!M$19</f>
        <v>45382</v>
      </c>
      <c r="N2" s="17">
        <f xml:space="preserve"> Time!N$19</f>
        <v>45747</v>
      </c>
      <c r="O2" s="17">
        <f xml:space="preserve"> Time!O$19</f>
        <v>46112</v>
      </c>
      <c r="P2" s="17">
        <f xml:space="preserve"> Time!P$19</f>
        <v>46477</v>
      </c>
      <c r="Q2" s="17">
        <f xml:space="preserve"> Time!Q$19</f>
        <v>46843</v>
      </c>
      <c r="R2" s="17">
        <f xml:space="preserve"> Time!R$19</f>
        <v>47208</v>
      </c>
      <c r="S2" s="17">
        <f xml:space="preserve"> Time!S$19</f>
        <v>47573</v>
      </c>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row>
    <row r="3" spans="1:264" s="13" customFormat="1" x14ac:dyDescent="0.35">
      <c r="A3" s="11"/>
      <c r="B3" s="11"/>
      <c r="C3" s="16"/>
      <c r="D3" s="35"/>
      <c r="E3" s="10" t="str">
        <f xml:space="preserve"> Time!E$26</f>
        <v>Timeline label</v>
      </c>
      <c r="F3" s="10"/>
      <c r="G3" s="10"/>
      <c r="H3" s="10"/>
      <c r="I3" s="8"/>
      <c r="J3" s="27" t="str">
        <f xml:space="preserve"> Time!J$26</f>
        <v>APR</v>
      </c>
      <c r="K3" s="27" t="str">
        <f xml:space="preserve"> Time!K$26</f>
        <v>APR</v>
      </c>
      <c r="L3" s="27" t="str">
        <f xml:space="preserve"> Time!L$26</f>
        <v>APR</v>
      </c>
      <c r="M3" s="27" t="str">
        <f xml:space="preserve"> Time!M$26</f>
        <v>PR24</v>
      </c>
      <c r="N3" s="27" t="str">
        <f xml:space="preserve"> Time!N$26</f>
        <v>PR24</v>
      </c>
      <c r="O3" s="27" t="str">
        <f xml:space="preserve"> Time!O$26</f>
        <v>PR24</v>
      </c>
      <c r="P3" s="27" t="str">
        <f xml:space="preserve"> Time!P$26</f>
        <v>PR24</v>
      </c>
      <c r="Q3" s="27" t="str">
        <f xml:space="preserve"> Time!Q$26</f>
        <v>PR24</v>
      </c>
      <c r="R3" s="27" t="str">
        <f xml:space="preserve"> Time!R$26</f>
        <v>PR24</v>
      </c>
      <c r="S3" s="27" t="str">
        <f xml:space="preserve"> Time!S$26</f>
        <v>PR24</v>
      </c>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row>
    <row r="4" spans="1:264" s="9" customFormat="1" x14ac:dyDescent="0.35">
      <c r="A4" s="11"/>
      <c r="B4" s="11"/>
      <c r="C4" s="16"/>
      <c r="D4" s="35"/>
      <c r="E4" s="10" t="str">
        <f xml:space="preserve"> Time!E$9</f>
        <v>Model column counter</v>
      </c>
      <c r="F4" s="25" t="s">
        <v>98</v>
      </c>
      <c r="G4" s="26" t="s">
        <v>15</v>
      </c>
      <c r="H4" s="25" t="s">
        <v>99</v>
      </c>
      <c r="I4" s="8"/>
      <c r="J4" s="10">
        <f xml:space="preserve"> Time!J$9</f>
        <v>1</v>
      </c>
      <c r="K4" s="10">
        <f xml:space="preserve"> Time!K$9</f>
        <v>2</v>
      </c>
      <c r="L4" s="10">
        <f xml:space="preserve"> Time!L$9</f>
        <v>3</v>
      </c>
      <c r="M4" s="10">
        <f xml:space="preserve"> Time!M$9</f>
        <v>4</v>
      </c>
      <c r="N4" s="10">
        <f xml:space="preserve"> Time!N$9</f>
        <v>5</v>
      </c>
      <c r="O4" s="10">
        <f xml:space="preserve"> Time!O$9</f>
        <v>6</v>
      </c>
      <c r="P4" s="10">
        <f xml:space="preserve"> Time!P$9</f>
        <v>7</v>
      </c>
      <c r="Q4" s="10">
        <f xml:space="preserve"> Time!Q$9</f>
        <v>8</v>
      </c>
      <c r="R4" s="10">
        <f xml:space="preserve"> Time!R$9</f>
        <v>9</v>
      </c>
      <c r="S4" s="10">
        <f xml:space="preserve"> Time!S$9</f>
        <v>10</v>
      </c>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row>
    <row r="5" spans="1:264" s="24" customFormat="1" x14ac:dyDescent="0.35">
      <c r="A5" s="11"/>
      <c r="B5" s="11"/>
      <c r="C5" s="16"/>
      <c r="D5" s="35"/>
      <c r="E5" s="10"/>
      <c r="F5" s="10"/>
      <c r="G5" s="10"/>
      <c r="H5" s="10"/>
      <c r="I5" s="8"/>
      <c r="J5" s="10"/>
      <c r="K5" s="10"/>
      <c r="L5" s="10"/>
      <c r="M5" s="10"/>
      <c r="N5" s="10"/>
      <c r="O5" s="10"/>
      <c r="P5" s="10"/>
      <c r="Q5" s="10"/>
      <c r="R5" s="10"/>
      <c r="S5" s="10"/>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row>
    <row r="6" spans="1:264" s="29" customFormat="1" collapsed="1" x14ac:dyDescent="0.35">
      <c r="A6" s="11" t="s">
        <v>100</v>
      </c>
      <c r="B6" s="11"/>
      <c r="C6" s="16"/>
      <c r="D6" s="35"/>
      <c r="E6" s="6"/>
      <c r="F6" s="6"/>
      <c r="G6" s="7"/>
      <c r="H6" s="6"/>
      <c r="J6" s="6"/>
      <c r="K6" s="6"/>
      <c r="L6" s="6"/>
      <c r="M6" s="6"/>
      <c r="N6" s="6"/>
      <c r="O6" s="6"/>
      <c r="P6" s="6"/>
      <c r="Q6" s="6"/>
      <c r="R6" s="6"/>
      <c r="S6" 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row>
    <row r="7" spans="1:264" s="29" customFormat="1" hidden="1" outlineLevel="1" x14ac:dyDescent="0.35">
      <c r="A7" s="11"/>
      <c r="B7" s="11"/>
      <c r="C7" s="16"/>
      <c r="D7" s="35"/>
      <c r="E7" s="6"/>
      <c r="F7" s="6"/>
      <c r="G7" s="7"/>
      <c r="H7" s="6"/>
      <c r="J7" s="6"/>
      <c r="K7" s="6"/>
      <c r="L7" s="6"/>
      <c r="M7" s="6"/>
      <c r="N7" s="6"/>
      <c r="O7" s="6"/>
      <c r="P7" s="6"/>
      <c r="Q7" s="6"/>
      <c r="R7" s="6"/>
      <c r="S7" s="6"/>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row>
    <row r="8" spans="1:264" s="29" customFormat="1" hidden="1" outlineLevel="1" x14ac:dyDescent="0.35">
      <c r="A8" s="11"/>
      <c r="B8" s="11" t="s">
        <v>101</v>
      </c>
      <c r="C8" s="16"/>
      <c r="D8" s="35"/>
      <c r="E8" s="6"/>
      <c r="F8" s="6"/>
      <c r="G8" s="7"/>
      <c r="H8" s="6"/>
      <c r="J8" s="6"/>
      <c r="K8" s="6"/>
      <c r="L8" s="6"/>
      <c r="M8" s="6"/>
      <c r="N8" s="6"/>
      <c r="O8" s="6"/>
      <c r="P8" s="6"/>
      <c r="Q8" s="6"/>
      <c r="R8" s="6"/>
      <c r="S8" s="6"/>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row>
    <row r="9" spans="1:264" s="37" customFormat="1" hidden="1" outlineLevel="1" x14ac:dyDescent="0.35">
      <c r="A9" s="41"/>
      <c r="B9" s="42"/>
      <c r="C9" s="43"/>
      <c r="D9" s="44"/>
      <c r="E9" s="36" t="s">
        <v>102</v>
      </c>
      <c r="F9" s="36"/>
      <c r="G9" s="36" t="s">
        <v>103</v>
      </c>
      <c r="H9" s="36"/>
      <c r="I9" s="60"/>
      <c r="J9" s="36">
        <f t="shared" ref="J9:S9" si="0" xml:space="preserve"> I9 + 1</f>
        <v>1</v>
      </c>
      <c r="K9" s="36">
        <f t="shared" si="0"/>
        <v>2</v>
      </c>
      <c r="L9" s="36">
        <f t="shared" si="0"/>
        <v>3</v>
      </c>
      <c r="M9" s="36">
        <f t="shared" si="0"/>
        <v>4</v>
      </c>
      <c r="N9" s="36">
        <f t="shared" si="0"/>
        <v>5</v>
      </c>
      <c r="O9" s="36">
        <f t="shared" si="0"/>
        <v>6</v>
      </c>
      <c r="P9" s="36">
        <f t="shared" si="0"/>
        <v>7</v>
      </c>
      <c r="Q9" s="36">
        <f t="shared" si="0"/>
        <v>8</v>
      </c>
      <c r="R9" s="36">
        <f t="shared" si="0"/>
        <v>9</v>
      </c>
      <c r="S9" s="36">
        <f t="shared" si="0"/>
        <v>10</v>
      </c>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row>
    <row r="10" spans="1:264" s="31" customFormat="1" hidden="1" outlineLevel="1" x14ac:dyDescent="0.35">
      <c r="A10" s="41"/>
      <c r="B10" s="42"/>
      <c r="C10" s="43"/>
      <c r="D10" s="44"/>
      <c r="E10" s="36" t="s">
        <v>104</v>
      </c>
      <c r="F10" s="60">
        <f xml:space="preserve"> MAX(J9:JD9)</f>
        <v>10</v>
      </c>
      <c r="G10" s="36" t="s">
        <v>105</v>
      </c>
      <c r="H10" s="36"/>
      <c r="I10" s="60"/>
      <c r="J10" s="36"/>
      <c r="K10" s="36"/>
      <c r="L10" s="36"/>
      <c r="M10" s="36"/>
      <c r="N10" s="36"/>
      <c r="O10" s="36"/>
      <c r="P10" s="36"/>
      <c r="Q10" s="36"/>
      <c r="R10" s="36"/>
      <c r="S10" s="36"/>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row>
    <row r="11" spans="1:264" s="24" customFormat="1" hidden="1" outlineLevel="1" x14ac:dyDescent="0.35">
      <c r="A11" s="11"/>
      <c r="B11" s="11"/>
      <c r="C11" s="16"/>
      <c r="E11" s="8"/>
      <c r="F11" s="8"/>
      <c r="G11" s="8"/>
      <c r="H11" s="8"/>
      <c r="I11" s="8"/>
      <c r="J11" s="8"/>
      <c r="K11" s="8"/>
      <c r="L11" s="8"/>
      <c r="M11" s="8"/>
      <c r="N11" s="8"/>
      <c r="O11" s="8"/>
      <c r="P11" s="8"/>
      <c r="Q11" s="8"/>
      <c r="R11" s="8"/>
      <c r="S11" s="8"/>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row>
    <row r="12" spans="1:264" s="31" customFormat="1" hidden="1" outlineLevel="1" x14ac:dyDescent="0.35">
      <c r="A12" s="41"/>
      <c r="B12" s="42"/>
      <c r="C12" s="43"/>
      <c r="D12" s="44"/>
      <c r="E12" s="60" t="str">
        <f t="shared" ref="E12:S12" si="1" xml:space="preserve"> E$9</f>
        <v>Model column counter</v>
      </c>
      <c r="F12" s="60">
        <f t="shared" si="1"/>
        <v>0</v>
      </c>
      <c r="G12" s="60" t="str">
        <f t="shared" si="1"/>
        <v>counter</v>
      </c>
      <c r="H12" s="60">
        <f t="shared" si="1"/>
        <v>0</v>
      </c>
      <c r="I12" s="60">
        <f t="shared" si="1"/>
        <v>0</v>
      </c>
      <c r="J12" s="60">
        <f t="shared" si="1"/>
        <v>1</v>
      </c>
      <c r="K12" s="60">
        <f t="shared" si="1"/>
        <v>2</v>
      </c>
      <c r="L12" s="60">
        <f t="shared" si="1"/>
        <v>3</v>
      </c>
      <c r="M12" s="60">
        <f t="shared" si="1"/>
        <v>4</v>
      </c>
      <c r="N12" s="60">
        <f t="shared" si="1"/>
        <v>5</v>
      </c>
      <c r="O12" s="60">
        <f t="shared" si="1"/>
        <v>6</v>
      </c>
      <c r="P12" s="60">
        <f t="shared" si="1"/>
        <v>7</v>
      </c>
      <c r="Q12" s="60">
        <f t="shared" si="1"/>
        <v>8</v>
      </c>
      <c r="R12" s="60">
        <f t="shared" si="1"/>
        <v>9</v>
      </c>
      <c r="S12" s="60">
        <f t="shared" si="1"/>
        <v>10</v>
      </c>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row>
    <row r="13" spans="1:264" s="9" customFormat="1" hidden="1" outlineLevel="1" x14ac:dyDescent="0.35">
      <c r="A13" s="11"/>
      <c r="B13" s="11"/>
      <c r="C13" s="16"/>
      <c r="D13" s="35"/>
      <c r="E13" s="10" t="s">
        <v>106</v>
      </c>
      <c r="F13" s="10"/>
      <c r="G13" s="10" t="s">
        <v>107</v>
      </c>
      <c r="H13" s="22">
        <f xml:space="preserve"> SUM(J13:S13)</f>
        <v>1</v>
      </c>
      <c r="I13" s="8"/>
      <c r="J13" s="10">
        <f t="shared" ref="J13:S13" si="2" xml:space="preserve"> IF(J12 = 1, 1, 0)</f>
        <v>1</v>
      </c>
      <c r="K13" s="10">
        <f t="shared" si="2"/>
        <v>0</v>
      </c>
      <c r="L13" s="10">
        <f t="shared" si="2"/>
        <v>0</v>
      </c>
      <c r="M13" s="10">
        <f t="shared" si="2"/>
        <v>0</v>
      </c>
      <c r="N13" s="10">
        <f t="shared" si="2"/>
        <v>0</v>
      </c>
      <c r="O13" s="10">
        <f t="shared" si="2"/>
        <v>0</v>
      </c>
      <c r="P13" s="10">
        <f t="shared" si="2"/>
        <v>0</v>
      </c>
      <c r="Q13" s="10">
        <f t="shared" si="2"/>
        <v>0</v>
      </c>
      <c r="R13" s="10">
        <f t="shared" si="2"/>
        <v>0</v>
      </c>
      <c r="S13" s="10">
        <f t="shared" si="2"/>
        <v>0</v>
      </c>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row>
    <row r="14" spans="1:264" s="9" customFormat="1" hidden="1" outlineLevel="1" x14ac:dyDescent="0.35">
      <c r="A14" s="11"/>
      <c r="B14" s="11"/>
      <c r="C14" s="16"/>
      <c r="D14" s="35"/>
      <c r="E14" s="10"/>
      <c r="F14" s="10"/>
      <c r="G14" s="10"/>
      <c r="H14" s="10"/>
      <c r="I14" s="8"/>
      <c r="J14" s="10"/>
      <c r="K14" s="10"/>
      <c r="L14" s="10"/>
      <c r="M14" s="10"/>
      <c r="N14" s="10"/>
      <c r="O14" s="10"/>
      <c r="P14" s="10"/>
      <c r="Q14" s="10"/>
      <c r="R14" s="10"/>
      <c r="S14" s="10"/>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row>
    <row r="15" spans="1:264" s="9" customFormat="1" hidden="1" outlineLevel="1" x14ac:dyDescent="0.35">
      <c r="A15" s="11"/>
      <c r="B15" s="11" t="s">
        <v>108</v>
      </c>
      <c r="C15" s="16"/>
      <c r="D15" s="35"/>
      <c r="E15" s="10"/>
      <c r="F15" s="10"/>
      <c r="G15" s="10"/>
      <c r="H15" s="10"/>
      <c r="I15" s="8"/>
      <c r="J15" s="10"/>
      <c r="K15" s="10"/>
      <c r="L15" s="10"/>
      <c r="M15" s="10"/>
      <c r="N15" s="10"/>
      <c r="O15" s="10"/>
      <c r="P15" s="10"/>
      <c r="Q15" s="10"/>
      <c r="R15" s="10"/>
      <c r="S15" s="10"/>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row>
    <row r="16" spans="1:264" s="32" customFormat="1" hidden="1" outlineLevel="1" x14ac:dyDescent="0.35">
      <c r="A16" s="42"/>
      <c r="B16" s="42"/>
      <c r="C16" s="45"/>
      <c r="D16" s="46"/>
      <c r="E16" s="101" t="str">
        <f xml:space="preserve"> InpC!E$13</f>
        <v>First date first FY</v>
      </c>
      <c r="F16" s="101">
        <f xml:space="preserve"> InpC!F$13</f>
        <v>43922</v>
      </c>
      <c r="G16" s="101" t="str">
        <f xml:space="preserve"> InpC!G$13</f>
        <v>date</v>
      </c>
      <c r="H16" s="28"/>
      <c r="I16" s="20"/>
      <c r="J16" s="28"/>
      <c r="K16" s="28"/>
      <c r="L16" s="28"/>
      <c r="M16" s="28"/>
      <c r="N16" s="28"/>
      <c r="O16" s="28"/>
      <c r="P16" s="28"/>
      <c r="Q16" s="28"/>
      <c r="R16" s="28"/>
      <c r="S16" s="28"/>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row>
    <row r="17" spans="1:264" s="9" customFormat="1" hidden="1" outlineLevel="1" x14ac:dyDescent="0.35">
      <c r="A17" s="11"/>
      <c r="B17" s="42"/>
      <c r="C17" s="16"/>
      <c r="D17" s="35"/>
      <c r="E17" s="10" t="str">
        <f t="shared" ref="E17:S17" si="3" xml:space="preserve"> E$13</f>
        <v>First model column flag</v>
      </c>
      <c r="F17" s="10">
        <f t="shared" si="3"/>
        <v>0</v>
      </c>
      <c r="G17" s="10" t="str">
        <f t="shared" si="3"/>
        <v>flag</v>
      </c>
      <c r="H17" s="10">
        <f t="shared" si="3"/>
        <v>1</v>
      </c>
      <c r="I17" s="8">
        <f t="shared" si="3"/>
        <v>0</v>
      </c>
      <c r="J17" s="10">
        <f t="shared" si="3"/>
        <v>1</v>
      </c>
      <c r="K17" s="10">
        <f t="shared" si="3"/>
        <v>0</v>
      </c>
      <c r="L17" s="10">
        <f t="shared" si="3"/>
        <v>0</v>
      </c>
      <c r="M17" s="10">
        <f t="shared" si="3"/>
        <v>0</v>
      </c>
      <c r="N17" s="10">
        <f t="shared" si="3"/>
        <v>0</v>
      </c>
      <c r="O17" s="10">
        <f t="shared" si="3"/>
        <v>0</v>
      </c>
      <c r="P17" s="10">
        <f t="shared" si="3"/>
        <v>0</v>
      </c>
      <c r="Q17" s="10">
        <f t="shared" si="3"/>
        <v>0</v>
      </c>
      <c r="R17" s="10">
        <f t="shared" si="3"/>
        <v>0</v>
      </c>
      <c r="S17" s="10">
        <f t="shared" si="3"/>
        <v>0</v>
      </c>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row>
    <row r="18" spans="1:264" s="33" customFormat="1" hidden="1" outlineLevel="1" x14ac:dyDescent="0.35">
      <c r="A18" s="38"/>
      <c r="B18" s="42"/>
      <c r="C18" s="39"/>
      <c r="D18" s="40"/>
      <c r="E18" s="124" t="s">
        <v>108</v>
      </c>
      <c r="F18" s="124"/>
      <c r="G18" s="124" t="s">
        <v>109</v>
      </c>
      <c r="H18" s="124"/>
      <c r="I18" s="169"/>
      <c r="J18" s="124">
        <f xml:space="preserve"> IF(J17 = 1, $F16, DATE(YEAR(I18), MONTH(I18) +#REF!, DAY(1)))</f>
        <v>43922</v>
      </c>
      <c r="K18" s="124">
        <f>J19+1</f>
        <v>44287</v>
      </c>
      <c r="L18" s="124">
        <f t="shared" ref="L18:S18" si="4">K19+1</f>
        <v>44652</v>
      </c>
      <c r="M18" s="124">
        <f t="shared" si="4"/>
        <v>45017</v>
      </c>
      <c r="N18" s="124">
        <f t="shared" si="4"/>
        <v>45383</v>
      </c>
      <c r="O18" s="124">
        <f t="shared" si="4"/>
        <v>45748</v>
      </c>
      <c r="P18" s="124">
        <f t="shared" si="4"/>
        <v>46113</v>
      </c>
      <c r="Q18" s="124">
        <f t="shared" si="4"/>
        <v>46478</v>
      </c>
      <c r="R18" s="124">
        <f t="shared" si="4"/>
        <v>46844</v>
      </c>
      <c r="S18" s="124">
        <f t="shared" si="4"/>
        <v>47209</v>
      </c>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row>
    <row r="19" spans="1:264" s="59" customFormat="1" hidden="1" outlineLevel="1" x14ac:dyDescent="0.35">
      <c r="A19" s="57"/>
      <c r="B19" s="62"/>
      <c r="C19" s="58"/>
      <c r="D19" s="72"/>
      <c r="E19" s="61" t="s">
        <v>110</v>
      </c>
      <c r="F19" s="61"/>
      <c r="G19" s="61" t="s">
        <v>109</v>
      </c>
      <c r="H19" s="61"/>
      <c r="I19" s="61"/>
      <c r="J19" s="61">
        <f>EOMONTH(J18,11)</f>
        <v>44286</v>
      </c>
      <c r="K19" s="61">
        <f t="shared" ref="K19:S19" si="5">EOMONTH(K18,11)</f>
        <v>44651</v>
      </c>
      <c r="L19" s="61">
        <f t="shared" si="5"/>
        <v>45016</v>
      </c>
      <c r="M19" s="61">
        <f t="shared" si="5"/>
        <v>45382</v>
      </c>
      <c r="N19" s="61">
        <f t="shared" si="5"/>
        <v>45747</v>
      </c>
      <c r="O19" s="61">
        <f t="shared" si="5"/>
        <v>46112</v>
      </c>
      <c r="P19" s="61">
        <f t="shared" si="5"/>
        <v>46477</v>
      </c>
      <c r="Q19" s="61">
        <f t="shared" si="5"/>
        <v>46843</v>
      </c>
      <c r="R19" s="61">
        <f t="shared" si="5"/>
        <v>47208</v>
      </c>
      <c r="S19" s="61">
        <f t="shared" si="5"/>
        <v>47573</v>
      </c>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c r="IQ19" s="70"/>
      <c r="IR19" s="70"/>
      <c r="IS19" s="70"/>
      <c r="IT19" s="70"/>
      <c r="IU19" s="70"/>
      <c r="IV19" s="70"/>
      <c r="IW19" s="70"/>
      <c r="IX19" s="70"/>
      <c r="IY19" s="70"/>
      <c r="IZ19" s="70"/>
      <c r="JA19" s="70"/>
      <c r="JB19" s="70"/>
      <c r="JC19" s="70"/>
      <c r="JD19" s="70"/>
    </row>
    <row r="20" spans="1:264" s="34" customFormat="1" hidden="1" outlineLevel="1" x14ac:dyDescent="0.35">
      <c r="A20" s="38"/>
      <c r="B20" s="11"/>
      <c r="C20" s="39"/>
      <c r="D20" s="40"/>
      <c r="E20" s="169"/>
      <c r="F20" s="169"/>
      <c r="G20" s="169"/>
      <c r="H20" s="169"/>
      <c r="I20" s="169"/>
      <c r="J20" s="169"/>
      <c r="K20" s="169"/>
      <c r="L20" s="169"/>
      <c r="M20" s="169"/>
      <c r="N20" s="169"/>
      <c r="O20" s="169"/>
      <c r="P20" s="169"/>
      <c r="Q20" s="169"/>
      <c r="R20" s="169"/>
      <c r="S20" s="169"/>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row>
    <row r="21" spans="1:264" hidden="1" outlineLevel="1" x14ac:dyDescent="0.35">
      <c r="B21" s="11" t="s">
        <v>111</v>
      </c>
    </row>
    <row r="22" spans="1:264" hidden="1" outlineLevel="1" x14ac:dyDescent="0.35">
      <c r="F22" s="79">
        <f>J19</f>
        <v>44286</v>
      </c>
    </row>
    <row r="23" spans="1:264" hidden="1" outlineLevel="1" x14ac:dyDescent="0.35">
      <c r="E23" s="69" t="str">
        <f xml:space="preserve"> InpC!E$17</f>
        <v>APR</v>
      </c>
      <c r="F23" s="79">
        <f xml:space="preserve"> InpC!F$17</f>
        <v>45046</v>
      </c>
      <c r="G23" s="69" t="str">
        <f xml:space="preserve"> InpC!G$17</f>
        <v>label</v>
      </c>
    </row>
    <row r="24" spans="1:264" s="29" customFormat="1" hidden="1" outlineLevel="1" x14ac:dyDescent="0.35">
      <c r="A24" s="11"/>
      <c r="B24" s="11"/>
      <c r="C24" s="16"/>
      <c r="D24" s="35"/>
      <c r="E24" s="52" t="str">
        <f xml:space="preserve"> InpC!E$18</f>
        <v>PR24</v>
      </c>
      <c r="F24" s="79">
        <f xml:space="preserve"> InpC!F$18</f>
        <v>47603</v>
      </c>
      <c r="G24" s="52" t="str">
        <f xml:space="preserve"> InpC!G$18</f>
        <v>label</v>
      </c>
      <c r="H24" s="8"/>
      <c r="I24" s="8"/>
      <c r="J24" s="8"/>
      <c r="K24" s="8"/>
      <c r="L24" s="8"/>
      <c r="M24" s="8"/>
      <c r="N24" s="8"/>
      <c r="O24" s="8"/>
      <c r="P24" s="8"/>
      <c r="Q24" s="8"/>
      <c r="R24" s="8"/>
      <c r="S24" s="8"/>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row>
    <row r="25" spans="1:264" s="29" customFormat="1" hidden="1" outlineLevel="1" x14ac:dyDescent="0.35">
      <c r="A25" s="11"/>
      <c r="B25" s="11"/>
      <c r="C25" s="16"/>
      <c r="D25" s="35"/>
      <c r="E25" s="52" t="str">
        <f xml:space="preserve"> InpC!E$19</f>
        <v>not used</v>
      </c>
      <c r="F25" s="79">
        <f xml:space="preserve"> InpC!F$19</f>
        <v>49064</v>
      </c>
      <c r="G25" s="52" t="str">
        <f xml:space="preserve"> InpC!G$19</f>
        <v>label</v>
      </c>
      <c r="H25" s="8"/>
      <c r="I25" s="8"/>
      <c r="J25" s="8"/>
      <c r="K25" s="8"/>
      <c r="L25" s="8"/>
      <c r="M25" s="8"/>
      <c r="N25" s="8"/>
      <c r="O25" s="8"/>
      <c r="P25" s="8"/>
      <c r="Q25" s="8"/>
      <c r="R25" s="8"/>
      <c r="S25" s="8"/>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row>
    <row r="26" spans="1:264" s="50" customFormat="1" hidden="1" outlineLevel="1" x14ac:dyDescent="0.35">
      <c r="A26" s="48"/>
      <c r="B26" s="48"/>
      <c r="C26" s="49"/>
      <c r="D26" s="47"/>
      <c r="E26" s="51" t="s">
        <v>111</v>
      </c>
      <c r="F26" s="51"/>
      <c r="G26" s="51" t="s">
        <v>112</v>
      </c>
      <c r="H26" s="55"/>
      <c r="I26" s="55"/>
      <c r="J26" s="55" t="str">
        <f t="shared" ref="J26:S26" si="6">INDEX($E23:$E25,MATCH(J$2,$F$22:$F$25,1),)</f>
        <v>APR</v>
      </c>
      <c r="K26" s="55" t="str">
        <f t="shared" si="6"/>
        <v>APR</v>
      </c>
      <c r="L26" s="55" t="str">
        <f t="shared" si="6"/>
        <v>APR</v>
      </c>
      <c r="M26" s="55" t="str">
        <f t="shared" si="6"/>
        <v>PR24</v>
      </c>
      <c r="N26" s="55" t="str">
        <f t="shared" si="6"/>
        <v>PR24</v>
      </c>
      <c r="O26" s="55" t="str">
        <f t="shared" si="6"/>
        <v>PR24</v>
      </c>
      <c r="P26" s="55" t="str">
        <f t="shared" si="6"/>
        <v>PR24</v>
      </c>
      <c r="Q26" s="55" t="str">
        <f t="shared" si="6"/>
        <v>PR24</v>
      </c>
      <c r="R26" s="55" t="str">
        <f t="shared" si="6"/>
        <v>PR24</v>
      </c>
      <c r="S26" s="55" t="str">
        <f t="shared" si="6"/>
        <v>PR24</v>
      </c>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row>
    <row r="27" spans="1:264" s="29" customFormat="1" hidden="1" outlineLevel="1" x14ac:dyDescent="0.35">
      <c r="A27" s="11"/>
      <c r="B27" s="11"/>
      <c r="C27" s="16"/>
      <c r="D27" s="35"/>
      <c r="E27" s="8"/>
      <c r="F27" s="8"/>
      <c r="G27" s="8"/>
      <c r="H27" s="8"/>
      <c r="I27" s="8"/>
      <c r="J27" s="8"/>
      <c r="K27" s="8"/>
      <c r="L27" s="8"/>
      <c r="M27" s="8"/>
      <c r="N27" s="8"/>
      <c r="O27" s="8"/>
      <c r="P27" s="8"/>
      <c r="Q27" s="8"/>
      <c r="R27" s="8"/>
      <c r="S27" s="8"/>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row>
    <row r="28" spans="1:264" hidden="1" outlineLevel="1" x14ac:dyDescent="0.35">
      <c r="B28" s="11" t="s">
        <v>113</v>
      </c>
    </row>
    <row r="29" spans="1:264" hidden="1" outlineLevel="1" x14ac:dyDescent="0.35">
      <c r="E29" s="69" t="str">
        <f xml:space="preserve"> InpC!E$17</f>
        <v>APR</v>
      </c>
      <c r="F29" s="79">
        <f xml:space="preserve"> InpC!F$17</f>
        <v>45046</v>
      </c>
      <c r="G29" s="69" t="str">
        <f xml:space="preserve"> InpC!G$17</f>
        <v>label</v>
      </c>
      <c r="J29" s="10">
        <f>(J$26=$E29)*1</f>
        <v>1</v>
      </c>
      <c r="K29" s="10">
        <f t="shared" ref="K29:S31" si="7">(K$26=$E29)*1</f>
        <v>1</v>
      </c>
      <c r="L29" s="10">
        <f t="shared" si="7"/>
        <v>1</v>
      </c>
      <c r="M29" s="10">
        <f t="shared" si="7"/>
        <v>0</v>
      </c>
      <c r="N29" s="10">
        <f t="shared" si="7"/>
        <v>0</v>
      </c>
      <c r="O29" s="10">
        <f t="shared" si="7"/>
        <v>0</v>
      </c>
      <c r="P29" s="10">
        <f t="shared" si="7"/>
        <v>0</v>
      </c>
      <c r="Q29" s="10">
        <f t="shared" si="7"/>
        <v>0</v>
      </c>
      <c r="R29" s="10">
        <f t="shared" si="7"/>
        <v>0</v>
      </c>
      <c r="S29" s="10">
        <f t="shared" si="7"/>
        <v>0</v>
      </c>
    </row>
    <row r="30" spans="1:264" s="29" customFormat="1" hidden="1" outlineLevel="1" x14ac:dyDescent="0.35">
      <c r="A30" s="11"/>
      <c r="B30" s="11"/>
      <c r="C30" s="16"/>
      <c r="D30" s="35"/>
      <c r="E30" s="52" t="str">
        <f xml:space="preserve"> InpC!E$18</f>
        <v>PR24</v>
      </c>
      <c r="F30" s="79">
        <f xml:space="preserve"> InpC!F$18</f>
        <v>47603</v>
      </c>
      <c r="G30" s="52" t="str">
        <f xml:space="preserve"> InpC!G$18</f>
        <v>label</v>
      </c>
      <c r="H30" s="8"/>
      <c r="I30" s="8"/>
      <c r="J30" s="10">
        <f t="shared" ref="J30:J31" si="8">(J$26=$E30)*1</f>
        <v>0</v>
      </c>
      <c r="K30" s="10">
        <f t="shared" si="7"/>
        <v>0</v>
      </c>
      <c r="L30" s="10">
        <f t="shared" si="7"/>
        <v>0</v>
      </c>
      <c r="M30" s="10">
        <f t="shared" si="7"/>
        <v>1</v>
      </c>
      <c r="N30" s="10">
        <f t="shared" si="7"/>
        <v>1</v>
      </c>
      <c r="O30" s="10">
        <f t="shared" si="7"/>
        <v>1</v>
      </c>
      <c r="P30" s="10">
        <f t="shared" si="7"/>
        <v>1</v>
      </c>
      <c r="Q30" s="10">
        <f t="shared" si="7"/>
        <v>1</v>
      </c>
      <c r="R30" s="10">
        <f t="shared" si="7"/>
        <v>1</v>
      </c>
      <c r="S30" s="10">
        <f t="shared" si="7"/>
        <v>1</v>
      </c>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row>
    <row r="31" spans="1:264" s="29" customFormat="1" hidden="1" outlineLevel="1" x14ac:dyDescent="0.35">
      <c r="A31" s="11"/>
      <c r="B31" s="11"/>
      <c r="C31" s="16"/>
      <c r="D31" s="35"/>
      <c r="E31" s="52" t="str">
        <f xml:space="preserve"> InpC!E$19</f>
        <v>not used</v>
      </c>
      <c r="F31" s="79">
        <f xml:space="preserve"> InpC!F$19</f>
        <v>49064</v>
      </c>
      <c r="G31" s="52" t="str">
        <f xml:space="preserve"> InpC!G$19</f>
        <v>label</v>
      </c>
      <c r="H31" s="8"/>
      <c r="I31" s="8"/>
      <c r="J31" s="10">
        <f t="shared" si="8"/>
        <v>0</v>
      </c>
      <c r="K31" s="10">
        <f t="shared" si="7"/>
        <v>0</v>
      </c>
      <c r="L31" s="10">
        <f t="shared" si="7"/>
        <v>0</v>
      </c>
      <c r="M31" s="10">
        <f t="shared" si="7"/>
        <v>0</v>
      </c>
      <c r="N31" s="10">
        <f t="shared" si="7"/>
        <v>0</v>
      </c>
      <c r="O31" s="10">
        <f t="shared" si="7"/>
        <v>0</v>
      </c>
      <c r="P31" s="10">
        <f t="shared" si="7"/>
        <v>0</v>
      </c>
      <c r="Q31" s="10">
        <f t="shared" si="7"/>
        <v>0</v>
      </c>
      <c r="R31" s="10">
        <f t="shared" si="7"/>
        <v>0</v>
      </c>
      <c r="S31" s="10">
        <f t="shared" si="7"/>
        <v>0</v>
      </c>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row>
    <row r="32" spans="1:264" hidden="1" outlineLevel="1" x14ac:dyDescent="0.35"/>
    <row r="33" spans="1:264" s="34" customFormat="1" x14ac:dyDescent="0.35">
      <c r="A33" s="38"/>
      <c r="B33" s="11"/>
      <c r="C33" s="39"/>
      <c r="D33" s="40"/>
      <c r="E33" s="169"/>
      <c r="F33" s="169"/>
      <c r="G33" s="169"/>
      <c r="H33" s="169"/>
      <c r="I33" s="169"/>
      <c r="J33" s="8"/>
      <c r="K33" s="169"/>
      <c r="L33" s="169"/>
      <c r="M33" s="169"/>
      <c r="N33" s="169"/>
      <c r="O33" s="169"/>
      <c r="P33" s="169"/>
      <c r="Q33" s="169"/>
      <c r="R33" s="169"/>
      <c r="S33" s="169"/>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row>
    <row r="34" spans="1:264" x14ac:dyDescent="0.35">
      <c r="A34" s="11" t="s">
        <v>114</v>
      </c>
    </row>
  </sheetData>
  <conditionalFormatting sqref="J3:S3">
    <cfRule type="cellIs" dxfId="213" priority="5" operator="equal">
      <formula>"PPA ext."</formula>
    </cfRule>
    <cfRule type="cellIs" dxfId="212" priority="6" operator="equal">
      <formula>"Delay"</formula>
    </cfRule>
    <cfRule type="cellIs" dxfId="211" priority="11" operator="equal">
      <formula>"Fin Close"</formula>
    </cfRule>
    <cfRule type="cellIs" dxfId="210" priority="12" stopIfTrue="1" operator="equal">
      <formula>"Construction"</formula>
    </cfRule>
    <cfRule type="cellIs" dxfId="209" priority="13" stopIfTrue="1" operator="equal">
      <formula>"Operations"</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4B7FC-C1A1-4C5F-8E4D-78F45DC79504}">
  <sheetPr codeName="Sheet1">
    <tabColor rgb="FFFFDB8E"/>
    <outlinePr summaryBelow="0" summaryRight="0"/>
  </sheetPr>
  <dimension ref="A1:AI129"/>
  <sheetViews>
    <sheetView zoomScale="80" zoomScaleNormal="80" workbookViewId="0"/>
  </sheetViews>
  <sheetFormatPr defaultColWidth="0" defaultRowHeight="13.15" x14ac:dyDescent="0.35"/>
  <cols>
    <col min="1" max="2" width="1.265625" style="1" customWidth="1"/>
    <col min="3" max="3" width="1.265625" style="14" customWidth="1"/>
    <col min="4" max="4" width="1.265625" style="15" customWidth="1"/>
    <col min="5" max="5" width="80.59765625" style="10" bestFit="1" customWidth="1"/>
    <col min="6" max="6" width="22.265625" style="10" customWidth="1"/>
    <col min="7" max="7" width="68.265625" style="10" customWidth="1"/>
    <col min="8" max="8" width="22.59765625" style="10" customWidth="1"/>
    <col min="9" max="9" width="24.3984375" style="102" bestFit="1" customWidth="1"/>
    <col min="10" max="10" width="0.3984375" style="63" customWidth="1"/>
    <col min="11" max="13" width="18" style="10" customWidth="1"/>
    <col min="14" max="15" width="0.3984375" style="63" customWidth="1"/>
    <col min="16" max="17" width="12.73046875" style="10" hidden="1" customWidth="1"/>
    <col min="18" max="29" width="9" style="10" hidden="1" customWidth="1"/>
    <col min="30" max="31" width="0" style="10" hidden="1" customWidth="1"/>
    <col min="32" max="33" width="9" style="10" hidden="1" customWidth="1"/>
    <col min="34" max="35" width="0" style="10" hidden="1" customWidth="1"/>
    <col min="36" max="16384" width="9" style="10" hidden="1"/>
  </cols>
  <sheetData>
    <row r="1" spans="1:15" ht="25.15" x14ac:dyDescent="0.35">
      <c r="A1" s="19" t="str">
        <f ca="1">RIGHT(CELL("filename", A1), LEN(CELL("filename", A1)) - SEARCH("]", CELL("filename", A1)))</f>
        <v>InpC</v>
      </c>
      <c r="K1" s="24"/>
      <c r="L1" s="24"/>
      <c r="M1" s="24"/>
    </row>
    <row r="2" spans="1:15" s="99" customFormat="1" ht="39.75" customHeight="1" x14ac:dyDescent="0.35">
      <c r="A2" s="96"/>
      <c r="B2" s="96"/>
      <c r="C2" s="97"/>
      <c r="D2" s="98"/>
      <c r="I2" s="103"/>
      <c r="J2" s="100"/>
      <c r="K2" s="67" t="str">
        <f t="shared" ref="K2:M2" si="0" xml:space="preserve"> IF(K4 = $F4, "q", "")</f>
        <v>q</v>
      </c>
      <c r="L2" s="67" t="str">
        <f t="shared" si="0"/>
        <v/>
      </c>
      <c r="M2" s="67" t="str">
        <f t="shared" si="0"/>
        <v/>
      </c>
      <c r="N2" s="100"/>
      <c r="O2" s="100"/>
    </row>
    <row r="3" spans="1:15" s="17" customFormat="1" ht="30.75" customHeight="1" x14ac:dyDescent="0.35">
      <c r="A3" s="18"/>
      <c r="B3" s="18"/>
      <c r="C3" s="80"/>
      <c r="D3" s="81"/>
      <c r="F3" s="88" t="str">
        <f>INDEX(J3:O3,MATCH(F4,J4:O4))</f>
        <v>Base case 1</v>
      </c>
      <c r="G3" s="5"/>
      <c r="I3" s="104"/>
      <c r="J3" s="82"/>
      <c r="K3" s="83" t="s">
        <v>115</v>
      </c>
      <c r="L3" s="83" t="s">
        <v>116</v>
      </c>
      <c r="M3" s="83" t="s">
        <v>117</v>
      </c>
      <c r="N3" s="82"/>
      <c r="O3" s="82"/>
    </row>
    <row r="4" spans="1:15" s="12" customFormat="1" ht="13.15" customHeight="1" x14ac:dyDescent="0.35">
      <c r="A4" s="1"/>
      <c r="B4" s="1"/>
      <c r="C4" s="14"/>
      <c r="D4" s="15"/>
      <c r="E4" s="10" t="s">
        <v>118</v>
      </c>
      <c r="F4" s="89">
        <v>1</v>
      </c>
      <c r="G4" s="10"/>
      <c r="H4" s="10"/>
      <c r="I4" s="105">
        <f xml:space="preserve"> MATCH(F4, $J$4:$O$4)</f>
        <v>2</v>
      </c>
      <c r="J4" s="63"/>
      <c r="K4" s="158">
        <v>1</v>
      </c>
      <c r="L4" s="158">
        <v>2</v>
      </c>
      <c r="M4" s="158">
        <v>3</v>
      </c>
      <c r="N4" s="63"/>
      <c r="O4" s="63"/>
    </row>
    <row r="5" spans="1:15" s="2" customFormat="1" x14ac:dyDescent="0.35">
      <c r="A5" s="1"/>
      <c r="B5" s="1"/>
      <c r="C5" s="14"/>
      <c r="D5" s="15"/>
      <c r="E5" s="10" t="s">
        <v>119</v>
      </c>
      <c r="F5" s="66">
        <v>1</v>
      </c>
      <c r="G5" s="10"/>
      <c r="H5" s="10"/>
      <c r="I5" s="105">
        <f xml:space="preserve"> MATCH(F5, $J$4:$O$4)</f>
        <v>2</v>
      </c>
      <c r="J5" s="63"/>
      <c r="K5" s="10"/>
      <c r="L5" s="10"/>
      <c r="M5" s="10"/>
      <c r="N5" s="63"/>
      <c r="O5" s="63"/>
    </row>
    <row r="6" spans="1:15" s="2" customFormat="1" x14ac:dyDescent="0.35">
      <c r="A6" s="1"/>
      <c r="B6" s="1"/>
      <c r="C6" s="14"/>
      <c r="D6" s="15"/>
      <c r="E6" s="10" t="s">
        <v>120</v>
      </c>
      <c r="F6" s="93">
        <f>INDEX(J6:O6,MATCH(F4,J4:O4,0))</f>
        <v>1</v>
      </c>
      <c r="G6" s="10"/>
      <c r="H6" s="10"/>
      <c r="I6" s="105">
        <f xml:space="preserve"> MATCH(F6, $J$4:$O$4)</f>
        <v>2</v>
      </c>
      <c r="J6" s="63"/>
      <c r="K6" s="158">
        <v>1</v>
      </c>
      <c r="L6" s="158">
        <v>2</v>
      </c>
      <c r="M6" s="158">
        <v>3</v>
      </c>
      <c r="N6" s="63"/>
      <c r="O6" s="63"/>
    </row>
    <row r="7" spans="1:15" s="2" customFormat="1" x14ac:dyDescent="0.35">
      <c r="A7" s="1"/>
      <c r="B7" s="1"/>
      <c r="C7" s="14"/>
      <c r="D7" s="15"/>
      <c r="E7" s="10" t="s">
        <v>121</v>
      </c>
      <c r="F7" s="95">
        <f xml:space="preserve"> COUNTIF(I10:I119, "tu")</f>
        <v>0</v>
      </c>
      <c r="G7" s="10"/>
      <c r="H7" s="10"/>
      <c r="I7" s="102"/>
      <c r="J7" s="63"/>
      <c r="K7" s="159" t="str">
        <f xml:space="preserve"> IF(K6 = $F$6, "Base case", "")</f>
        <v>Base case</v>
      </c>
      <c r="L7" s="159" t="str">
        <f xml:space="preserve"> IF(L6 = $F$6, "Base case", "")</f>
        <v/>
      </c>
      <c r="M7" s="159" t="str">
        <f xml:space="preserve"> IF(M6 = $F$6, "Base case", "")</f>
        <v/>
      </c>
      <c r="N7" s="63"/>
      <c r="O7" s="63"/>
    </row>
    <row r="8" spans="1:15" s="2" customFormat="1" x14ac:dyDescent="0.35">
      <c r="A8" s="1"/>
      <c r="B8" s="1"/>
      <c r="C8" s="14"/>
      <c r="D8" s="15"/>
      <c r="E8" s="10"/>
      <c r="F8" s="94"/>
      <c r="G8" s="10"/>
      <c r="H8" s="10"/>
      <c r="I8" s="102"/>
      <c r="J8" s="63"/>
      <c r="K8" s="114"/>
      <c r="L8" s="114"/>
      <c r="M8" s="114"/>
      <c r="N8" s="63"/>
      <c r="O8" s="63"/>
    </row>
    <row r="9" spans="1:15" s="4" customFormat="1" x14ac:dyDescent="0.35">
      <c r="A9" s="11"/>
      <c r="B9" s="11"/>
      <c r="C9" s="16"/>
      <c r="D9" s="35"/>
      <c r="E9" s="160"/>
      <c r="F9" s="86" t="s">
        <v>98</v>
      </c>
      <c r="G9" s="87" t="s">
        <v>15</v>
      </c>
      <c r="H9" s="3"/>
      <c r="I9" s="106"/>
      <c r="J9" s="161"/>
      <c r="K9" s="162"/>
      <c r="L9" s="162"/>
      <c r="M9" s="162"/>
      <c r="N9" s="161"/>
      <c r="O9" s="161"/>
    </row>
    <row r="10" spans="1:15" x14ac:dyDescent="0.35">
      <c r="E10" s="1"/>
      <c r="K10" s="8"/>
    </row>
    <row r="11" spans="1:15" x14ac:dyDescent="0.35">
      <c r="A11" s="1" t="s">
        <v>122</v>
      </c>
    </row>
    <row r="13" spans="1:15" s="68" customFormat="1" x14ac:dyDescent="0.35">
      <c r="A13" s="53"/>
      <c r="B13" s="53"/>
      <c r="C13" s="54"/>
      <c r="D13" s="20"/>
      <c r="E13" s="28" t="s">
        <v>123</v>
      </c>
      <c r="F13" s="163">
        <f xml:space="preserve"> IF( INDEX(J13:O13, $I$4) = "", INDEX(J13:N13, $I$6), INDEX(J13:O13, $I$4))</f>
        <v>43922</v>
      </c>
      <c r="G13" s="28" t="s">
        <v>109</v>
      </c>
      <c r="H13" s="28"/>
      <c r="I13" s="107" t="str" cm="1">
        <f t="array" ref="I13" xml:space="preserve"> IF( INDEX(J13:O13, I$5) = "", IF( INDEX(J13:O13, I$6) = F13, "vw", "tu"), IF(INDEX(J13:O13, I$5) = F13, "vw", "tu"))</f>
        <v>vw</v>
      </c>
      <c r="J13" s="90"/>
      <c r="K13" s="121">
        <v>43922</v>
      </c>
      <c r="L13" s="121">
        <v>45383</v>
      </c>
      <c r="M13" s="121">
        <v>45383</v>
      </c>
      <c r="N13" s="164"/>
      <c r="O13" s="164"/>
    </row>
    <row r="14" spans="1:15" s="71" customFormat="1" x14ac:dyDescent="0.35">
      <c r="A14" s="75"/>
      <c r="B14" s="75"/>
      <c r="C14" s="76"/>
      <c r="D14" s="77"/>
      <c r="E14" s="20" t="s">
        <v>124</v>
      </c>
      <c r="F14" s="163">
        <f xml:space="preserve"> IF( INDEX(J14:O14, $I$4) = "", INDEX(J14:N14, $I$6), INDEX(J14:O14, $I$4))</f>
        <v>44286</v>
      </c>
      <c r="G14" s="20" t="s">
        <v>109</v>
      </c>
      <c r="H14" s="20"/>
      <c r="I14" s="107" t="str" cm="1">
        <f t="array" ref="I14" xml:space="preserve"> IF( INDEX(J14:O14, I$5) = "", IF( INDEX(J14:O14, I$6) = F14, "vw", "tu"), IF(INDEX(J14:O14, I$5) = F14, "vw", "tu"))</f>
        <v>vw</v>
      </c>
      <c r="J14" s="91"/>
      <c r="K14" s="165">
        <f>EOMONTH(K13,11)</f>
        <v>44286</v>
      </c>
      <c r="L14" s="165">
        <f t="shared" ref="L14:M14" si="1">EOMONTH(L13,11)</f>
        <v>45747</v>
      </c>
      <c r="M14" s="165">
        <f t="shared" si="1"/>
        <v>45747</v>
      </c>
      <c r="N14" s="78"/>
      <c r="O14" s="78"/>
    </row>
    <row r="15" spans="1:15" x14ac:dyDescent="0.35">
      <c r="I15" s="108"/>
      <c r="J15" s="92"/>
      <c r="K15" s="119"/>
      <c r="L15" s="119"/>
      <c r="M15" s="119"/>
    </row>
    <row r="16" spans="1:15" x14ac:dyDescent="0.35">
      <c r="B16" s="1" t="s">
        <v>111</v>
      </c>
      <c r="K16" s="113"/>
      <c r="L16" s="113"/>
      <c r="M16" s="113"/>
    </row>
    <row r="17" spans="1:15" s="29" customFormat="1" x14ac:dyDescent="0.35">
      <c r="A17" s="11"/>
      <c r="B17" s="11"/>
      <c r="C17" s="16"/>
      <c r="D17" s="35"/>
      <c r="E17" s="122" t="s">
        <v>125</v>
      </c>
      <c r="F17" s="163">
        <f xml:space="preserve"> IF( INDEX(J17:O17, $I$4) = "", INDEX(J17:N17, $I$6), INDEX(J17:O17, $I$4))</f>
        <v>45046</v>
      </c>
      <c r="G17" s="8" t="s">
        <v>112</v>
      </c>
      <c r="H17" s="8"/>
      <c r="I17" s="107" t="str" cm="1">
        <f t="array" ref="I17" xml:space="preserve"> IF( INDEX(J17:O17, I$5) = "", IF( INDEX(J17:O17, I$6) = F17, "vw", "tu"), IF(INDEX(J17:O17, I$5) = F17, "vw", "tu"))</f>
        <v>vw</v>
      </c>
      <c r="J17" s="64"/>
      <c r="K17" s="121">
        <v>45046</v>
      </c>
      <c r="L17" s="121">
        <v>47238</v>
      </c>
      <c r="M17" s="121">
        <v>47238</v>
      </c>
      <c r="N17" s="64"/>
      <c r="O17" s="64"/>
    </row>
    <row r="18" spans="1:15" s="29" customFormat="1" x14ac:dyDescent="0.35">
      <c r="A18" s="11"/>
      <c r="B18" s="11"/>
      <c r="C18" s="16"/>
      <c r="D18" s="35"/>
      <c r="E18" s="122" t="s">
        <v>126</v>
      </c>
      <c r="F18" s="163">
        <f xml:space="preserve"> IF( INDEX(J18:O18, $I$4) = "", INDEX(J18:N18, $I$6), INDEX(J18:O18, $I$4))</f>
        <v>47603</v>
      </c>
      <c r="G18" s="8" t="s">
        <v>112</v>
      </c>
      <c r="H18" s="8"/>
      <c r="I18" s="107" t="str" cm="1">
        <f t="array" ref="I18" xml:space="preserve"> IF( INDEX(J18:O18, I$5) = "", IF( INDEX(J18:O18, I$6) = F18, "vw", "tu"), IF(INDEX(J18:O18, I$5) = F18, "vw", "tu"))</f>
        <v>vw</v>
      </c>
      <c r="J18" s="64"/>
      <c r="K18" s="121">
        <v>47603</v>
      </c>
      <c r="L18" s="121">
        <v>49064</v>
      </c>
      <c r="M18" s="121">
        <v>49064</v>
      </c>
      <c r="N18" s="64"/>
      <c r="O18" s="64"/>
    </row>
    <row r="19" spans="1:15" s="29" customFormat="1" x14ac:dyDescent="0.35">
      <c r="A19" s="11"/>
      <c r="B19" s="11"/>
      <c r="C19" s="16"/>
      <c r="D19" s="35"/>
      <c r="E19" s="122" t="s">
        <v>127</v>
      </c>
      <c r="F19" s="163">
        <f xml:space="preserve"> IF( INDEX(J19:O19, $I$4) = "", INDEX(J19:N19, $I$6), INDEX(J19:O19, $I$4))</f>
        <v>49064</v>
      </c>
      <c r="G19" s="8" t="s">
        <v>112</v>
      </c>
      <c r="H19" s="8"/>
      <c r="I19" s="107" t="str" cm="1">
        <f t="array" ref="I19" xml:space="preserve"> IF( INDEX(J19:O19, I$5) = "", IF( INDEX(J19:O19, I$6) = F19, "vw", "tu"), IF(INDEX(J19:O19, I$5) = F19, "vw", "tu"))</f>
        <v>vw</v>
      </c>
      <c r="J19" s="64"/>
      <c r="K19" s="121">
        <v>49064</v>
      </c>
      <c r="L19" s="121">
        <v>50890</v>
      </c>
      <c r="M19" s="121">
        <v>50890</v>
      </c>
      <c r="N19" s="64"/>
      <c r="O19" s="64"/>
    </row>
    <row r="20" spans="1:15" s="29" customFormat="1" x14ac:dyDescent="0.35">
      <c r="A20" s="11"/>
      <c r="B20" s="11"/>
      <c r="C20" s="16"/>
      <c r="D20" s="35"/>
      <c r="E20" s="8"/>
      <c r="F20" s="24"/>
      <c r="G20" s="8"/>
      <c r="H20" s="8"/>
      <c r="I20" s="110"/>
      <c r="J20" s="64"/>
      <c r="K20" s="120"/>
      <c r="L20" s="120"/>
      <c r="M20" s="120"/>
      <c r="N20" s="64"/>
      <c r="O20" s="64"/>
    </row>
    <row r="21" spans="1:15" x14ac:dyDescent="0.35">
      <c r="A21" s="1" t="s">
        <v>128</v>
      </c>
      <c r="K21" s="113"/>
      <c r="L21" s="113"/>
      <c r="M21" s="113"/>
    </row>
    <row r="22" spans="1:15" x14ac:dyDescent="0.35">
      <c r="K22" s="113"/>
      <c r="L22" s="113"/>
      <c r="M22" s="113"/>
    </row>
    <row r="23" spans="1:15" x14ac:dyDescent="0.35">
      <c r="B23" s="1" t="s">
        <v>129</v>
      </c>
      <c r="K23" s="113"/>
      <c r="L23" s="113"/>
      <c r="M23" s="113"/>
    </row>
    <row r="24" spans="1:15" x14ac:dyDescent="0.35">
      <c r="K24" s="113"/>
      <c r="L24" s="113"/>
      <c r="M24" s="113"/>
    </row>
    <row r="25" spans="1:15" x14ac:dyDescent="0.35">
      <c r="E25" s="122" t="s">
        <v>130</v>
      </c>
      <c r="F25" s="122" t="s">
        <v>31</v>
      </c>
      <c r="K25" s="113"/>
      <c r="L25" s="113"/>
      <c r="M25" s="113"/>
    </row>
    <row r="26" spans="1:15" x14ac:dyDescent="0.35">
      <c r="E26" s="122" t="s">
        <v>131</v>
      </c>
      <c r="F26" s="122" t="s">
        <v>43</v>
      </c>
      <c r="K26" s="113"/>
      <c r="L26" s="113"/>
      <c r="M26" s="113"/>
    </row>
    <row r="27" spans="1:15" x14ac:dyDescent="0.35">
      <c r="E27" s="122" t="s">
        <v>132</v>
      </c>
      <c r="F27" s="122" t="s">
        <v>44</v>
      </c>
      <c r="K27" s="113"/>
      <c r="L27" s="113"/>
      <c r="M27" s="113"/>
    </row>
    <row r="28" spans="1:15" x14ac:dyDescent="0.35">
      <c r="E28" s="122" t="s">
        <v>133</v>
      </c>
      <c r="F28" s="122" t="s">
        <v>45</v>
      </c>
      <c r="K28" s="113"/>
      <c r="L28" s="113"/>
      <c r="M28" s="113"/>
    </row>
    <row r="29" spans="1:15" x14ac:dyDescent="0.35">
      <c r="E29" s="122" t="s">
        <v>134</v>
      </c>
      <c r="F29" s="122" t="s">
        <v>46</v>
      </c>
      <c r="K29" s="113"/>
      <c r="L29" s="113"/>
      <c r="M29" s="113"/>
    </row>
    <row r="30" spans="1:15" x14ac:dyDescent="0.35">
      <c r="E30" s="122" t="s">
        <v>135</v>
      </c>
      <c r="F30" s="122" t="s">
        <v>48</v>
      </c>
      <c r="K30" s="113"/>
      <c r="L30" s="113"/>
      <c r="M30" s="113"/>
    </row>
    <row r="31" spans="1:15" x14ac:dyDescent="0.35">
      <c r="E31" s="122" t="s">
        <v>136</v>
      </c>
      <c r="F31" s="122" t="s">
        <v>49</v>
      </c>
      <c r="K31" s="113"/>
      <c r="L31" s="113"/>
      <c r="M31" s="113"/>
    </row>
    <row r="32" spans="1:15" x14ac:dyDescent="0.35">
      <c r="E32" s="122" t="s">
        <v>137</v>
      </c>
      <c r="F32" s="122" t="s">
        <v>50</v>
      </c>
      <c r="K32" s="113"/>
      <c r="L32" s="113"/>
      <c r="M32" s="113"/>
    </row>
    <row r="33" spans="2:13" x14ac:dyDescent="0.35">
      <c r="E33" s="122" t="s">
        <v>138</v>
      </c>
      <c r="F33" s="122" t="s">
        <v>51</v>
      </c>
      <c r="K33" s="113"/>
      <c r="L33" s="113"/>
      <c r="M33" s="113"/>
    </row>
    <row r="34" spans="2:13" x14ac:dyDescent="0.35">
      <c r="E34" s="122" t="s">
        <v>139</v>
      </c>
      <c r="F34" s="122" t="s">
        <v>52</v>
      </c>
      <c r="K34" s="113"/>
      <c r="L34" s="113"/>
      <c r="M34" s="113"/>
    </row>
    <row r="35" spans="2:13" x14ac:dyDescent="0.35">
      <c r="E35" s="122" t="s">
        <v>140</v>
      </c>
      <c r="F35" s="122" t="s">
        <v>53</v>
      </c>
      <c r="K35" s="113"/>
      <c r="L35" s="113"/>
      <c r="M35" s="113"/>
    </row>
    <row r="36" spans="2:13" x14ac:dyDescent="0.35">
      <c r="E36" s="122" t="s">
        <v>141</v>
      </c>
      <c r="F36" s="122" t="s">
        <v>55</v>
      </c>
      <c r="K36" s="113"/>
      <c r="L36" s="113"/>
      <c r="M36" s="113"/>
    </row>
    <row r="37" spans="2:13" x14ac:dyDescent="0.35">
      <c r="E37" s="122" t="s">
        <v>142</v>
      </c>
      <c r="F37" s="122" t="s">
        <v>56</v>
      </c>
      <c r="K37" s="113"/>
      <c r="L37" s="113"/>
      <c r="M37" s="113"/>
    </row>
    <row r="38" spans="2:13" x14ac:dyDescent="0.35">
      <c r="E38" s="122" t="s">
        <v>143</v>
      </c>
      <c r="F38" s="122" t="s">
        <v>57</v>
      </c>
      <c r="K38" s="113"/>
      <c r="L38" s="113"/>
      <c r="M38" s="113"/>
    </row>
    <row r="39" spans="2:13" x14ac:dyDescent="0.35">
      <c r="E39" s="122" t="s">
        <v>144</v>
      </c>
      <c r="F39" s="122" t="s">
        <v>58</v>
      </c>
      <c r="K39" s="113"/>
      <c r="L39" s="113"/>
      <c r="M39" s="113"/>
    </row>
    <row r="40" spans="2:13" x14ac:dyDescent="0.35">
      <c r="E40" s="122" t="s">
        <v>145</v>
      </c>
      <c r="F40" s="122" t="s">
        <v>47</v>
      </c>
      <c r="K40" s="113"/>
      <c r="L40" s="113"/>
      <c r="M40" s="113"/>
    </row>
    <row r="41" spans="2:13" x14ac:dyDescent="0.35">
      <c r="E41" s="122" t="s">
        <v>146</v>
      </c>
      <c r="F41" s="122" t="s">
        <v>54</v>
      </c>
      <c r="K41" s="113"/>
      <c r="L41" s="113"/>
      <c r="M41" s="113"/>
    </row>
    <row r="42" spans="2:13" ht="13.15" customHeight="1" x14ac:dyDescent="0.35">
      <c r="E42" s="122" t="s">
        <v>147</v>
      </c>
      <c r="F42" s="122"/>
      <c r="G42" s="10" t="s">
        <v>147</v>
      </c>
      <c r="K42" s="113"/>
      <c r="L42" s="113"/>
      <c r="M42" s="113"/>
    </row>
    <row r="43" spans="2:13" ht="13.15" customHeight="1" x14ac:dyDescent="0.35">
      <c r="K43" s="113"/>
      <c r="L43" s="113"/>
      <c r="M43" s="113"/>
    </row>
    <row r="44" spans="2:13" ht="13.15" customHeight="1" x14ac:dyDescent="0.35">
      <c r="B44" s="1" t="s">
        <v>14</v>
      </c>
      <c r="K44" s="113"/>
      <c r="L44" s="113"/>
      <c r="M44" s="113"/>
    </row>
    <row r="45" spans="2:13" ht="13.15" customHeight="1" x14ac:dyDescent="0.35">
      <c r="K45" s="113"/>
      <c r="L45" s="113"/>
      <c r="M45" s="113"/>
    </row>
    <row r="46" spans="2:13" ht="13.15" customHeight="1" x14ac:dyDescent="0.35">
      <c r="B46" s="1" t="s">
        <v>125</v>
      </c>
      <c r="F46" s="5" t="s">
        <v>148</v>
      </c>
      <c r="G46" s="5" t="s">
        <v>149</v>
      </c>
      <c r="K46" s="113"/>
      <c r="L46" s="113"/>
      <c r="M46" s="113"/>
    </row>
    <row r="47" spans="2:13" ht="13.15" customHeight="1" x14ac:dyDescent="0.35">
      <c r="K47" s="113"/>
      <c r="L47" s="113"/>
      <c r="M47" s="113"/>
    </row>
    <row r="48" spans="2:13" ht="13.15" customHeight="1" x14ac:dyDescent="0.35">
      <c r="E48" s="123" t="s">
        <v>64</v>
      </c>
      <c r="F48" s="122" t="s">
        <v>63</v>
      </c>
      <c r="G48" s="10" t="str">
        <f>E57</f>
        <v>Location specific costs &amp; obligations - Costs associated with Traffic Management Act - Total</v>
      </c>
      <c r="H48" s="10" t="s">
        <v>150</v>
      </c>
      <c r="I48" s="102" t="s">
        <v>151</v>
      </c>
      <c r="K48" s="113"/>
      <c r="L48" s="113"/>
      <c r="M48" s="113"/>
    </row>
    <row r="49" spans="2:13" ht="13.15" customHeight="1" x14ac:dyDescent="0.35">
      <c r="E49" s="123" t="s">
        <v>67</v>
      </c>
      <c r="F49" s="122" t="s">
        <v>66</v>
      </c>
      <c r="G49" s="10" t="str">
        <f t="shared" ref="G49:G53" si="2">E58</f>
        <v>Location specific costs &amp; obligations - Costs associated with lane rental schemes - Total</v>
      </c>
      <c r="H49" s="10" t="s">
        <v>152</v>
      </c>
      <c r="I49" s="102" t="s">
        <v>151</v>
      </c>
      <c r="K49" s="113"/>
      <c r="L49" s="113"/>
      <c r="M49" s="113"/>
    </row>
    <row r="50" spans="2:13" ht="13.15" customHeight="1" x14ac:dyDescent="0.35">
      <c r="E50" s="123" t="s">
        <v>38</v>
      </c>
      <c r="F50" s="122" t="s">
        <v>68</v>
      </c>
      <c r="G50" s="10" t="str">
        <f t="shared" si="2"/>
        <v>Traffic Management Act - Projects incurring costs associated with Traffic Management Act - Total</v>
      </c>
      <c r="H50" s="10" t="s">
        <v>153</v>
      </c>
      <c r="I50" s="102" t="s">
        <v>99</v>
      </c>
      <c r="K50" s="113"/>
      <c r="L50" s="113"/>
      <c r="M50" s="113"/>
    </row>
    <row r="51" spans="2:13" ht="13.15" customHeight="1" x14ac:dyDescent="0.35">
      <c r="E51" s="123" t="s">
        <v>70</v>
      </c>
      <c r="F51" s="122" t="s">
        <v>69</v>
      </c>
      <c r="G51" s="10" t="str">
        <f t="shared" si="2"/>
        <v>Location specific costs &amp; obligations - Costs associated with Traffic Management Act - Total</v>
      </c>
      <c r="H51" s="10" t="s">
        <v>150</v>
      </c>
      <c r="I51" s="102" t="s">
        <v>154</v>
      </c>
      <c r="K51" s="113"/>
      <c r="L51" s="113"/>
      <c r="M51" s="113"/>
    </row>
    <row r="52" spans="2:13" ht="13.15" customHeight="1" x14ac:dyDescent="0.35">
      <c r="E52" s="123" t="s">
        <v>72</v>
      </c>
      <c r="F52" s="122" t="s">
        <v>71</v>
      </c>
      <c r="G52" s="10" t="str">
        <f t="shared" si="2"/>
        <v>Location specific costs &amp; obligations - Costs associated with lane rental schemes - Total</v>
      </c>
      <c r="H52" s="10" t="s">
        <v>152</v>
      </c>
      <c r="I52" s="102" t="s">
        <v>154</v>
      </c>
      <c r="K52" s="113"/>
      <c r="L52" s="113"/>
      <c r="M52" s="113"/>
    </row>
    <row r="53" spans="2:13" ht="13.15" customHeight="1" x14ac:dyDescent="0.35">
      <c r="E53" s="123" t="s">
        <v>38</v>
      </c>
      <c r="F53" s="122" t="s">
        <v>73</v>
      </c>
      <c r="G53" s="10" t="str">
        <f t="shared" si="2"/>
        <v>Traffic Management Act - Projects incurring costs associated with Traffic Management Act - Total</v>
      </c>
      <c r="H53" s="10" t="s">
        <v>153</v>
      </c>
      <c r="I53" s="102" t="s">
        <v>99</v>
      </c>
      <c r="K53" s="113"/>
      <c r="L53" s="113"/>
      <c r="M53" s="113"/>
    </row>
    <row r="54" spans="2:13" ht="13.15" customHeight="1" x14ac:dyDescent="0.35">
      <c r="K54" s="113"/>
      <c r="L54" s="113"/>
      <c r="M54" s="113"/>
    </row>
    <row r="55" spans="2:13" ht="13.15" customHeight="1" x14ac:dyDescent="0.35">
      <c r="B55" s="1" t="s">
        <v>126</v>
      </c>
      <c r="F55" s="5" t="s">
        <v>148</v>
      </c>
      <c r="G55" s="5" t="s">
        <v>149</v>
      </c>
      <c r="K55" s="113"/>
      <c r="L55" s="113"/>
      <c r="M55" s="113"/>
    </row>
    <row r="56" spans="2:13" ht="13.15" customHeight="1" x14ac:dyDescent="0.35">
      <c r="K56" s="113"/>
      <c r="L56" s="113"/>
      <c r="M56" s="113"/>
    </row>
    <row r="57" spans="2:13" ht="13.15" customHeight="1" x14ac:dyDescent="0.35">
      <c r="E57" s="123" t="s">
        <v>33</v>
      </c>
      <c r="F57" s="10" t="str">
        <f>F48</f>
        <v>W3032TOT</v>
      </c>
      <c r="G57" s="123" t="s">
        <v>32</v>
      </c>
      <c r="K57" s="113"/>
      <c r="L57" s="113"/>
      <c r="M57" s="113"/>
    </row>
    <row r="58" spans="2:13" ht="13.15" customHeight="1" x14ac:dyDescent="0.35">
      <c r="E58" s="123" t="s">
        <v>36</v>
      </c>
      <c r="F58" s="10" t="str">
        <f t="shared" ref="F58:F62" si="3">F49</f>
        <v>W3037TOT</v>
      </c>
      <c r="G58" s="123" t="s">
        <v>35</v>
      </c>
      <c r="K58" s="113"/>
      <c r="L58" s="113"/>
      <c r="M58" s="113"/>
    </row>
    <row r="59" spans="2:13" ht="13.15" customHeight="1" x14ac:dyDescent="0.35">
      <c r="E59" s="123" t="s">
        <v>38</v>
      </c>
      <c r="F59" s="10" t="str">
        <f t="shared" si="3"/>
        <v>W3040TOT</v>
      </c>
      <c r="G59" s="123" t="s">
        <v>37</v>
      </c>
      <c r="K59" s="113"/>
      <c r="L59" s="113"/>
      <c r="M59" s="113"/>
    </row>
    <row r="60" spans="2:13" ht="13.15" customHeight="1" x14ac:dyDescent="0.35">
      <c r="E60" s="123" t="s">
        <v>33</v>
      </c>
      <c r="F60" s="10" t="str">
        <f t="shared" si="3"/>
        <v>WWS1103CAS</v>
      </c>
      <c r="G60" s="123" t="s">
        <v>40</v>
      </c>
      <c r="K60" s="113"/>
      <c r="L60" s="113"/>
      <c r="M60" s="113"/>
    </row>
    <row r="61" spans="2:13" ht="13.15" customHeight="1" x14ac:dyDescent="0.35">
      <c r="E61" s="123" t="s">
        <v>36</v>
      </c>
      <c r="F61" s="10" t="str">
        <f t="shared" si="3"/>
        <v>WWS1104CAS</v>
      </c>
      <c r="G61" s="123" t="s">
        <v>41</v>
      </c>
      <c r="K61" s="113"/>
      <c r="L61" s="113"/>
      <c r="M61" s="113"/>
    </row>
    <row r="62" spans="2:13" ht="13.15" customHeight="1" x14ac:dyDescent="0.35">
      <c r="E62" s="123" t="s">
        <v>38</v>
      </c>
      <c r="F62" s="10" t="str">
        <f t="shared" si="3"/>
        <v>WWS1108CAS</v>
      </c>
      <c r="G62" s="123" t="s">
        <v>42</v>
      </c>
      <c r="K62" s="113"/>
      <c r="L62" s="113"/>
      <c r="M62" s="113"/>
    </row>
    <row r="63" spans="2:13" ht="13.15" customHeight="1" x14ac:dyDescent="0.35">
      <c r="K63" s="113"/>
      <c r="L63" s="113"/>
      <c r="M63" s="113"/>
    </row>
    <row r="64" spans="2:13" ht="13.15" customHeight="1" x14ac:dyDescent="0.35">
      <c r="K64" s="113"/>
      <c r="L64" s="113"/>
      <c r="M64" s="113"/>
    </row>
    <row r="65" spans="11:13" x14ac:dyDescent="0.35">
      <c r="K65" s="113"/>
      <c r="L65" s="113"/>
      <c r="M65" s="113"/>
    </row>
    <row r="66" spans="11:13" x14ac:dyDescent="0.35">
      <c r="K66" s="113"/>
      <c r="L66" s="113"/>
      <c r="M66" s="113"/>
    </row>
    <row r="67" spans="11:13" x14ac:dyDescent="0.35">
      <c r="K67" s="113"/>
      <c r="L67" s="113"/>
      <c r="M67" s="113"/>
    </row>
    <row r="68" spans="11:13" x14ac:dyDescent="0.35">
      <c r="K68" s="113"/>
      <c r="L68" s="113"/>
      <c r="M68" s="113"/>
    </row>
    <row r="69" spans="11:13" x14ac:dyDescent="0.35">
      <c r="K69" s="113"/>
      <c r="L69" s="113"/>
      <c r="M69" s="113"/>
    </row>
    <row r="70" spans="11:13" x14ac:dyDescent="0.35">
      <c r="K70" s="113"/>
      <c r="L70" s="113"/>
      <c r="M70" s="113"/>
    </row>
    <row r="71" spans="11:13" x14ac:dyDescent="0.35">
      <c r="K71" s="113"/>
      <c r="L71" s="113"/>
      <c r="M71" s="113"/>
    </row>
    <row r="72" spans="11:13" x14ac:dyDescent="0.35">
      <c r="K72" s="113"/>
      <c r="L72" s="113"/>
      <c r="M72" s="113"/>
    </row>
    <row r="73" spans="11:13" x14ac:dyDescent="0.35">
      <c r="K73" s="113"/>
      <c r="L73" s="113"/>
      <c r="M73" s="113"/>
    </row>
    <row r="74" spans="11:13" x14ac:dyDescent="0.35">
      <c r="K74" s="113"/>
      <c r="L74" s="113"/>
      <c r="M74" s="113"/>
    </row>
    <row r="75" spans="11:13" x14ac:dyDescent="0.35">
      <c r="K75" s="113"/>
      <c r="L75" s="113"/>
      <c r="M75" s="113"/>
    </row>
    <row r="76" spans="11:13" x14ac:dyDescent="0.35">
      <c r="K76" s="113"/>
      <c r="L76" s="113"/>
      <c r="M76" s="113"/>
    </row>
    <row r="77" spans="11:13" x14ac:dyDescent="0.35">
      <c r="K77" s="113"/>
      <c r="L77" s="113"/>
      <c r="M77" s="113"/>
    </row>
    <row r="78" spans="11:13" x14ac:dyDescent="0.35">
      <c r="K78" s="113"/>
      <c r="L78" s="113"/>
      <c r="M78" s="113"/>
    </row>
    <row r="79" spans="11:13" x14ac:dyDescent="0.35">
      <c r="K79" s="113"/>
      <c r="L79" s="113"/>
      <c r="M79" s="113"/>
    </row>
    <row r="80" spans="11:13" x14ac:dyDescent="0.35">
      <c r="K80" s="113"/>
      <c r="L80" s="113"/>
      <c r="M80" s="113"/>
    </row>
    <row r="81" spans="11:13" x14ac:dyDescent="0.35">
      <c r="K81" s="113"/>
      <c r="L81" s="113"/>
      <c r="M81" s="113"/>
    </row>
    <row r="82" spans="11:13" x14ac:dyDescent="0.35">
      <c r="K82" s="113"/>
      <c r="L82" s="113"/>
      <c r="M82" s="113"/>
    </row>
    <row r="83" spans="11:13" x14ac:dyDescent="0.35">
      <c r="K83" s="113"/>
      <c r="L83" s="113"/>
      <c r="M83" s="113"/>
    </row>
    <row r="84" spans="11:13" x14ac:dyDescent="0.35">
      <c r="K84" s="113"/>
      <c r="L84" s="113"/>
      <c r="M84" s="113"/>
    </row>
    <row r="85" spans="11:13" x14ac:dyDescent="0.35">
      <c r="K85" s="113"/>
      <c r="L85" s="113"/>
      <c r="M85" s="113"/>
    </row>
    <row r="86" spans="11:13" x14ac:dyDescent="0.35">
      <c r="K86" s="113"/>
      <c r="L86" s="113"/>
      <c r="M86" s="113"/>
    </row>
    <row r="87" spans="11:13" x14ac:dyDescent="0.35">
      <c r="K87" s="113"/>
      <c r="L87" s="113"/>
      <c r="M87" s="113"/>
    </row>
    <row r="88" spans="11:13" x14ac:dyDescent="0.35">
      <c r="K88" s="113"/>
      <c r="L88" s="113"/>
      <c r="M88" s="113"/>
    </row>
    <row r="89" spans="11:13" x14ac:dyDescent="0.35">
      <c r="K89" s="113"/>
      <c r="L89" s="113"/>
      <c r="M89" s="113"/>
    </row>
    <row r="90" spans="11:13" x14ac:dyDescent="0.35">
      <c r="K90" s="113"/>
      <c r="L90" s="113"/>
      <c r="M90" s="113"/>
    </row>
    <row r="91" spans="11:13" x14ac:dyDescent="0.35">
      <c r="K91" s="113"/>
      <c r="L91" s="113"/>
      <c r="M91" s="113"/>
    </row>
    <row r="92" spans="11:13" x14ac:dyDescent="0.35">
      <c r="K92" s="113"/>
      <c r="L92" s="113"/>
      <c r="M92" s="113"/>
    </row>
    <row r="93" spans="11:13" x14ac:dyDescent="0.35">
      <c r="K93" s="113"/>
      <c r="L93" s="113"/>
      <c r="M93" s="113"/>
    </row>
    <row r="94" spans="11:13" x14ac:dyDescent="0.35">
      <c r="K94" s="113"/>
      <c r="L94" s="113"/>
      <c r="M94" s="113"/>
    </row>
    <row r="95" spans="11:13" x14ac:dyDescent="0.35">
      <c r="K95" s="113"/>
      <c r="L95" s="113"/>
      <c r="M95" s="113"/>
    </row>
    <row r="96" spans="11:13" x14ac:dyDescent="0.35">
      <c r="K96" s="113"/>
      <c r="L96" s="113"/>
      <c r="M96" s="113"/>
    </row>
    <row r="97" spans="5:13" x14ac:dyDescent="0.35">
      <c r="K97" s="113"/>
      <c r="L97" s="113"/>
      <c r="M97" s="113"/>
    </row>
    <row r="98" spans="5:13" x14ac:dyDescent="0.35">
      <c r="K98" s="113"/>
      <c r="L98" s="113"/>
      <c r="M98" s="113"/>
    </row>
    <row r="99" spans="5:13" x14ac:dyDescent="0.35">
      <c r="K99" s="113"/>
      <c r="L99" s="113"/>
      <c r="M99" s="113"/>
    </row>
    <row r="100" spans="5:13" x14ac:dyDescent="0.35">
      <c r="K100" s="113"/>
      <c r="L100" s="113"/>
      <c r="M100" s="113"/>
    </row>
    <row r="101" spans="5:13" x14ac:dyDescent="0.35">
      <c r="K101" s="113"/>
      <c r="L101" s="113"/>
      <c r="M101" s="113"/>
    </row>
    <row r="102" spans="5:13" x14ac:dyDescent="0.35">
      <c r="K102" s="113"/>
      <c r="L102" s="113"/>
      <c r="M102" s="113"/>
    </row>
    <row r="103" spans="5:13" x14ac:dyDescent="0.35">
      <c r="K103" s="113"/>
      <c r="L103" s="113"/>
      <c r="M103" s="113"/>
    </row>
    <row r="104" spans="5:13" x14ac:dyDescent="0.35">
      <c r="K104" s="113"/>
      <c r="L104" s="113"/>
      <c r="M104" s="113"/>
    </row>
    <row r="105" spans="5:13" x14ac:dyDescent="0.35">
      <c r="K105" s="113"/>
      <c r="L105" s="113"/>
      <c r="M105" s="113"/>
    </row>
    <row r="106" spans="5:13" x14ac:dyDescent="0.35">
      <c r="K106" s="113"/>
      <c r="L106" s="113"/>
      <c r="M106" s="113"/>
    </row>
    <row r="107" spans="5:13" x14ac:dyDescent="0.35">
      <c r="K107" s="113"/>
      <c r="L107" s="113"/>
      <c r="M107" s="113"/>
    </row>
    <row r="108" spans="5:13" x14ac:dyDescent="0.35">
      <c r="K108" s="113"/>
      <c r="L108" s="113"/>
      <c r="M108" s="113"/>
    </row>
    <row r="109" spans="5:13" x14ac:dyDescent="0.35">
      <c r="K109" s="113"/>
      <c r="L109" s="113"/>
      <c r="M109" s="113"/>
    </row>
    <row r="110" spans="5:13" x14ac:dyDescent="0.35">
      <c r="K110" s="113"/>
      <c r="L110" s="113"/>
      <c r="M110" s="113"/>
    </row>
    <row r="111" spans="5:13" x14ac:dyDescent="0.35">
      <c r="K111" s="113"/>
      <c r="L111" s="113"/>
      <c r="M111" s="113"/>
    </row>
    <row r="112" spans="5:13" x14ac:dyDescent="0.35">
      <c r="E112" s="15"/>
      <c r="K112" s="113"/>
      <c r="L112" s="113"/>
      <c r="M112" s="113"/>
    </row>
    <row r="113" spans="1:15" x14ac:dyDescent="0.35">
      <c r="E113" s="15"/>
      <c r="K113" s="113"/>
      <c r="L113" s="113"/>
      <c r="M113" s="113"/>
    </row>
    <row r="114" spans="1:15" x14ac:dyDescent="0.35">
      <c r="E114" s="15"/>
      <c r="K114" s="113"/>
      <c r="L114" s="113"/>
      <c r="M114" s="113"/>
    </row>
    <row r="115" spans="1:15" x14ac:dyDescent="0.35">
      <c r="K115" s="113"/>
      <c r="L115" s="113"/>
      <c r="M115" s="113"/>
    </row>
    <row r="116" spans="1:15" x14ac:dyDescent="0.35">
      <c r="K116" s="113"/>
      <c r="L116" s="113"/>
      <c r="M116" s="113"/>
    </row>
    <row r="117" spans="1:15" x14ac:dyDescent="0.35">
      <c r="K117" s="113"/>
      <c r="L117" s="113"/>
      <c r="M117" s="113"/>
    </row>
    <row r="118" spans="1:15" s="29" customFormat="1" x14ac:dyDescent="0.35">
      <c r="A118" s="11"/>
      <c r="B118" s="11"/>
      <c r="C118" s="16"/>
      <c r="D118" s="35"/>
      <c r="E118" s="8"/>
      <c r="F118" s="114"/>
      <c r="G118" s="8"/>
      <c r="H118" s="8"/>
      <c r="I118" s="110"/>
      <c r="J118" s="64"/>
      <c r="K118" s="120"/>
      <c r="L118" s="120"/>
      <c r="M118" s="120"/>
      <c r="N118" s="64"/>
      <c r="O118" s="64"/>
    </row>
    <row r="119" spans="1:15" s="65" customFormat="1" x14ac:dyDescent="0.35">
      <c r="A119" s="84" t="s">
        <v>155</v>
      </c>
      <c r="B119" s="84"/>
      <c r="C119" s="85"/>
      <c r="F119" s="115"/>
      <c r="I119" s="109"/>
    </row>
    <row r="120" spans="1:15" s="22" customFormat="1" x14ac:dyDescent="0.35">
      <c r="A120" s="23"/>
      <c r="B120" s="23"/>
      <c r="C120" s="21"/>
      <c r="D120" s="55"/>
      <c r="F120" s="116"/>
      <c r="I120" s="102"/>
      <c r="J120" s="65"/>
      <c r="N120" s="65"/>
      <c r="O120" s="65"/>
    </row>
    <row r="121" spans="1:15" s="22" customFormat="1" x14ac:dyDescent="0.35">
      <c r="A121" s="23"/>
      <c r="B121" s="23"/>
      <c r="C121" s="21"/>
      <c r="D121" s="55"/>
      <c r="E121" s="56" t="s">
        <v>156</v>
      </c>
      <c r="F121" s="117">
        <v>1E-3</v>
      </c>
      <c r="G121" s="56" t="s">
        <v>157</v>
      </c>
      <c r="I121" s="102"/>
      <c r="J121" s="65"/>
      <c r="N121" s="65"/>
      <c r="O121" s="65"/>
    </row>
    <row r="122" spans="1:15" s="22" customFormat="1" x14ac:dyDescent="0.35">
      <c r="A122" s="23"/>
      <c r="B122" s="23"/>
      <c r="C122" s="21"/>
      <c r="D122" s="55"/>
      <c r="E122" s="56" t="s">
        <v>158</v>
      </c>
      <c r="F122" s="117">
        <v>1E-3</v>
      </c>
      <c r="G122" s="56" t="s">
        <v>157</v>
      </c>
      <c r="I122" s="102"/>
      <c r="J122" s="65"/>
      <c r="N122" s="65"/>
      <c r="O122" s="65"/>
    </row>
    <row r="123" spans="1:15" x14ac:dyDescent="0.35">
      <c r="E123" s="10" t="s">
        <v>159</v>
      </c>
      <c r="F123" s="118" t="s">
        <v>34</v>
      </c>
      <c r="G123" s="10" t="s">
        <v>160</v>
      </c>
      <c r="I123" s="110"/>
    </row>
    <row r="124" spans="1:15" x14ac:dyDescent="0.35">
      <c r="F124" s="113"/>
    </row>
    <row r="125" spans="1:15" s="29" customFormat="1" x14ac:dyDescent="0.35">
      <c r="A125" s="11"/>
      <c r="B125" s="11" t="s">
        <v>161</v>
      </c>
      <c r="C125" s="16"/>
      <c r="D125" s="35"/>
      <c r="E125" s="8"/>
      <c r="F125" s="166"/>
      <c r="G125" s="8"/>
      <c r="H125" s="8"/>
      <c r="I125" s="110"/>
      <c r="J125" s="64"/>
      <c r="N125" s="64"/>
      <c r="O125" s="64"/>
    </row>
    <row r="126" spans="1:15" s="29" customFormat="1" x14ac:dyDescent="0.35">
      <c r="A126" s="11"/>
      <c r="B126" s="11"/>
      <c r="C126" s="16"/>
      <c r="D126" s="35"/>
      <c r="E126" s="8" t="s">
        <v>162</v>
      </c>
      <c r="F126" s="118" t="s">
        <v>162</v>
      </c>
      <c r="G126" s="8" t="s">
        <v>112</v>
      </c>
      <c r="H126" s="8"/>
      <c r="I126" s="110"/>
      <c r="J126" s="64"/>
      <c r="N126" s="64"/>
      <c r="O126" s="64"/>
    </row>
    <row r="127" spans="1:15" s="29" customFormat="1" x14ac:dyDescent="0.35">
      <c r="A127" s="11"/>
      <c r="B127" s="11"/>
      <c r="C127" s="16"/>
      <c r="D127" s="35"/>
      <c r="E127" s="8" t="s">
        <v>163</v>
      </c>
      <c r="F127" s="118" t="s">
        <v>163</v>
      </c>
      <c r="G127" s="8" t="s">
        <v>112</v>
      </c>
      <c r="H127" s="8"/>
      <c r="I127" s="110"/>
      <c r="J127" s="64"/>
      <c r="N127" s="64"/>
      <c r="O127" s="64"/>
    </row>
    <row r="128" spans="1:15" s="29" customFormat="1" x14ac:dyDescent="0.35">
      <c r="A128" s="11"/>
      <c r="B128" s="11"/>
      <c r="C128" s="16"/>
      <c r="D128" s="35"/>
      <c r="E128" s="8"/>
      <c r="F128" s="167"/>
      <c r="G128" s="8"/>
      <c r="H128" s="8"/>
      <c r="I128" s="110"/>
      <c r="J128" s="64"/>
      <c r="N128" s="64"/>
      <c r="O128" s="64"/>
    </row>
    <row r="129" spans="1:9" s="65" customFormat="1" x14ac:dyDescent="0.35">
      <c r="A129" s="84" t="s">
        <v>114</v>
      </c>
      <c r="B129" s="84"/>
      <c r="C129" s="85"/>
      <c r="I129" s="109"/>
    </row>
  </sheetData>
  <phoneticPr fontId="5" type="noConversion"/>
  <conditionalFormatting sqref="I13:I14">
    <cfRule type="cellIs" dxfId="208" priority="25" operator="equal">
      <formula>"tu"</formula>
    </cfRule>
  </conditionalFormatting>
  <conditionalFormatting sqref="I16 I124">
    <cfRule type="cellIs" dxfId="207" priority="116" operator="equal">
      <formula>1</formula>
    </cfRule>
  </conditionalFormatting>
  <conditionalFormatting sqref="I17:I19">
    <cfRule type="cellIs" dxfId="206" priority="1" operator="equal">
      <formula>"tu"</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86028-C787-4A56-82D4-AEA84FA7C723}">
  <sheetPr>
    <tabColor rgb="FFFFDB8E"/>
    <outlinePr summaryBelow="0" summaryRight="0"/>
  </sheetPr>
  <dimension ref="A1:JD18"/>
  <sheetViews>
    <sheetView zoomScale="80" zoomScaleNormal="80" workbookViewId="0"/>
  </sheetViews>
  <sheetFormatPr defaultColWidth="0" defaultRowHeight="13.15" x14ac:dyDescent="0.35"/>
  <cols>
    <col min="1" max="2" width="1.265625" style="11" customWidth="1"/>
    <col min="3" max="3" width="1.265625" style="16" customWidth="1"/>
    <col min="4" max="4" width="4.1328125" style="35" customWidth="1"/>
    <col min="5" max="5" width="52" style="10" customWidth="1"/>
    <col min="6" max="6" width="12.73046875" style="10" customWidth="1"/>
    <col min="7" max="8" width="11.73046875" style="10" customWidth="1"/>
    <col min="9" max="9" width="2.73046875" style="8" customWidth="1"/>
    <col min="10" max="19" width="11.73046875" style="10" customWidth="1"/>
    <col min="20" max="20" width="11.73046875" customWidth="1"/>
    <col min="21" max="16384" width="11.73046875" hidden="1"/>
  </cols>
  <sheetData>
    <row r="1" spans="1:264" s="24" customFormat="1" ht="25.15" x14ac:dyDescent="0.35">
      <c r="A1" s="19" t="str">
        <f ca="1">RIGHT(CELL("filename", A1), LEN(CELL("filename", A1)) - SEARCH("]", CELL("filename", A1)))</f>
        <v>InpT</v>
      </c>
      <c r="B1" s="11"/>
      <c r="C1" s="16"/>
      <c r="D1" s="35"/>
      <c r="E1" s="10"/>
      <c r="F1" s="10"/>
      <c r="G1" s="10"/>
      <c r="H1" s="10"/>
      <c r="I1" s="8"/>
      <c r="J1" s="10"/>
      <c r="K1" s="10"/>
      <c r="L1" s="10"/>
      <c r="M1" s="10"/>
      <c r="N1" s="10"/>
      <c r="O1" s="10"/>
      <c r="P1" s="10"/>
      <c r="Q1" s="10"/>
      <c r="R1" s="10"/>
      <c r="S1" s="10"/>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row>
    <row r="2" spans="1:264" s="30" customFormat="1" x14ac:dyDescent="0.35">
      <c r="A2" s="38"/>
      <c r="B2" s="38"/>
      <c r="C2" s="39"/>
      <c r="D2" s="40"/>
      <c r="E2" s="124" t="str">
        <f>Time!E2</f>
        <v>Model period ending</v>
      </c>
      <c r="F2" s="17"/>
      <c r="G2" s="17"/>
      <c r="H2" s="17"/>
      <c r="I2" s="18"/>
      <c r="J2" s="17">
        <f>Time!J2</f>
        <v>44286</v>
      </c>
      <c r="K2" s="17">
        <f>Time!K2</f>
        <v>44651</v>
      </c>
      <c r="L2" s="17">
        <f>Time!L2</f>
        <v>45016</v>
      </c>
      <c r="M2" s="17">
        <f>Time!M2</f>
        <v>45382</v>
      </c>
      <c r="N2" s="17">
        <f>Time!N2</f>
        <v>45747</v>
      </c>
      <c r="O2" s="17">
        <f>Time!O2</f>
        <v>46112</v>
      </c>
      <c r="P2" s="17">
        <f>Time!P2</f>
        <v>46477</v>
      </c>
      <c r="Q2" s="17">
        <f>Time!Q2</f>
        <v>46843</v>
      </c>
      <c r="R2" s="17">
        <f>Time!R2</f>
        <v>47208</v>
      </c>
      <c r="S2" s="17">
        <f>Time!S2</f>
        <v>47573</v>
      </c>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row>
    <row r="3" spans="1:264" s="13" customFormat="1" x14ac:dyDescent="0.35">
      <c r="A3" s="11"/>
      <c r="B3" s="11"/>
      <c r="C3" s="16"/>
      <c r="D3" s="35"/>
      <c r="E3" s="124" t="str">
        <f>Time!E3</f>
        <v>Timeline label</v>
      </c>
      <c r="F3" s="10"/>
      <c r="G3" s="10"/>
      <c r="H3" s="10"/>
      <c r="I3" s="8"/>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row>
    <row r="4" spans="1:264" s="9" customFormat="1" x14ac:dyDescent="0.35">
      <c r="A4" s="11"/>
      <c r="B4" s="11"/>
      <c r="C4" s="16"/>
      <c r="D4" s="35"/>
      <c r="E4" s="124" t="str">
        <f>Time!E4</f>
        <v>Model column counter</v>
      </c>
      <c r="F4" s="25" t="s">
        <v>98</v>
      </c>
      <c r="G4" s="26" t="s">
        <v>15</v>
      </c>
      <c r="H4" s="25" t="s">
        <v>99</v>
      </c>
      <c r="I4" s="8"/>
      <c r="J4" s="10">
        <f>Time!J4</f>
        <v>1</v>
      </c>
      <c r="K4" s="10">
        <f>Time!K4</f>
        <v>2</v>
      </c>
      <c r="L4" s="10">
        <f>Time!L4</f>
        <v>3</v>
      </c>
      <c r="M4" s="10">
        <f>Time!M4</f>
        <v>4</v>
      </c>
      <c r="N4" s="10">
        <f>Time!N4</f>
        <v>5</v>
      </c>
      <c r="O4" s="10">
        <f>Time!O4</f>
        <v>6</v>
      </c>
      <c r="P4" s="10">
        <f>Time!P4</f>
        <v>7</v>
      </c>
      <c r="Q4" s="10">
        <f>Time!Q4</f>
        <v>8</v>
      </c>
      <c r="R4" s="10">
        <f>Time!R4</f>
        <v>9</v>
      </c>
      <c r="S4" s="10">
        <f>Time!S4</f>
        <v>10</v>
      </c>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row>
    <row r="5" spans="1:264" s="9" customFormat="1" x14ac:dyDescent="0.35">
      <c r="A5" s="11"/>
      <c r="B5" s="11"/>
      <c r="C5" s="16"/>
      <c r="D5" s="35"/>
      <c r="E5" s="124"/>
      <c r="F5" s="86"/>
      <c r="G5" s="87"/>
      <c r="H5" s="86"/>
      <c r="I5" s="8"/>
      <c r="J5" s="10"/>
      <c r="K5" s="10"/>
      <c r="L5" s="10"/>
      <c r="M5" s="10"/>
      <c r="N5" s="10"/>
      <c r="O5" s="10"/>
      <c r="P5" s="10"/>
      <c r="Q5" s="10"/>
      <c r="R5" s="10"/>
      <c r="S5" s="10"/>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row>
    <row r="6" spans="1:264" s="9" customFormat="1" x14ac:dyDescent="0.35">
      <c r="A6" s="11"/>
      <c r="B6" s="11" t="s">
        <v>164</v>
      </c>
      <c r="C6" s="16"/>
      <c r="D6" s="35"/>
      <c r="E6" s="124"/>
      <c r="F6" s="86"/>
      <c r="G6" s="125"/>
      <c r="H6" s="86"/>
      <c r="I6" s="8"/>
      <c r="J6" s="10"/>
      <c r="K6" s="10"/>
      <c r="L6" s="10"/>
      <c r="M6" s="10"/>
      <c r="N6" s="10"/>
      <c r="O6" s="10"/>
      <c r="P6" s="10"/>
      <c r="Q6" s="10"/>
      <c r="R6" s="10"/>
      <c r="S6" s="10"/>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row>
    <row r="7" spans="1:264" s="9" customFormat="1" x14ac:dyDescent="0.35">
      <c r="A7" s="11"/>
      <c r="B7" s="11"/>
      <c r="C7" s="16"/>
      <c r="D7" s="35"/>
      <c r="E7" s="124"/>
      <c r="F7" s="86"/>
      <c r="G7" s="125"/>
      <c r="H7" s="86"/>
      <c r="I7" s="8"/>
      <c r="J7" s="10"/>
      <c r="K7" s="10"/>
      <c r="L7" s="10"/>
      <c r="M7" s="10"/>
      <c r="N7" s="10"/>
      <c r="O7" s="10"/>
      <c r="P7" s="10"/>
      <c r="Q7" s="10"/>
      <c r="R7" s="10"/>
      <c r="S7" s="10"/>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row>
    <row r="8" spans="1:264" s="9" customFormat="1" x14ac:dyDescent="0.35">
      <c r="A8" s="11"/>
      <c r="B8" s="11"/>
      <c r="C8" s="16"/>
      <c r="D8" s="35"/>
      <c r="E8" s="124" t="s">
        <v>165</v>
      </c>
      <c r="F8" s="121">
        <v>45016</v>
      </c>
      <c r="G8" s="125" t="s">
        <v>166</v>
      </c>
      <c r="H8" s="86"/>
      <c r="I8" s="8"/>
      <c r="J8" s="10">
        <f t="shared" ref="J8:S8" si="0">($F8&gt;=J$2)*1</f>
        <v>1</v>
      </c>
      <c r="K8" s="10">
        <f t="shared" si="0"/>
        <v>1</v>
      </c>
      <c r="L8" s="10">
        <f t="shared" si="0"/>
        <v>1</v>
      </c>
      <c r="M8" s="10">
        <f t="shared" si="0"/>
        <v>0</v>
      </c>
      <c r="N8" s="10">
        <f t="shared" si="0"/>
        <v>0</v>
      </c>
      <c r="O8" s="10">
        <f t="shared" si="0"/>
        <v>0</v>
      </c>
      <c r="P8" s="10">
        <f t="shared" si="0"/>
        <v>0</v>
      </c>
      <c r="Q8" s="10">
        <f t="shared" si="0"/>
        <v>0</v>
      </c>
      <c r="R8" s="10">
        <f t="shared" si="0"/>
        <v>0</v>
      </c>
      <c r="S8" s="10">
        <f t="shared" si="0"/>
        <v>0</v>
      </c>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row>
    <row r="9" spans="1:264" s="9" customFormat="1" x14ac:dyDescent="0.35">
      <c r="A9" s="11"/>
      <c r="B9" s="11"/>
      <c r="C9" s="16"/>
      <c r="D9" s="126"/>
      <c r="E9" s="126"/>
      <c r="F9" s="86"/>
      <c r="G9" s="125"/>
      <c r="H9" s="86"/>
      <c r="I9" s="8"/>
      <c r="J9" s="168"/>
      <c r="K9" s="168"/>
      <c r="L9" s="86"/>
      <c r="M9" s="86"/>
      <c r="N9" s="86"/>
      <c r="O9" s="86"/>
      <c r="P9" s="86"/>
      <c r="Q9" s="86"/>
      <c r="R9" s="86"/>
      <c r="S9" s="86"/>
      <c r="T9" s="168"/>
      <c r="U9" s="168"/>
      <c r="V9" s="168"/>
      <c r="W9" s="168"/>
      <c r="X9" s="168"/>
      <c r="Y9" s="168"/>
      <c r="Z9" s="168"/>
      <c r="AA9" s="168"/>
      <c r="AB9" s="168"/>
      <c r="AC9" s="168"/>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row>
    <row r="10" spans="1:264" s="9" customFormat="1" x14ac:dyDescent="0.35">
      <c r="A10" s="11"/>
      <c r="B10" s="11"/>
      <c r="C10" s="16"/>
      <c r="D10" s="35"/>
      <c r="E10" s="124" t="s">
        <v>167</v>
      </c>
      <c r="F10" s="86"/>
      <c r="G10" s="125" t="s">
        <v>168</v>
      </c>
      <c r="H10" s="86"/>
      <c r="I10" s="8"/>
      <c r="J10" s="127">
        <v>107</v>
      </c>
      <c r="K10" s="127">
        <v>108.6</v>
      </c>
      <c r="L10" s="127">
        <v>109.4</v>
      </c>
      <c r="M10" s="127">
        <v>117.1</v>
      </c>
      <c r="N10" s="127">
        <v>128.9</v>
      </c>
      <c r="O10" s="127"/>
      <c r="P10" s="127"/>
      <c r="Q10" s="127"/>
      <c r="R10" s="127"/>
      <c r="S10" s="127"/>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row>
    <row r="11" spans="1:264" s="9" customFormat="1" x14ac:dyDescent="0.35">
      <c r="A11" s="11"/>
      <c r="B11" s="11"/>
      <c r="C11" s="16"/>
      <c r="D11" s="35"/>
      <c r="E11" s="124" t="s">
        <v>169</v>
      </c>
      <c r="F11" s="86"/>
      <c r="G11" s="125" t="s">
        <v>168</v>
      </c>
      <c r="H11" s="86"/>
      <c r="I11" s="8"/>
      <c r="J11" s="111">
        <f t="shared" ref="J11:S11" si="1">INDEX($J$10:$S$10,,MATCH($F$8,$J$2:$S$2,0))</f>
        <v>109.4</v>
      </c>
      <c r="K11" s="111">
        <f t="shared" si="1"/>
        <v>109.4</v>
      </c>
      <c r="L11" s="111">
        <f t="shared" si="1"/>
        <v>109.4</v>
      </c>
      <c r="M11" s="111">
        <f t="shared" si="1"/>
        <v>109.4</v>
      </c>
      <c r="N11" s="111">
        <f t="shared" si="1"/>
        <v>109.4</v>
      </c>
      <c r="O11" s="111">
        <f t="shared" si="1"/>
        <v>109.4</v>
      </c>
      <c r="P11" s="111">
        <f t="shared" si="1"/>
        <v>109.4</v>
      </c>
      <c r="Q11" s="111">
        <f t="shared" si="1"/>
        <v>109.4</v>
      </c>
      <c r="R11" s="111">
        <f t="shared" si="1"/>
        <v>109.4</v>
      </c>
      <c r="S11" s="111">
        <f t="shared" si="1"/>
        <v>109.4</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row>
    <row r="12" spans="1:264" s="9" customFormat="1" x14ac:dyDescent="0.35">
      <c r="A12" s="11"/>
      <c r="B12" s="11"/>
      <c r="C12" s="16"/>
      <c r="D12" s="35"/>
      <c r="E12" s="124"/>
      <c r="F12" s="86"/>
      <c r="G12" s="125"/>
      <c r="H12" s="86"/>
      <c r="I12" s="8"/>
      <c r="J12" s="10"/>
      <c r="K12" s="10"/>
      <c r="L12" s="10"/>
      <c r="M12" s="10"/>
      <c r="N12" s="10"/>
      <c r="O12" s="10"/>
      <c r="P12" s="10"/>
      <c r="Q12" s="10"/>
      <c r="R12" s="10"/>
      <c r="S12" s="10"/>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row>
    <row r="13" spans="1:264" s="9" customFormat="1" x14ac:dyDescent="0.35">
      <c r="A13" s="11"/>
      <c r="B13" s="11"/>
      <c r="C13" s="16"/>
      <c r="D13" s="126"/>
      <c r="E13" s="126" t="s">
        <v>170</v>
      </c>
      <c r="F13" s="86"/>
      <c r="G13" s="125"/>
      <c r="H13" s="86"/>
      <c r="I13" s="8"/>
      <c r="J13" s="168">
        <f>IF(J10=0,1,J11/J10)</f>
        <v>1.0224299065420561</v>
      </c>
      <c r="K13" s="168">
        <f t="shared" ref="K13:S13" si="2">IF(K10=0,1,K11/K10)</f>
        <v>1.0073664825046043</v>
      </c>
      <c r="L13" s="168">
        <f t="shared" si="2"/>
        <v>1</v>
      </c>
      <c r="M13" s="168">
        <f t="shared" si="2"/>
        <v>0.93424423569598647</v>
      </c>
      <c r="N13" s="168">
        <f t="shared" si="2"/>
        <v>0.84871993793638478</v>
      </c>
      <c r="O13" s="168">
        <f t="shared" si="2"/>
        <v>1</v>
      </c>
      <c r="P13" s="168">
        <f t="shared" si="2"/>
        <v>1</v>
      </c>
      <c r="Q13" s="168">
        <f t="shared" si="2"/>
        <v>1</v>
      </c>
      <c r="R13" s="168">
        <f t="shared" si="2"/>
        <v>1</v>
      </c>
      <c r="S13" s="168">
        <f t="shared" si="2"/>
        <v>1</v>
      </c>
      <c r="T13" s="168"/>
      <c r="U13" s="168"/>
      <c r="V13" s="168"/>
      <c r="W13" s="168"/>
      <c r="X13" s="168"/>
      <c r="Y13" s="168"/>
      <c r="Z13" s="168"/>
      <c r="AA13" s="168"/>
      <c r="AB13" s="168"/>
      <c r="AC13" s="168"/>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row>
    <row r="14" spans="1:264" s="9" customFormat="1" x14ac:dyDescent="0.35">
      <c r="A14" s="11"/>
      <c r="B14" s="11"/>
      <c r="C14" s="16"/>
      <c r="D14" s="126"/>
      <c r="E14" s="126"/>
      <c r="F14" s="86"/>
      <c r="G14" s="125"/>
      <c r="H14" s="86"/>
      <c r="I14" s="8"/>
      <c r="J14" s="168"/>
      <c r="K14" s="168"/>
      <c r="L14" s="86"/>
      <c r="M14" s="86"/>
      <c r="N14" s="86"/>
      <c r="O14" s="86"/>
      <c r="P14" s="86"/>
      <c r="Q14" s="86"/>
      <c r="R14" s="86"/>
      <c r="S14" s="86"/>
      <c r="T14" s="168"/>
      <c r="U14" s="168"/>
      <c r="V14" s="168"/>
      <c r="W14" s="168"/>
      <c r="X14" s="168"/>
      <c r="Y14" s="168"/>
      <c r="Z14" s="168"/>
      <c r="AA14" s="168"/>
      <c r="AB14" s="168"/>
      <c r="AC14" s="168"/>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row>
    <row r="15" spans="1:264" s="9" customFormat="1" x14ac:dyDescent="0.35">
      <c r="A15" s="11"/>
      <c r="B15" s="11"/>
      <c r="C15" s="16"/>
      <c r="D15" s="35"/>
      <c r="E15" s="124"/>
      <c r="F15" s="86"/>
      <c r="G15" s="87"/>
      <c r="H15" s="86"/>
      <c r="I15" s="8"/>
      <c r="J15" s="10"/>
      <c r="K15" s="10"/>
      <c r="L15" s="10"/>
      <c r="M15" s="10"/>
      <c r="N15" s="10"/>
      <c r="O15" s="10"/>
      <c r="P15" s="10"/>
      <c r="Q15" s="10"/>
      <c r="R15" s="10"/>
      <c r="S15" s="10"/>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row>
    <row r="16" spans="1:264" s="9" customFormat="1" x14ac:dyDescent="0.35">
      <c r="A16" s="11"/>
      <c r="B16" s="11"/>
      <c r="C16" s="16"/>
      <c r="D16" s="35"/>
      <c r="E16" s="124"/>
      <c r="F16" s="86"/>
      <c r="G16" s="87"/>
      <c r="H16" s="86"/>
      <c r="I16" s="8"/>
      <c r="J16" s="10"/>
      <c r="K16" s="10"/>
      <c r="L16" s="10"/>
      <c r="M16" s="10"/>
      <c r="N16" s="10"/>
      <c r="O16" s="10"/>
      <c r="P16" s="10"/>
      <c r="Q16" s="10"/>
      <c r="R16" s="10"/>
      <c r="S16" s="10"/>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row>
    <row r="17" spans="1:264" s="24" customFormat="1" x14ac:dyDescent="0.35">
      <c r="A17" s="11"/>
      <c r="B17" s="11"/>
      <c r="C17" s="16"/>
      <c r="D17" s="35"/>
      <c r="E17" s="10"/>
      <c r="F17" s="10"/>
      <c r="G17" s="10"/>
      <c r="H17" s="10"/>
      <c r="I17" s="8"/>
      <c r="J17" s="10"/>
      <c r="K17" s="10"/>
      <c r="L17" s="10"/>
      <c r="M17" s="10"/>
      <c r="N17" s="10"/>
      <c r="O17" s="10"/>
      <c r="P17" s="10"/>
      <c r="Q17" s="10"/>
      <c r="R17" s="10"/>
      <c r="S17" s="10"/>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row>
    <row r="18" spans="1:264" x14ac:dyDescent="0.35">
      <c r="A18" s="11" t="s">
        <v>114</v>
      </c>
    </row>
  </sheetData>
  <conditionalFormatting sqref="J3:S3">
    <cfRule type="cellIs" dxfId="205" priority="5" operator="equal">
      <formula>"PPA ext."</formula>
    </cfRule>
    <cfRule type="cellIs" dxfId="204" priority="6" operator="equal">
      <formula>"Delay"</formula>
    </cfRule>
    <cfRule type="cellIs" dxfId="203" priority="7" operator="equal">
      <formula>"Fin Close"</formula>
    </cfRule>
    <cfRule type="cellIs" dxfId="202" priority="8" stopIfTrue="1" operator="equal">
      <formula>"Construction"</formula>
    </cfRule>
    <cfRule type="cellIs" dxfId="201" priority="9" stopIfTrue="1" operator="equal">
      <formula>"Operations"</formula>
    </cfRule>
  </conditionalFormatting>
  <dataValidations count="1">
    <dataValidation type="list" allowBlank="1" showInputMessage="1" showErrorMessage="1" sqref="F8" xr:uid="{87ADA65E-5D97-44AB-A6CB-CDADD9CD61FC}">
      <formula1>J$2:S$2</formula1>
    </dataValidation>
  </dataValidations>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75332-B705-4336-9971-835FB11160D3}">
  <sheetPr codeName="Sheet16">
    <tabColor rgb="FFCCCCCE"/>
    <outlinePr summaryBelow="0" summaryRight="0"/>
  </sheetPr>
  <dimension ref="A1:AA245"/>
  <sheetViews>
    <sheetView zoomScale="80" zoomScaleNormal="80" workbookViewId="0"/>
  </sheetViews>
  <sheetFormatPr defaultColWidth="11.73046875" defaultRowHeight="13.15" outlineLevelRow="1" x14ac:dyDescent="0.35"/>
  <cols>
    <col min="1" max="2" width="1.265625" style="11" customWidth="1"/>
    <col min="3" max="3" width="22.1328125" style="16" bestFit="1" customWidth="1"/>
    <col min="4" max="4" width="1.265625" style="35" customWidth="1"/>
    <col min="5" max="5" width="91.265625" style="10"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s>
  <sheetData>
    <row r="1" spans="1:22" ht="25.15" x14ac:dyDescent="0.35">
      <c r="A1" s="19" t="str">
        <f ca="1">RIGHT(CELL("filename", A1), LEN(CELL("filename", A1)) - SEARCH("]", CELL("filename", A1)))</f>
        <v>Traffic Management Act</v>
      </c>
    </row>
    <row r="2" spans="1:22" x14ac:dyDescent="0.35">
      <c r="A2" s="38"/>
      <c r="B2" s="38"/>
      <c r="C2" s="39"/>
      <c r="D2" s="40"/>
      <c r="E2" s="73"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t="s">
        <v>172</v>
      </c>
      <c r="V2" s="74" t="s">
        <v>173</v>
      </c>
    </row>
    <row r="3" spans="1:22" x14ac:dyDescent="0.35">
      <c r="E3" s="73"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f>Time!U3</f>
        <v>0</v>
      </c>
      <c r="V3" s="27">
        <f>Time!V3</f>
        <v>0</v>
      </c>
    </row>
    <row r="4" spans="1:22" x14ac:dyDescent="0.35">
      <c r="E4" s="73"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row>
    <row r="5" spans="1:22"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2"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2"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8" spans="1:22" collapsed="1" x14ac:dyDescent="0.35">
      <c r="E8" s="11" t="s">
        <v>174</v>
      </c>
    </row>
    <row r="9" spans="1:22" hidden="1" outlineLevel="1" x14ac:dyDescent="0.35"/>
    <row r="10" spans="1:22" hidden="1" outlineLevel="1" x14ac:dyDescent="0.35">
      <c r="E10" s="10" t="s">
        <v>175</v>
      </c>
      <c r="G10" s="22" t="s">
        <v>168</v>
      </c>
      <c r="J10" s="112">
        <f>InpT!J13</f>
        <v>1.0224299065420561</v>
      </c>
      <c r="K10" s="112">
        <f>InpT!K13</f>
        <v>1.0073664825046043</v>
      </c>
      <c r="L10" s="112">
        <f>InpT!L13</f>
        <v>1</v>
      </c>
      <c r="M10" s="112">
        <f>InpT!M13</f>
        <v>0.93424423569598647</v>
      </c>
      <c r="N10" s="112">
        <f>InpT!N13</f>
        <v>0.84871993793638478</v>
      </c>
      <c r="O10" s="112">
        <f>InpT!O13</f>
        <v>1</v>
      </c>
      <c r="P10" s="112">
        <f>InpT!P13</f>
        <v>1</v>
      </c>
      <c r="Q10" s="112">
        <f>InpT!Q13</f>
        <v>1</v>
      </c>
      <c r="R10" s="112">
        <f>InpT!R13</f>
        <v>1</v>
      </c>
      <c r="S10" s="112">
        <f>InpT!S13</f>
        <v>1</v>
      </c>
      <c r="U10" s="112"/>
      <c r="V10" s="112"/>
    </row>
    <row r="11" spans="1:22" x14ac:dyDescent="0.35">
      <c r="J11" s="112"/>
      <c r="K11" s="112"/>
      <c r="L11" s="112"/>
      <c r="M11" s="112"/>
      <c r="N11" s="112"/>
      <c r="O11" s="112"/>
      <c r="P11" s="112"/>
      <c r="Q11" s="112"/>
      <c r="R11" s="112"/>
      <c r="S11" s="112"/>
      <c r="U11" s="112"/>
      <c r="V11" s="112"/>
    </row>
    <row r="12" spans="1:22" x14ac:dyDescent="0.35">
      <c r="C12" s="5" t="str">
        <f>InpC!$F$48</f>
        <v>W3032TOT</v>
      </c>
      <c r="D12" s="5" t="str">
        <f>InpC!$E$48</f>
        <v>Other operating expenditure - Costs associated with Traffic Management Act - Total</v>
      </c>
      <c r="F12" s="131">
        <f>MATCH(D12,APRChoices,0)</f>
        <v>1</v>
      </c>
      <c r="G12" s="22" t="s">
        <v>125</v>
      </c>
      <c r="J12" s="74">
        <f>J$2</f>
        <v>44286</v>
      </c>
      <c r="K12" s="74">
        <f t="shared" ref="K12:V12" si="0">K$2</f>
        <v>44651</v>
      </c>
      <c r="L12" s="74">
        <f t="shared" si="0"/>
        <v>45016</v>
      </c>
      <c r="M12" s="74">
        <f t="shared" si="0"/>
        <v>45382</v>
      </c>
      <c r="N12" s="74">
        <f t="shared" si="0"/>
        <v>45747</v>
      </c>
      <c r="O12" s="74">
        <f t="shared" si="0"/>
        <v>46112</v>
      </c>
      <c r="P12" s="74">
        <f t="shared" si="0"/>
        <v>46477</v>
      </c>
      <c r="Q12" s="74">
        <f t="shared" si="0"/>
        <v>46843</v>
      </c>
      <c r="R12" s="74">
        <f t="shared" si="0"/>
        <v>47208</v>
      </c>
      <c r="S12" s="74">
        <f t="shared" si="0"/>
        <v>47573</v>
      </c>
      <c r="U12" s="74" t="str">
        <f t="shared" si="0"/>
        <v>PR24 Average</v>
      </c>
      <c r="V12" s="74" t="str">
        <f t="shared" si="0"/>
        <v>PR24 Total</v>
      </c>
    </row>
    <row r="13" spans="1:22" x14ac:dyDescent="0.35">
      <c r="C13" s="5" t="str">
        <f>INDEX(InpC!$G$57:$G$62,'Traffic Management Act'!F12,)</f>
        <v>CW2_011TOT_PR24</v>
      </c>
      <c r="D13" s="5" t="str">
        <f>INDEX(InpC!$G$48:$G$53,'Traffic Management Act'!F12,)</f>
        <v>Location specific costs &amp; obligations - Costs associated with Traffic Management Act - Total</v>
      </c>
      <c r="G13" s="22" t="s">
        <v>126</v>
      </c>
      <c r="J13" s="74"/>
      <c r="K13" s="74"/>
      <c r="L13" s="74"/>
      <c r="M13" s="74"/>
      <c r="N13" s="74"/>
      <c r="O13" s="74"/>
      <c r="P13" s="74"/>
      <c r="Q13" s="74"/>
      <c r="R13" s="74"/>
      <c r="S13" s="74"/>
      <c r="U13" s="74"/>
      <c r="V13" s="74"/>
    </row>
    <row r="14" spans="1:22" collapsed="1" x14ac:dyDescent="0.35">
      <c r="E14" s="5" t="s">
        <v>176</v>
      </c>
    </row>
    <row r="15" spans="1:22" hidden="1" outlineLevel="1" x14ac:dyDescent="0.35"/>
    <row r="16" spans="1:22" hidden="1" outlineLevel="1" x14ac:dyDescent="0.35">
      <c r="E16" s="130" t="s">
        <v>177</v>
      </c>
      <c r="J16" s="8"/>
      <c r="K16" s="8"/>
      <c r="L16" s="8"/>
      <c r="M16" s="8"/>
      <c r="N16" s="8"/>
      <c r="O16" s="8"/>
      <c r="P16" s="8"/>
      <c r="Q16" s="8"/>
      <c r="R16" s="8"/>
      <c r="S16" s="8"/>
      <c r="U16" s="8"/>
      <c r="V16" s="8"/>
    </row>
    <row r="17" spans="5:22" hidden="1" outlineLevel="1" x14ac:dyDescent="0.35">
      <c r="E17" s="129">
        <f>InpT!$F$8</f>
        <v>45016</v>
      </c>
      <c r="G17" s="22" t="s">
        <v>178</v>
      </c>
      <c r="J17" s="8"/>
      <c r="K17" s="8"/>
      <c r="L17" s="8"/>
      <c r="M17" s="8"/>
      <c r="N17" s="8"/>
      <c r="O17" s="8"/>
      <c r="P17" s="8"/>
      <c r="Q17" s="8"/>
      <c r="R17" s="8"/>
      <c r="S17" s="8"/>
      <c r="U17" s="8"/>
      <c r="V17" s="8"/>
    </row>
    <row r="18" spans="5:22" hidden="1" outlineLevel="1" x14ac:dyDescent="0.35">
      <c r="E18" s="129"/>
      <c r="J18" s="8"/>
      <c r="K18" s="8"/>
      <c r="L18" s="8"/>
      <c r="M18" s="8"/>
      <c r="N18" s="8"/>
      <c r="O18" s="8"/>
      <c r="P18" s="8"/>
      <c r="Q18" s="8"/>
      <c r="R18" s="8"/>
      <c r="S18" s="8"/>
      <c r="U18" s="8"/>
      <c r="V18" s="8"/>
    </row>
    <row r="19" spans="5:22" hidden="1" outlineLevel="1" x14ac:dyDescent="0.35">
      <c r="E19" s="10" t="str">
        <f>InpC!$E$25</f>
        <v>Anglian Water</v>
      </c>
      <c r="F19" s="10" t="str">
        <f>InpC!$F$25</f>
        <v>ANH</v>
      </c>
      <c r="G19" s="22" t="s">
        <v>34</v>
      </c>
      <c r="J19" s="111">
        <f>SUMIFS('Consolidated Input'!F$6:F$209,'Consolidated Input'!$A$6:$A$209,$F19,'Consolidated Input'!$B$6:$B$209,$C$12)*J$10*Time!J$29</f>
        <v>1.9323925233644861</v>
      </c>
      <c r="K19" s="111">
        <f>SUMIFS('Consolidated Input'!G$6:G$209,'Consolidated Input'!$A$6:$A$209,$F19,'Consolidated Input'!$B$6:$B$209,$C$12)*K$10*Time!K$29</f>
        <v>1.8217719152854515</v>
      </c>
      <c r="L19" s="111">
        <f>SUMIFS('Consolidated Input'!H$6:H$209,'Consolidated Input'!$A$6:$A$209,$F19,'Consolidated Input'!$B$6:$B$209,$C$12)*L$10*Time!L$29</f>
        <v>0.94399999999999995</v>
      </c>
      <c r="M19" s="111">
        <f>SUMIFS('Consolidated Input'!S$6:S$209,'Consolidated Input'!$A$6:$A$209,$F19,'Consolidated Input'!$B$6:$B$209,$C$13)</f>
        <v>0.69471010168891179</v>
      </c>
      <c r="N19" s="111">
        <f>SUMIFS('Consolidated Input'!T$6:T$209,'Consolidated Input'!$A$6:$A$209,$F19,'Consolidated Input'!$B$6:$B$209,$C$13)</f>
        <v>0.88712999360201172</v>
      </c>
      <c r="O19" s="111">
        <f>SUMIFS('Consolidated Input'!U$6:U$209,'Consolidated Input'!$A$6:$A$209,$F19,'Consolidated Input'!$B$6:$B$209,$C$13)</f>
        <v>1.4730689481860959</v>
      </c>
      <c r="P19" s="111">
        <f>SUMIFS('Consolidated Input'!V$6:V$209,'Consolidated Input'!$A$6:$A$209,$F19,'Consolidated Input'!$B$6:$B$209,$C$13)</f>
        <v>1.4730689481860959</v>
      </c>
      <c r="Q19" s="111">
        <f>SUMIFS('Consolidated Input'!W$6:W$209,'Consolidated Input'!$A$6:$A$209,$F19,'Consolidated Input'!$B$6:$B$209,$C$13)</f>
        <v>1.4730689481860959</v>
      </c>
      <c r="R19" s="111">
        <f>SUMIFS('Consolidated Input'!X$6:X$209,'Consolidated Input'!$A$6:$A$209,$F19,'Consolidated Input'!$B$6:$B$209,$C$13)</f>
        <v>1.4730689481860959</v>
      </c>
      <c r="S19" s="111">
        <f>SUMIFS('Consolidated Input'!Y$6:Y$209,'Consolidated Input'!$A$6:$A$209,$F19,'Consolidated Input'!$B$6:$B$209,$C$13)</f>
        <v>1.4730689481860959</v>
      </c>
      <c r="U19" s="111">
        <f t="shared" ref="U19:U35" si="1">IFERROR(AVERAGE(O19:S19),0)</f>
        <v>1.4730689481860959</v>
      </c>
      <c r="V19" s="111">
        <f t="shared" ref="V19:V35" si="2">SUM(O19:S19)</f>
        <v>7.36534474093048</v>
      </c>
    </row>
    <row r="20" spans="5:22" hidden="1" outlineLevel="1" x14ac:dyDescent="0.35">
      <c r="E20" s="10" t="str">
        <f>InpC!$E$26</f>
        <v>Dŵr Cymru</v>
      </c>
      <c r="F20" s="10" t="str">
        <f>InpC!$F$26</f>
        <v>WSH</v>
      </c>
      <c r="G20" s="22" t="s">
        <v>34</v>
      </c>
      <c r="J20" s="111">
        <f>SUMIFS('Consolidated Input'!F$6:F$209,'Consolidated Input'!$A$6:$A$209,$F20,'Consolidated Input'!$B$6:$B$209,$C$12)*J$10*Time!J$29</f>
        <v>2.0448598130841122E-3</v>
      </c>
      <c r="K20" s="111">
        <f>SUMIFS('Consolidated Input'!G$6:G$209,'Consolidated Input'!$A$6:$A$209,$F20,'Consolidated Input'!$B$6:$B$209,$C$12)*K$10*Time!K$29</f>
        <v>6.0441988950276256E-3</v>
      </c>
      <c r="L20" s="111">
        <f>SUMIFS('Consolidated Input'!H$6:H$209,'Consolidated Input'!$A$6:$A$209,$F20,'Consolidated Input'!$B$6:$B$209,$C$12)*L$10*Time!L$29</f>
        <v>9.2999999999999999E-2</v>
      </c>
      <c r="M20" s="111">
        <f>SUMIFS('Consolidated Input'!S$6:S$209,'Consolidated Input'!$A$6:$A$209,$F20,'Consolidated Input'!$B$6:$B$209,$C$13)</f>
        <v>0.182</v>
      </c>
      <c r="N20" s="111">
        <f>SUMIFS('Consolidated Input'!T$6:T$209,'Consolidated Input'!$A$6:$A$209,$F20,'Consolidated Input'!$B$6:$B$209,$C$13)</f>
        <v>5.1999999999999998E-2</v>
      </c>
      <c r="O20" s="111">
        <f>SUMIFS('Consolidated Input'!U$6:U$209,'Consolidated Input'!$A$6:$A$209,$F20,'Consolidated Input'!$B$6:$B$209,$C$13)</f>
        <v>4.2000000000000003E-2</v>
      </c>
      <c r="P20" s="111">
        <f>SUMIFS('Consolidated Input'!V$6:V$209,'Consolidated Input'!$A$6:$A$209,$F20,'Consolidated Input'!$B$6:$B$209,$C$13)</f>
        <v>0.04</v>
      </c>
      <c r="Q20" s="111">
        <f>SUMIFS('Consolidated Input'!W$6:W$209,'Consolidated Input'!$A$6:$A$209,$F20,'Consolidated Input'!$B$6:$B$209,$C$13)</f>
        <v>3.9E-2</v>
      </c>
      <c r="R20" s="111">
        <f>SUMIFS('Consolidated Input'!X$6:X$209,'Consolidated Input'!$A$6:$A$209,$F20,'Consolidated Input'!$B$6:$B$209,$C$13)</f>
        <v>3.9E-2</v>
      </c>
      <c r="S20" s="111">
        <f>SUMIFS('Consolidated Input'!Y$6:Y$209,'Consolidated Input'!$A$6:$A$209,$F20,'Consolidated Input'!$B$6:$B$209,$C$13)</f>
        <v>3.7999999999999999E-2</v>
      </c>
      <c r="U20" s="111">
        <f t="shared" si="1"/>
        <v>3.9600000000000003E-2</v>
      </c>
      <c r="V20" s="111">
        <f t="shared" si="2"/>
        <v>0.19800000000000001</v>
      </c>
    </row>
    <row r="21" spans="5:22" hidden="1" outlineLevel="1" x14ac:dyDescent="0.35">
      <c r="E21" s="10" t="str">
        <f>InpC!$E$27</f>
        <v>Hafren Dyfrdwy</v>
      </c>
      <c r="F21" s="10" t="str">
        <f>InpC!$F$27</f>
        <v>HDD</v>
      </c>
      <c r="G21" s="22" t="s">
        <v>34</v>
      </c>
      <c r="J21" s="111">
        <f>SUMIFS('Consolidated Input'!F$6:F$209,'Consolidated Input'!$A$6:$A$209,$F21,'Consolidated Input'!$B$6:$B$209,$C$12)*J$10*Time!J$29</f>
        <v>0</v>
      </c>
      <c r="K21" s="111">
        <f>SUMIFS('Consolidated Input'!G$6:G$209,'Consolidated Input'!$A$6:$A$209,$F21,'Consolidated Input'!$B$6:$B$209,$C$12)*K$10*Time!K$29</f>
        <v>0</v>
      </c>
      <c r="L21" s="111">
        <f>SUMIFS('Consolidated Input'!H$6:H$209,'Consolidated Input'!$A$6:$A$209,$F21,'Consolidated Input'!$B$6:$B$209,$C$12)*L$10*Time!L$29</f>
        <v>0</v>
      </c>
      <c r="M21" s="111">
        <f>SUMIFS('Consolidated Input'!S$6:S$209,'Consolidated Input'!$A$6:$A$209,$F21,'Consolidated Input'!$B$6:$B$209,$C$13)</f>
        <v>0</v>
      </c>
      <c r="N21" s="111">
        <f>SUMIFS('Consolidated Input'!T$6:T$209,'Consolidated Input'!$A$6:$A$209,$F21,'Consolidated Input'!$B$6:$B$209,$C$13)</f>
        <v>0</v>
      </c>
      <c r="O21" s="111">
        <f>SUMIFS('Consolidated Input'!U$6:U$209,'Consolidated Input'!$A$6:$A$209,$F21,'Consolidated Input'!$B$6:$B$209,$C$13)</f>
        <v>0</v>
      </c>
      <c r="P21" s="111">
        <f>SUMIFS('Consolidated Input'!V$6:V$209,'Consolidated Input'!$A$6:$A$209,$F21,'Consolidated Input'!$B$6:$B$209,$C$13)</f>
        <v>0</v>
      </c>
      <c r="Q21" s="111">
        <f>SUMIFS('Consolidated Input'!W$6:W$209,'Consolidated Input'!$A$6:$A$209,$F21,'Consolidated Input'!$B$6:$B$209,$C$13)</f>
        <v>0</v>
      </c>
      <c r="R21" s="111">
        <f>SUMIFS('Consolidated Input'!X$6:X$209,'Consolidated Input'!$A$6:$A$209,$F21,'Consolidated Input'!$B$6:$B$209,$C$13)</f>
        <v>0</v>
      </c>
      <c r="S21" s="111">
        <f>SUMIFS('Consolidated Input'!Y$6:Y$209,'Consolidated Input'!$A$6:$A$209,$F21,'Consolidated Input'!$B$6:$B$209,$C$13)</f>
        <v>0</v>
      </c>
      <c r="U21" s="111">
        <f t="shared" si="1"/>
        <v>0</v>
      </c>
      <c r="V21" s="111">
        <f t="shared" si="2"/>
        <v>0</v>
      </c>
    </row>
    <row r="22" spans="5:22" hidden="1" outlineLevel="1" x14ac:dyDescent="0.35">
      <c r="E22" s="10" t="str">
        <f>InpC!$E$28</f>
        <v>Northumbrian Water</v>
      </c>
      <c r="F22" s="10" t="str">
        <f>InpC!$F$28</f>
        <v>NES</v>
      </c>
      <c r="G22" s="22" t="s">
        <v>34</v>
      </c>
      <c r="J22" s="111">
        <f>SUMIFS('Consolidated Input'!F$6:F$209,'Consolidated Input'!$A$6:$A$209,$F22,'Consolidated Input'!$B$6:$B$209,$C$12)*J$10*Time!J$29</f>
        <v>0.28219065420560752</v>
      </c>
      <c r="K22" s="111">
        <f>SUMIFS('Consolidated Input'!G$6:G$209,'Consolidated Input'!$A$6:$A$209,$F22,'Consolidated Input'!$B$6:$B$209,$C$12)*K$10*Time!K$29</f>
        <v>0.37071086556169436</v>
      </c>
      <c r="L22" s="111">
        <f>SUMIFS('Consolidated Input'!H$6:H$209,'Consolidated Input'!$A$6:$A$209,$F22,'Consolidated Input'!$B$6:$B$209,$C$12)*L$10*Time!L$29</f>
        <v>0.40799999999999997</v>
      </c>
      <c r="M22" s="111">
        <f>SUMIFS('Consolidated Input'!S$6:S$209,'Consolidated Input'!$A$6:$A$209,$F22,'Consolidated Input'!$B$6:$B$209,$C$13)</f>
        <v>0.43298287301664001</v>
      </c>
      <c r="N22" s="111">
        <f>SUMIFS('Consolidated Input'!T$6:T$209,'Consolidated Input'!$A$6:$A$209,$F22,'Consolidated Input'!$B$6:$B$209,$C$13)</f>
        <v>0.44600000000000001</v>
      </c>
      <c r="O22" s="111">
        <f>SUMIFS('Consolidated Input'!U$6:U$209,'Consolidated Input'!$A$6:$A$209,$F22,'Consolidated Input'!$B$6:$B$209,$C$13)</f>
        <v>0.46899999999999997</v>
      </c>
      <c r="P22" s="111">
        <f>SUMIFS('Consolidated Input'!V$6:V$209,'Consolidated Input'!$A$6:$A$209,$F22,'Consolidated Input'!$B$6:$B$209,$C$13)</f>
        <v>0.49299999999999999</v>
      </c>
      <c r="Q22" s="111">
        <f>SUMIFS('Consolidated Input'!W$6:W$209,'Consolidated Input'!$A$6:$A$209,$F22,'Consolidated Input'!$B$6:$B$209,$C$13)</f>
        <v>0.51700000000000002</v>
      </c>
      <c r="R22" s="111">
        <f>SUMIFS('Consolidated Input'!X$6:X$209,'Consolidated Input'!$A$6:$A$209,$F22,'Consolidated Input'!$B$6:$B$209,$C$13)</f>
        <v>0.54</v>
      </c>
      <c r="S22" s="111">
        <f>SUMIFS('Consolidated Input'!Y$6:Y$209,'Consolidated Input'!$A$6:$A$209,$F22,'Consolidated Input'!$B$6:$B$209,$C$13)</f>
        <v>0.56399999999999995</v>
      </c>
      <c r="U22" s="111">
        <f t="shared" si="1"/>
        <v>0.51660000000000006</v>
      </c>
      <c r="V22" s="111">
        <f t="shared" si="2"/>
        <v>2.5830000000000002</v>
      </c>
    </row>
    <row r="23" spans="5:22" hidden="1" outlineLevel="1" x14ac:dyDescent="0.35">
      <c r="E23" s="10" t="str">
        <f>InpC!$E$29</f>
        <v>Severn Trent Water</v>
      </c>
      <c r="F23" s="10" t="str">
        <f>InpC!$F$29</f>
        <v>SVE</v>
      </c>
      <c r="G23" s="22" t="s">
        <v>34</v>
      </c>
      <c r="J23" s="111">
        <f>SUMIFS('Consolidated Input'!F$6:F$209,'Consolidated Input'!$A$6:$A$209,$F23,'Consolidated Input'!$B$6:$B$209,$C$12)*J$10*Time!J$29</f>
        <v>2.3587457943925236</v>
      </c>
      <c r="K23" s="111">
        <f>SUMIFS('Consolidated Input'!G$6:G$209,'Consolidated Input'!$A$6:$A$209,$F23,'Consolidated Input'!$B$6:$B$209,$C$12)*K$10*Time!K$29</f>
        <v>2.2494493554327812</v>
      </c>
      <c r="L23" s="111">
        <f>SUMIFS('Consolidated Input'!H$6:H$209,'Consolidated Input'!$A$6:$A$209,$F23,'Consolidated Input'!$B$6:$B$209,$C$12)*L$10*Time!L$29</f>
        <v>2.6629999999999998</v>
      </c>
      <c r="M23" s="111">
        <f>SUMIFS('Consolidated Input'!S$6:S$209,'Consolidated Input'!$A$6:$A$209,$F23,'Consolidated Input'!$B$6:$B$209,$C$13)</f>
        <v>1.744</v>
      </c>
      <c r="N23" s="111">
        <f>SUMIFS('Consolidated Input'!T$6:T$209,'Consolidated Input'!$A$6:$A$209,$F23,'Consolidated Input'!$B$6:$B$209,$C$13)</f>
        <v>1.714</v>
      </c>
      <c r="O23" s="111">
        <f>SUMIFS('Consolidated Input'!U$6:U$209,'Consolidated Input'!$A$6:$A$209,$F23,'Consolidated Input'!$B$6:$B$209,$C$13)</f>
        <v>2.843</v>
      </c>
      <c r="P23" s="111">
        <f>SUMIFS('Consolidated Input'!V$6:V$209,'Consolidated Input'!$A$6:$A$209,$F23,'Consolidated Input'!$B$6:$B$209,$C$13)</f>
        <v>2.867</v>
      </c>
      <c r="Q23" s="111">
        <f>SUMIFS('Consolidated Input'!W$6:W$209,'Consolidated Input'!$A$6:$A$209,$F23,'Consolidated Input'!$B$6:$B$209,$C$13)</f>
        <v>2.891</v>
      </c>
      <c r="R23" s="111">
        <f>SUMIFS('Consolidated Input'!X$6:X$209,'Consolidated Input'!$A$6:$A$209,$F23,'Consolidated Input'!$B$6:$B$209,$C$13)</f>
        <v>2.9159999999999999</v>
      </c>
      <c r="S23" s="111">
        <f>SUMIFS('Consolidated Input'!Y$6:Y$209,'Consolidated Input'!$A$6:$A$209,$F23,'Consolidated Input'!$B$6:$B$209,$C$13)</f>
        <v>2.94</v>
      </c>
      <c r="U23" s="111">
        <f t="shared" si="1"/>
        <v>2.8914</v>
      </c>
      <c r="V23" s="111">
        <f t="shared" si="2"/>
        <v>14.456999999999999</v>
      </c>
    </row>
    <row r="24" spans="5:22" hidden="1" outlineLevel="1" x14ac:dyDescent="0.35">
      <c r="E24" s="10" t="str">
        <f>InpC!$E$30</f>
        <v>Southern Water</v>
      </c>
      <c r="F24" s="10" t="str">
        <f>InpC!$F$30</f>
        <v>SRN</v>
      </c>
      <c r="G24" s="22" t="s">
        <v>34</v>
      </c>
      <c r="J24" s="111">
        <f>SUMIFS('Consolidated Input'!F$6:F$209,'Consolidated Input'!$A$6:$A$209,$F24,'Consolidated Input'!$B$6:$B$209,$C$12)*J$10*Time!J$29</f>
        <v>1.2197588785046729</v>
      </c>
      <c r="K24" s="111">
        <f>SUMIFS('Consolidated Input'!G$6:G$209,'Consolidated Input'!$A$6:$A$209,$F24,'Consolidated Input'!$B$6:$B$209,$C$12)*K$10*Time!K$29</f>
        <v>1.1211988950276246</v>
      </c>
      <c r="L24" s="111">
        <f>SUMIFS('Consolidated Input'!H$6:H$209,'Consolidated Input'!$A$6:$A$209,$F24,'Consolidated Input'!$B$6:$B$209,$C$12)*L$10*Time!L$29</f>
        <v>1.4830000000000001</v>
      </c>
      <c r="M24" s="111">
        <f>SUMIFS('Consolidated Input'!S$6:S$209,'Consolidated Input'!$A$6:$A$209,$F24,'Consolidated Input'!$B$6:$B$209,$C$13)</f>
        <v>1.5129999999999999</v>
      </c>
      <c r="N24" s="111">
        <f>SUMIFS('Consolidated Input'!T$6:T$209,'Consolidated Input'!$A$6:$A$209,$F24,'Consolidated Input'!$B$6:$B$209,$C$13)</f>
        <v>2.335</v>
      </c>
      <c r="O24" s="111">
        <f>SUMIFS('Consolidated Input'!U$6:U$209,'Consolidated Input'!$A$6:$A$209,$F24,'Consolidated Input'!$B$6:$B$209,$C$13)</f>
        <v>2.335</v>
      </c>
      <c r="P24" s="111">
        <f>SUMIFS('Consolidated Input'!V$6:V$209,'Consolidated Input'!$A$6:$A$209,$F24,'Consolidated Input'!$B$6:$B$209,$C$13)</f>
        <v>2.335</v>
      </c>
      <c r="Q24" s="111">
        <f>SUMIFS('Consolidated Input'!W$6:W$209,'Consolidated Input'!$A$6:$A$209,$F24,'Consolidated Input'!$B$6:$B$209,$C$13)</f>
        <v>2.335</v>
      </c>
      <c r="R24" s="111">
        <f>SUMIFS('Consolidated Input'!X$6:X$209,'Consolidated Input'!$A$6:$A$209,$F24,'Consolidated Input'!$B$6:$B$209,$C$13)</f>
        <v>2.335</v>
      </c>
      <c r="S24" s="111">
        <f>SUMIFS('Consolidated Input'!Y$6:Y$209,'Consolidated Input'!$A$6:$A$209,$F24,'Consolidated Input'!$B$6:$B$209,$C$13)</f>
        <v>2.335</v>
      </c>
      <c r="U24" s="111">
        <f t="shared" si="1"/>
        <v>2.335</v>
      </c>
      <c r="V24" s="111">
        <f t="shared" si="2"/>
        <v>11.675000000000001</v>
      </c>
    </row>
    <row r="25" spans="5:22" hidden="1" outlineLevel="1" x14ac:dyDescent="0.35">
      <c r="E25" s="10" t="str">
        <f>InpC!$E$31</f>
        <v>Thames Water</v>
      </c>
      <c r="F25" s="10" t="str">
        <f>InpC!$F$31</f>
        <v>TMS</v>
      </c>
      <c r="G25" s="22" t="s">
        <v>34</v>
      </c>
      <c r="J25" s="111">
        <f>SUMIFS('Consolidated Input'!F$6:F$209,'Consolidated Input'!$A$6:$A$209,$F25,'Consolidated Input'!$B$6:$B$209,$C$12)*J$10*Time!J$29</f>
        <v>21.773667289719626</v>
      </c>
      <c r="K25" s="111">
        <f>SUMIFS('Consolidated Input'!G$6:G$209,'Consolidated Input'!$A$6:$A$209,$F25,'Consolidated Input'!$B$6:$B$209,$C$12)*K$10*Time!K$29</f>
        <v>25.300009208103134</v>
      </c>
      <c r="L25" s="111">
        <f>SUMIFS('Consolidated Input'!H$6:H$209,'Consolidated Input'!$A$6:$A$209,$F25,'Consolidated Input'!$B$6:$B$209,$C$12)*L$10*Time!L$29</f>
        <v>32.451000000000001</v>
      </c>
      <c r="M25" s="111">
        <f>SUMIFS('Consolidated Input'!S$6:S$209,'Consolidated Input'!$A$6:$A$209,$F25,'Consolidated Input'!$B$6:$B$209,$C$13)</f>
        <v>26.219165085388969</v>
      </c>
      <c r="N25" s="111">
        <f>SUMIFS('Consolidated Input'!T$6:T$209,'Consolidated Input'!$A$6:$A$209,$F25,'Consolidated Input'!$B$6:$B$209,$C$13)</f>
        <v>33.487000000000002</v>
      </c>
      <c r="O25" s="111">
        <f>SUMIFS('Consolidated Input'!U$6:U$209,'Consolidated Input'!$A$6:$A$209,$F25,'Consolidated Input'!$B$6:$B$209,$C$13)</f>
        <v>34.353999999999999</v>
      </c>
      <c r="P25" s="111">
        <f>SUMIFS('Consolidated Input'!V$6:V$209,'Consolidated Input'!$A$6:$A$209,$F25,'Consolidated Input'!$B$6:$B$209,$C$13)</f>
        <v>34.353999999999999</v>
      </c>
      <c r="Q25" s="111">
        <f>SUMIFS('Consolidated Input'!W$6:W$209,'Consolidated Input'!$A$6:$A$209,$F25,'Consolidated Input'!$B$6:$B$209,$C$13)</f>
        <v>34.353999999999999</v>
      </c>
      <c r="R25" s="111">
        <f>SUMIFS('Consolidated Input'!X$6:X$209,'Consolidated Input'!$A$6:$A$209,$F25,'Consolidated Input'!$B$6:$B$209,$C$13)</f>
        <v>34.353999999999999</v>
      </c>
      <c r="S25" s="111">
        <f>SUMIFS('Consolidated Input'!Y$6:Y$209,'Consolidated Input'!$A$6:$A$209,$F25,'Consolidated Input'!$B$6:$B$209,$C$13)</f>
        <v>34.353999999999999</v>
      </c>
      <c r="U25" s="111">
        <f t="shared" si="1"/>
        <v>34.353999999999999</v>
      </c>
      <c r="V25" s="111">
        <f t="shared" si="2"/>
        <v>171.76999999999998</v>
      </c>
    </row>
    <row r="26" spans="5:22" hidden="1" outlineLevel="1" x14ac:dyDescent="0.35">
      <c r="E26" s="10" t="str">
        <f>InpC!$E$32</f>
        <v>United Utilities</v>
      </c>
      <c r="F26" s="10" t="str">
        <f>InpC!$F$32</f>
        <v>NWT</v>
      </c>
      <c r="G26" s="22" t="s">
        <v>34</v>
      </c>
      <c r="J26" s="111">
        <f>SUMIFS('Consolidated Input'!F$6:F$209,'Consolidated Input'!$A$6:$A$209,$F26,'Consolidated Input'!$B$6:$B$209,$C$12)*J$10*Time!J$29</f>
        <v>1.8459450397717769</v>
      </c>
      <c r="K26" s="111">
        <f>SUMIFS('Consolidated Input'!G$6:G$209,'Consolidated Input'!$A$6:$A$209,$F26,'Consolidated Input'!$B$6:$B$209,$C$12)*K$10*Time!K$29</f>
        <v>2.1356715125888646</v>
      </c>
      <c r="L26" s="111">
        <f>SUMIFS('Consolidated Input'!H$6:H$209,'Consolidated Input'!$A$6:$A$209,$F26,'Consolidated Input'!$B$6:$B$209,$C$12)*L$10*Time!L$29</f>
        <v>2.0464701721890868</v>
      </c>
      <c r="M26" s="111">
        <f>SUMIFS('Consolidated Input'!S$6:S$209,'Consolidated Input'!$A$6:$A$209,$F26,'Consolidated Input'!$B$6:$B$209,$C$13)</f>
        <v>1.6817143322179799</v>
      </c>
      <c r="N26" s="111">
        <f>SUMIFS('Consolidated Input'!T$6:T$209,'Consolidated Input'!$A$6:$A$209,$F26,'Consolidated Input'!$B$6:$B$209,$C$13)</f>
        <v>1.8641387491075021</v>
      </c>
      <c r="O26" s="111">
        <f>SUMIFS('Consolidated Input'!U$6:U$209,'Consolidated Input'!$A$6:$A$209,$F26,'Consolidated Input'!$B$6:$B$209,$C$13)</f>
        <v>1.864022610627089</v>
      </c>
      <c r="P26" s="111">
        <f>SUMIFS('Consolidated Input'!V$6:V$209,'Consolidated Input'!$A$6:$A$209,$F26,'Consolidated Input'!$B$6:$B$209,$C$13)</f>
        <v>1.864022610627089</v>
      </c>
      <c r="Q26" s="111">
        <f>SUMIFS('Consolidated Input'!W$6:W$209,'Consolidated Input'!$A$6:$A$209,$F26,'Consolidated Input'!$B$6:$B$209,$C$13)</f>
        <v>1.8640226106270901</v>
      </c>
      <c r="R26" s="111">
        <f>SUMIFS('Consolidated Input'!X$6:X$209,'Consolidated Input'!$A$6:$A$209,$F26,'Consolidated Input'!$B$6:$B$209,$C$13)</f>
        <v>1.8640226106270901</v>
      </c>
      <c r="S26" s="111">
        <f>SUMIFS('Consolidated Input'!Y$6:Y$209,'Consolidated Input'!$A$6:$A$209,$F26,'Consolidated Input'!$B$6:$B$209,$C$13)</f>
        <v>1.8640226106270901</v>
      </c>
      <c r="U26" s="111">
        <f t="shared" si="1"/>
        <v>1.8640226106270898</v>
      </c>
      <c r="V26" s="111">
        <f t="shared" si="2"/>
        <v>9.320113053135449</v>
      </c>
    </row>
    <row r="27" spans="5:22" hidden="1" outlineLevel="1" x14ac:dyDescent="0.35">
      <c r="E27" s="10" t="str">
        <f>InpC!$E$33</f>
        <v>Wessex Water</v>
      </c>
      <c r="F27" s="10" t="str">
        <f>InpC!$F$33</f>
        <v>WSX</v>
      </c>
      <c r="G27" s="22" t="s">
        <v>34</v>
      </c>
      <c r="J27" s="111">
        <f>SUMIFS('Consolidated Input'!F$6:F$209,'Consolidated Input'!$A$6:$A$209,$F27,'Consolidated Input'!$B$6:$B$209,$C$12)*J$10*Time!J$29</f>
        <v>0.10068112672897198</v>
      </c>
      <c r="K27" s="111">
        <f>SUMIFS('Consolidated Input'!G$6:G$209,'Consolidated Input'!$A$6:$A$209,$F27,'Consolidated Input'!$B$6:$B$209,$C$12)*K$10*Time!K$29</f>
        <v>0.12289871086556171</v>
      </c>
      <c r="L27" s="111">
        <f>SUMIFS('Consolidated Input'!H$6:H$209,'Consolidated Input'!$A$6:$A$209,$F27,'Consolidated Input'!$B$6:$B$209,$C$12)*L$10*Time!L$29</f>
        <v>0.153</v>
      </c>
      <c r="M27" s="111">
        <f>SUMIFS('Consolidated Input'!S$6:S$209,'Consolidated Input'!$A$6:$A$209,$F27,'Consolidated Input'!$B$6:$B$209,$C$13)</f>
        <v>0.11653587012320329</v>
      </c>
      <c r="N27" s="111">
        <f>SUMIFS('Consolidated Input'!T$6:T$209,'Consolidated Input'!$A$6:$A$209,$F27,'Consolidated Input'!$B$6:$B$209,$C$13)</f>
        <v>0.113737443673724</v>
      </c>
      <c r="O27" s="111">
        <f>SUMIFS('Consolidated Input'!U$6:U$209,'Consolidated Input'!$A$6:$A$209,$F27,'Consolidated Input'!$B$6:$B$209,$C$13)</f>
        <v>9.1269360515188233E-2</v>
      </c>
      <c r="P27" s="111">
        <f>SUMIFS('Consolidated Input'!V$6:V$209,'Consolidated Input'!$A$6:$A$209,$F27,'Consolidated Input'!$B$6:$B$209,$C$13)</f>
        <v>9.6837609957494603E-2</v>
      </c>
      <c r="Q27" s="111">
        <f>SUMIFS('Consolidated Input'!W$6:W$209,'Consolidated Input'!$A$6:$A$209,$F27,'Consolidated Input'!$B$6:$B$209,$C$13)</f>
        <v>9.6132890631344448E-2</v>
      </c>
      <c r="R27" s="111">
        <f>SUMIFS('Consolidated Input'!X$6:X$209,'Consolidated Input'!$A$6:$A$209,$F27,'Consolidated Input'!$B$6:$B$209,$C$13)</f>
        <v>9.5660761539398328E-2</v>
      </c>
      <c r="S27" s="111">
        <f>SUMIFS('Consolidated Input'!Y$6:Y$209,'Consolidated Input'!$A$6:$A$209,$F27,'Consolidated Input'!$B$6:$B$209,$C$13)</f>
        <v>0.100264359925965</v>
      </c>
      <c r="U27" s="111">
        <f t="shared" si="1"/>
        <v>9.6032996513878116E-2</v>
      </c>
      <c r="V27" s="111">
        <f t="shared" si="2"/>
        <v>0.48016498256939061</v>
      </c>
    </row>
    <row r="28" spans="5:22" hidden="1" outlineLevel="1" x14ac:dyDescent="0.35">
      <c r="E28" s="10" t="str">
        <f>InpC!$E$34</f>
        <v>Yorkshire Water</v>
      </c>
      <c r="F28" s="10" t="str">
        <f>InpC!$F$34</f>
        <v>YKY</v>
      </c>
      <c r="G28" s="22" t="s">
        <v>34</v>
      </c>
      <c r="J28" s="111">
        <f>SUMIFS('Consolidated Input'!F$6:F$209,'Consolidated Input'!$A$6:$A$209,$F28,'Consolidated Input'!$B$6:$B$209,$C$12)*J$10*Time!J$29</f>
        <v>4.2931831775700937</v>
      </c>
      <c r="K28" s="111">
        <f>SUMIFS('Consolidated Input'!G$6:G$209,'Consolidated Input'!$A$6:$A$209,$F28,'Consolidated Input'!$B$6:$B$209,$C$12)*K$10*Time!K$29</f>
        <v>3.4739589344049371</v>
      </c>
      <c r="L28" s="111">
        <f>SUMIFS('Consolidated Input'!H$6:H$209,'Consolidated Input'!$A$6:$A$209,$F28,'Consolidated Input'!$B$6:$B$209,$C$12)*L$10*Time!L$29</f>
        <v>3.706</v>
      </c>
      <c r="M28" s="111">
        <f>SUMIFS('Consolidated Input'!S$6:S$209,'Consolidated Input'!$A$6:$A$209,$F28,'Consolidated Input'!$B$6:$B$209,$C$13)</f>
        <v>3.0313478434561851</v>
      </c>
      <c r="N28" s="111">
        <f>SUMIFS('Consolidated Input'!T$6:T$209,'Consolidated Input'!$A$6:$A$209,$F28,'Consolidated Input'!$B$6:$B$209,$C$13)</f>
        <v>3.395046778847516</v>
      </c>
      <c r="O28" s="111">
        <f>SUMIFS('Consolidated Input'!U$6:U$209,'Consolidated Input'!$A$6:$A$209,$F28,'Consolidated Input'!$B$6:$B$209,$C$13)</f>
        <v>4.0256264411990781</v>
      </c>
      <c r="P28" s="111">
        <f>SUMIFS('Consolidated Input'!V$6:V$209,'Consolidated Input'!$A$6:$A$209,$F28,'Consolidated Input'!$B$6:$B$209,$C$13)</f>
        <v>4.0256264411990781</v>
      </c>
      <c r="Q28" s="111">
        <f>SUMIFS('Consolidated Input'!W$6:W$209,'Consolidated Input'!$A$6:$A$209,$F28,'Consolidated Input'!$B$6:$B$209,$C$13)</f>
        <v>4.0256264411990781</v>
      </c>
      <c r="R28" s="111">
        <f>SUMIFS('Consolidated Input'!X$6:X$209,'Consolidated Input'!$A$6:$A$209,$F28,'Consolidated Input'!$B$6:$B$209,$C$13)</f>
        <v>4.0256264411990781</v>
      </c>
      <c r="S28" s="111">
        <f>SUMIFS('Consolidated Input'!Y$6:Y$209,'Consolidated Input'!$A$6:$A$209,$F28,'Consolidated Input'!$B$6:$B$209,$C$13)</f>
        <v>4.0256264411990781</v>
      </c>
      <c r="U28" s="111">
        <f t="shared" si="1"/>
        <v>4.0256264411990781</v>
      </c>
      <c r="V28" s="111">
        <f t="shared" si="2"/>
        <v>20.128132205995392</v>
      </c>
    </row>
    <row r="29" spans="5:22" hidden="1" outlineLevel="1" x14ac:dyDescent="0.35">
      <c r="E29" s="10" t="str">
        <f>InpC!$E$35</f>
        <v>Affinity Water</v>
      </c>
      <c r="F29" s="10" t="str">
        <f>InpC!$F$35</f>
        <v>AFW</v>
      </c>
      <c r="G29" s="22" t="s">
        <v>34</v>
      </c>
      <c r="J29" s="111">
        <f>SUMIFS('Consolidated Input'!F$6:F$209,'Consolidated Input'!$A$6:$A$209,$F29,'Consolidated Input'!$B$6:$B$209,$C$12)*J$10*Time!J$29</f>
        <v>1.9078542056074768</v>
      </c>
      <c r="K29" s="111">
        <f>SUMIFS('Consolidated Input'!G$6:G$209,'Consolidated Input'!$A$6:$A$209,$F29,'Consolidated Input'!$B$6:$B$209,$C$12)*K$10*Time!K$29</f>
        <v>1.058742173112339</v>
      </c>
      <c r="L29" s="111">
        <f>SUMIFS('Consolidated Input'!H$6:H$209,'Consolidated Input'!$A$6:$A$209,$F29,'Consolidated Input'!$B$6:$B$209,$C$12)*L$10*Time!L$29</f>
        <v>0.61699999999999999</v>
      </c>
      <c r="M29" s="111">
        <f>SUMIFS('Consolidated Input'!S$6:S$209,'Consolidated Input'!$A$6:$A$209,$F29,'Consolidated Input'!$B$6:$B$209,$C$13)</f>
        <v>0.48099999999999998</v>
      </c>
      <c r="N29" s="111">
        <f>SUMIFS('Consolidated Input'!T$6:T$209,'Consolidated Input'!$A$6:$A$209,$F29,'Consolidated Input'!$B$6:$B$209,$C$13)</f>
        <v>0.623</v>
      </c>
      <c r="O29" s="111">
        <f>SUMIFS('Consolidated Input'!U$6:U$209,'Consolidated Input'!$A$6:$A$209,$F29,'Consolidated Input'!$B$6:$B$209,$C$13)</f>
        <v>0.65</v>
      </c>
      <c r="P29" s="111">
        <f>SUMIFS('Consolidated Input'!V$6:V$209,'Consolidated Input'!$A$6:$A$209,$F29,'Consolidated Input'!$B$6:$B$209,$C$13)</f>
        <v>0.65</v>
      </c>
      <c r="Q29" s="111">
        <f>SUMIFS('Consolidated Input'!W$6:W$209,'Consolidated Input'!$A$6:$A$209,$F29,'Consolidated Input'!$B$6:$B$209,$C$13)</f>
        <v>0.65100000000000002</v>
      </c>
      <c r="R29" s="111">
        <f>SUMIFS('Consolidated Input'!X$6:X$209,'Consolidated Input'!$A$6:$A$209,$F29,'Consolidated Input'!$B$6:$B$209,$C$13)</f>
        <v>0.65100000000000002</v>
      </c>
      <c r="S29" s="111">
        <f>SUMIFS('Consolidated Input'!Y$6:Y$209,'Consolidated Input'!$A$6:$A$209,$F29,'Consolidated Input'!$B$6:$B$209,$C$13)</f>
        <v>0.65100000000000002</v>
      </c>
      <c r="U29" s="111">
        <f t="shared" si="1"/>
        <v>0.65060000000000007</v>
      </c>
      <c r="V29" s="111">
        <f t="shared" si="2"/>
        <v>3.2530000000000001</v>
      </c>
    </row>
    <row r="30" spans="5:22" hidden="1" outlineLevel="1" x14ac:dyDescent="0.35">
      <c r="E30" s="10" t="str">
        <f>InpC!$E$36</f>
        <v>Portsmouth Water</v>
      </c>
      <c r="F30" s="10" t="str">
        <f>InpC!$F$36</f>
        <v>PRT</v>
      </c>
      <c r="G30" s="22" t="s">
        <v>34</v>
      </c>
      <c r="J30" s="111">
        <f>SUMIFS('Consolidated Input'!F$6:F$209,'Consolidated Input'!$A$6:$A$209,$F30,'Consolidated Input'!$B$6:$B$209,$C$12)*J$10*Time!J$29</f>
        <v>0.25049532710280376</v>
      </c>
      <c r="K30" s="111">
        <f>SUMIFS('Consolidated Input'!G$6:G$209,'Consolidated Input'!$A$6:$A$209,$F30,'Consolidated Input'!$B$6:$B$209,$C$12)*K$10*Time!K$29</f>
        <v>0.28306998158379382</v>
      </c>
      <c r="L30" s="111">
        <f>SUMIFS('Consolidated Input'!H$6:H$209,'Consolidated Input'!$A$6:$A$209,$F30,'Consolidated Input'!$B$6:$B$209,$C$12)*L$10*Time!L$29</f>
        <v>0.22900000000000001</v>
      </c>
      <c r="M30" s="111">
        <f>SUMIFS('Consolidated Input'!S$6:S$209,'Consolidated Input'!$A$6:$A$209,$F30,'Consolidated Input'!$B$6:$B$209,$C$13)</f>
        <v>0.1212731006160164</v>
      </c>
      <c r="N30" s="111">
        <f>SUMIFS('Consolidated Input'!T$6:T$209,'Consolidated Input'!$A$6:$A$209,$F30,'Consolidated Input'!$B$6:$B$209,$C$13)</f>
        <v>0.41</v>
      </c>
      <c r="O30" s="111">
        <f>SUMIFS('Consolidated Input'!U$6:U$209,'Consolidated Input'!$A$6:$A$209,$F30,'Consolidated Input'!$B$6:$B$209,$C$13)</f>
        <v>0.48699999999999999</v>
      </c>
      <c r="P30" s="111">
        <f>SUMIFS('Consolidated Input'!V$6:V$209,'Consolidated Input'!$A$6:$A$209,$F30,'Consolidated Input'!$B$6:$B$209,$C$13)</f>
        <v>0.49164000000000002</v>
      </c>
      <c r="Q30" s="111">
        <f>SUMIFS('Consolidated Input'!W$6:W$209,'Consolidated Input'!$A$6:$A$209,$F30,'Consolidated Input'!$B$6:$B$209,$C$13)</f>
        <v>0.48681999999999997</v>
      </c>
      <c r="R30" s="111">
        <f>SUMIFS('Consolidated Input'!X$6:X$209,'Consolidated Input'!$A$6:$A$209,$F30,'Consolidated Input'!$B$6:$B$209,$C$13)</f>
        <v>0.48681999999999997</v>
      </c>
      <c r="S30" s="111">
        <f>SUMIFS('Consolidated Input'!Y$6:Y$209,'Consolidated Input'!$A$6:$A$209,$F30,'Consolidated Input'!$B$6:$B$209,$C$13)</f>
        <v>0.48681999999999997</v>
      </c>
      <c r="U30" s="111">
        <f t="shared" si="1"/>
        <v>0.48781999999999998</v>
      </c>
      <c r="V30" s="111">
        <f t="shared" si="2"/>
        <v>2.4390999999999998</v>
      </c>
    </row>
    <row r="31" spans="5:22" hidden="1" outlineLevel="1" x14ac:dyDescent="0.35">
      <c r="E31" s="10" t="str">
        <f>InpC!$E$37</f>
        <v>South East Water</v>
      </c>
      <c r="F31" s="10" t="str">
        <f>InpC!$F$37</f>
        <v>SEW</v>
      </c>
      <c r="G31" s="22" t="s">
        <v>34</v>
      </c>
      <c r="J31" s="111">
        <f>SUMIFS('Consolidated Input'!F$6:F$209,'Consolidated Input'!$A$6:$A$209,$F31,'Consolidated Input'!$B$6:$B$209,$C$12)*J$10*Time!J$29</f>
        <v>0.65742242990654209</v>
      </c>
      <c r="K31" s="111">
        <f>SUMIFS('Consolidated Input'!G$6:G$209,'Consolidated Input'!$A$6:$A$209,$F31,'Consolidated Input'!$B$6:$B$209,$C$12)*K$10*Time!K$29</f>
        <v>0.72530386740331498</v>
      </c>
      <c r="L31" s="111">
        <f>SUMIFS('Consolidated Input'!H$6:H$209,'Consolidated Input'!$A$6:$A$209,$F31,'Consolidated Input'!$B$6:$B$209,$C$12)*L$10*Time!L$29</f>
        <v>0.57299999999999995</v>
      </c>
      <c r="M31" s="111">
        <f>SUMIFS('Consolidated Input'!S$6:S$209,'Consolidated Input'!$A$6:$A$209,$F31,'Consolidated Input'!$B$6:$B$209,$C$13)</f>
        <v>1.0507178729007369</v>
      </c>
      <c r="N31" s="111">
        <f>SUMIFS('Consolidated Input'!T$6:T$209,'Consolidated Input'!$A$6:$A$209,$F31,'Consolidated Input'!$B$6:$B$209,$C$13)</f>
        <v>1.366560737738022</v>
      </c>
      <c r="O31" s="111">
        <f>SUMIFS('Consolidated Input'!U$6:U$209,'Consolidated Input'!$A$6:$A$209,$F31,'Consolidated Input'!$B$6:$B$209,$C$13)</f>
        <v>1.367</v>
      </c>
      <c r="P31" s="111">
        <f>SUMIFS('Consolidated Input'!V$6:V$209,'Consolidated Input'!$A$6:$A$209,$F31,'Consolidated Input'!$B$6:$B$209,$C$13)</f>
        <v>1.367</v>
      </c>
      <c r="Q31" s="111">
        <f>SUMIFS('Consolidated Input'!W$6:W$209,'Consolidated Input'!$A$6:$A$209,$F31,'Consolidated Input'!$B$6:$B$209,$C$13)</f>
        <v>1.367</v>
      </c>
      <c r="R31" s="111">
        <f>SUMIFS('Consolidated Input'!X$6:X$209,'Consolidated Input'!$A$6:$A$209,$F31,'Consolidated Input'!$B$6:$B$209,$C$13)</f>
        <v>1.367</v>
      </c>
      <c r="S31" s="111">
        <f>SUMIFS('Consolidated Input'!Y$6:Y$209,'Consolidated Input'!$A$6:$A$209,$F31,'Consolidated Input'!$B$6:$B$209,$C$13)</f>
        <v>1.367</v>
      </c>
      <c r="U31" s="111">
        <f t="shared" si="1"/>
        <v>1.367</v>
      </c>
      <c r="V31" s="111">
        <f t="shared" si="2"/>
        <v>6.835</v>
      </c>
    </row>
    <row r="32" spans="5:22" hidden="1" outlineLevel="1" x14ac:dyDescent="0.35">
      <c r="E32" s="10" t="str">
        <f>InpC!$E$38</f>
        <v>South Staffs Water</v>
      </c>
      <c r="F32" s="10" t="str">
        <f>InpC!$F$38</f>
        <v>SSC</v>
      </c>
      <c r="G32" s="22" t="s">
        <v>34</v>
      </c>
      <c r="J32" s="111">
        <f>SUMIFS('Consolidated Input'!F$6:F$209,'Consolidated Input'!$A$6:$A$209,$F32,'Consolidated Input'!$B$6:$B$209,$C$12)*J$10*Time!J$29</f>
        <v>0.33228971962616827</v>
      </c>
      <c r="K32" s="111">
        <f>SUMIFS('Consolidated Input'!G$6:G$209,'Consolidated Input'!$A$6:$A$209,$F32,'Consolidated Input'!$B$6:$B$209,$C$12)*K$10*Time!K$29</f>
        <v>0.46238121546961336</v>
      </c>
      <c r="L32" s="111">
        <f>SUMIFS('Consolidated Input'!H$6:H$209,'Consolidated Input'!$A$6:$A$209,$F32,'Consolidated Input'!$B$6:$B$209,$C$12)*L$10*Time!L$29</f>
        <v>0.48899999999999999</v>
      </c>
      <c r="M32" s="111">
        <f>SUMIFS('Consolidated Input'!S$6:S$209,'Consolidated Input'!$A$6:$A$209,$F32,'Consolidated Input'!$B$6:$B$209,$C$13)</f>
        <v>0.48899999999999999</v>
      </c>
      <c r="N32" s="111">
        <f>SUMIFS('Consolidated Input'!T$6:T$209,'Consolidated Input'!$A$6:$A$209,$F32,'Consolidated Input'!$B$6:$B$209,$C$13)</f>
        <v>0.48899999999999999</v>
      </c>
      <c r="O32" s="111">
        <f>SUMIFS('Consolidated Input'!U$6:U$209,'Consolidated Input'!$A$6:$A$209,$F32,'Consolidated Input'!$B$6:$B$209,$C$13)</f>
        <v>0.48899999999999999</v>
      </c>
      <c r="P32" s="111">
        <f>SUMIFS('Consolidated Input'!V$6:V$209,'Consolidated Input'!$A$6:$A$209,$F32,'Consolidated Input'!$B$6:$B$209,$C$13)</f>
        <v>0.48899999999999999</v>
      </c>
      <c r="Q32" s="111">
        <f>SUMIFS('Consolidated Input'!W$6:W$209,'Consolidated Input'!$A$6:$A$209,$F32,'Consolidated Input'!$B$6:$B$209,$C$13)</f>
        <v>0.48899999999999999</v>
      </c>
      <c r="R32" s="111">
        <f>SUMIFS('Consolidated Input'!X$6:X$209,'Consolidated Input'!$A$6:$A$209,$F32,'Consolidated Input'!$B$6:$B$209,$C$13)</f>
        <v>0.48899999999999999</v>
      </c>
      <c r="S32" s="111">
        <f>SUMIFS('Consolidated Input'!Y$6:Y$209,'Consolidated Input'!$A$6:$A$209,$F32,'Consolidated Input'!$B$6:$B$209,$C$13)</f>
        <v>0.48899999999999999</v>
      </c>
      <c r="U32" s="111">
        <f t="shared" si="1"/>
        <v>0.48899999999999999</v>
      </c>
      <c r="V32" s="111">
        <f t="shared" si="2"/>
        <v>2.4449999999999998</v>
      </c>
    </row>
    <row r="33" spans="3:22" hidden="1" outlineLevel="1" x14ac:dyDescent="0.35">
      <c r="E33" s="10" t="str">
        <f>InpC!$E$39</f>
        <v>SES Water</v>
      </c>
      <c r="F33" s="10" t="str">
        <f>InpC!$F$39</f>
        <v>SES</v>
      </c>
      <c r="G33" s="22" t="s">
        <v>34</v>
      </c>
      <c r="J33" s="111">
        <f>SUMIFS('Consolidated Input'!F$6:F$209,'Consolidated Input'!$A$6:$A$209,$F33,'Consolidated Input'!$B$6:$B$209,$C$12)*J$10*Time!J$29</f>
        <v>0.18237078153271027</v>
      </c>
      <c r="K33" s="111">
        <f>SUMIFS('Consolidated Input'!G$6:G$209,'Consolidated Input'!$A$6:$A$209,$F33,'Consolidated Input'!$B$6:$B$209,$C$12)*K$10*Time!K$29</f>
        <v>0.12717755036832415</v>
      </c>
      <c r="L33" s="111">
        <f>SUMIFS('Consolidated Input'!H$6:H$209,'Consolidated Input'!$A$6:$A$209,$F33,'Consolidated Input'!$B$6:$B$209,$C$12)*L$10*Time!L$29</f>
        <v>0.31</v>
      </c>
      <c r="M33" s="111">
        <f>SUMIFS('Consolidated Input'!S$6:S$209,'Consolidated Input'!$A$6:$A$209,$F33,'Consolidated Input'!$B$6:$B$209,$C$13)</f>
        <v>0.34269271435338688</v>
      </c>
      <c r="N33" s="111">
        <f>SUMIFS('Consolidated Input'!T$6:T$209,'Consolidated Input'!$A$6:$A$209,$F33,'Consolidated Input'!$B$6:$B$209,$C$13)</f>
        <v>0.33700000000000002</v>
      </c>
      <c r="O33" s="111">
        <f>SUMIFS('Consolidated Input'!U$6:U$209,'Consolidated Input'!$A$6:$A$209,$F33,'Consolidated Input'!$B$6:$B$209,$C$13)</f>
        <v>0.34399999999999997</v>
      </c>
      <c r="P33" s="111">
        <f>SUMIFS('Consolidated Input'!V$6:V$209,'Consolidated Input'!$A$6:$A$209,$F33,'Consolidated Input'!$B$6:$B$209,$C$13)</f>
        <v>0.34699999999999998</v>
      </c>
      <c r="Q33" s="111">
        <f>SUMIFS('Consolidated Input'!W$6:W$209,'Consolidated Input'!$A$6:$A$209,$F33,'Consolidated Input'!$B$6:$B$209,$C$13)</f>
        <v>0.34799999999999998</v>
      </c>
      <c r="R33" s="111">
        <f>SUMIFS('Consolidated Input'!X$6:X$209,'Consolidated Input'!$A$6:$A$209,$F33,'Consolidated Input'!$B$6:$B$209,$C$13)</f>
        <v>0.35399999999999998</v>
      </c>
      <c r="S33" s="111">
        <f>SUMIFS('Consolidated Input'!Y$6:Y$209,'Consolidated Input'!$A$6:$A$209,$F33,'Consolidated Input'!$B$6:$B$209,$C$13)</f>
        <v>0.35699999999999998</v>
      </c>
      <c r="U33" s="111">
        <f t="shared" si="1"/>
        <v>0.35</v>
      </c>
      <c r="V33" s="111">
        <f t="shared" si="2"/>
        <v>1.7499999999999998</v>
      </c>
    </row>
    <row r="34" spans="3:22" hidden="1" outlineLevel="1" x14ac:dyDescent="0.35">
      <c r="E34" s="10" t="str">
        <f>InpC!$E$40</f>
        <v>South West Water</v>
      </c>
      <c r="F34" s="10" t="str">
        <f>InpC!$F$40</f>
        <v>SWB</v>
      </c>
      <c r="G34" s="22" t="s">
        <v>34</v>
      </c>
      <c r="J34" s="111">
        <f>SUMIFS('Consolidated Input'!F$6:F$209,'Consolidated Input'!$A$6:$A$209,$F34,'Consolidated Input'!$B$6:$B$209,$C$12)*J$10*Time!J$29</f>
        <v>0</v>
      </c>
      <c r="K34" s="111">
        <f>SUMIFS('Consolidated Input'!G$6:G$209,'Consolidated Input'!$A$6:$A$209,$F34,'Consolidated Input'!$B$6:$B$209,$C$12)*K$10*Time!K$29</f>
        <v>4.7346224677716403E-2</v>
      </c>
      <c r="L34" s="111">
        <f>SUMIFS('Consolidated Input'!H$6:H$209,'Consolidated Input'!$A$6:$A$209,$F34,'Consolidated Input'!$B$6:$B$209,$C$12)*L$10*Time!L$29</f>
        <v>0.20899999999999999</v>
      </c>
      <c r="M34" s="111">
        <f>SUMIFS('Consolidated Input'!S$6:S$209,'Consolidated Input'!$A$6:$A$209,$F34,'Consolidated Input'!$B$6:$B$209,$C$13)</f>
        <v>0.79</v>
      </c>
      <c r="N34" s="111">
        <f>SUMIFS('Consolidated Input'!T$6:T$209,'Consolidated Input'!$A$6:$A$209,$F34,'Consolidated Input'!$B$6:$B$209,$C$13)</f>
        <v>0.20899999999999999</v>
      </c>
      <c r="O34" s="111">
        <f>SUMIFS('Consolidated Input'!U$6:U$209,'Consolidated Input'!$A$6:$A$209,$F34,'Consolidated Input'!$B$6:$B$209,$C$13)</f>
        <v>0.14199529599999999</v>
      </c>
      <c r="P34" s="111">
        <f>SUMIFS('Consolidated Input'!V$6:V$209,'Consolidated Input'!$A$6:$A$209,$F34,'Consolidated Input'!$B$6:$B$209,$C$13)</f>
        <v>0.133004648</v>
      </c>
      <c r="Q34" s="111">
        <f>SUMIFS('Consolidated Input'!W$6:W$209,'Consolidated Input'!$A$6:$A$209,$F34,'Consolidated Input'!$B$6:$B$209,$C$13)</f>
        <v>0.123995114</v>
      </c>
      <c r="R34" s="111">
        <f>SUMIFS('Consolidated Input'!X$6:X$209,'Consolidated Input'!$A$6:$A$209,$F34,'Consolidated Input'!$B$6:$B$209,$C$13)</f>
        <v>0.114998539</v>
      </c>
      <c r="S34" s="111">
        <f>SUMIFS('Consolidated Input'!Y$6:Y$209,'Consolidated Input'!$A$6:$A$209,$F34,'Consolidated Input'!$B$6:$B$209,$C$13)</f>
        <v>0.107004223</v>
      </c>
      <c r="U34" s="111">
        <f t="shared" si="1"/>
        <v>0.12419956400000001</v>
      </c>
      <c r="V34" s="111">
        <f t="shared" si="2"/>
        <v>0.62099782000000003</v>
      </c>
    </row>
    <row r="35" spans="3:22" hidden="1" outlineLevel="1" x14ac:dyDescent="0.35">
      <c r="E35" s="10" t="str">
        <f>InpC!$E$41</f>
        <v>Bristol Water</v>
      </c>
      <c r="F35" s="10" t="str">
        <f>InpC!$F$41</f>
        <v>BRL</v>
      </c>
      <c r="G35" s="22" t="s">
        <v>34</v>
      </c>
      <c r="J35" s="111">
        <f>SUMIFS('Consolidated Input'!F$6:F$209,'Consolidated Input'!$A$6:$A$209,$F35,'Consolidated Input'!$B$6:$B$209,$C$12)*J$10*Time!J$29</f>
        <v>0.34353644859813087</v>
      </c>
      <c r="K35" s="111">
        <f>SUMIFS('Consolidated Input'!G$6:G$209,'Consolidated Input'!$A$6:$A$209,$F35,'Consolidated Input'!$B$6:$B$209,$C$12)*K$10*Time!K$29</f>
        <v>0.37171823204419896</v>
      </c>
      <c r="L35" s="111">
        <f>SUMIFS('Consolidated Input'!H$6:H$209,'Consolidated Input'!$A$6:$A$209,$F35,'Consolidated Input'!$B$6:$B$209,$C$12)*L$10*Time!L$29</f>
        <v>0.20599999999999999</v>
      </c>
      <c r="M35" s="111">
        <f>SUMIFS('Consolidated Input'!S$6:S$209,'Consolidated Input'!$A$6:$A$209,$F35,'Consolidated Input'!$B$6:$B$209,$C$13)</f>
        <v>0.44719455852156048</v>
      </c>
      <c r="N35" s="111">
        <f>SUMIFS('Consolidated Input'!T$6:T$209,'Consolidated Input'!$A$6:$A$209,$F35,'Consolidated Input'!$B$6:$B$209,$C$13)</f>
        <v>0.47199999999999998</v>
      </c>
      <c r="O35" s="111">
        <f>SUMIFS('Consolidated Input'!U$6:U$209,'Consolidated Input'!$A$6:$A$209,$F35,'Consolidated Input'!$B$6:$B$209,$C$13)</f>
        <v>0.18539385899999999</v>
      </c>
      <c r="P35" s="111">
        <f>SUMIFS('Consolidated Input'!V$6:V$209,'Consolidated Input'!$A$6:$A$209,$F35,'Consolidated Input'!$B$6:$B$209,$C$13)</f>
        <v>0.18540647900000001</v>
      </c>
      <c r="Q35" s="111">
        <f>SUMIFS('Consolidated Input'!W$6:W$209,'Consolidated Input'!$A$6:$A$209,$F35,'Consolidated Input'!$B$6:$B$209,$C$13)</f>
        <v>0.185392694</v>
      </c>
      <c r="R35" s="111">
        <f>SUMIFS('Consolidated Input'!X$6:X$209,'Consolidated Input'!$A$6:$A$209,$F35,'Consolidated Input'!$B$6:$B$209,$C$13)</f>
        <v>0.185397645</v>
      </c>
      <c r="S35" s="111">
        <f>SUMIFS('Consolidated Input'!Y$6:Y$209,'Consolidated Input'!$A$6:$A$209,$F35,'Consolidated Input'!$B$6:$B$209,$C$13)</f>
        <v>0.18540731699999999</v>
      </c>
      <c r="U35" s="111">
        <f t="shared" si="1"/>
        <v>0.18539959880000001</v>
      </c>
      <c r="V35" s="111">
        <f t="shared" si="2"/>
        <v>0.92699799400000005</v>
      </c>
    </row>
    <row r="36" spans="3:22" hidden="1" outlineLevel="1" x14ac:dyDescent="0.35">
      <c r="E36" s="10" t="s">
        <v>147</v>
      </c>
      <c r="G36" s="22" t="s">
        <v>34</v>
      </c>
      <c r="J36" s="133">
        <f>SUM(J19:J35)</f>
        <v>37.482578256444675</v>
      </c>
      <c r="K36" s="133">
        <f t="shared" ref="K36:S36" si="3">SUM(K19:K35)</f>
        <v>39.67745284082438</v>
      </c>
      <c r="L36" s="133">
        <f t="shared" si="3"/>
        <v>46.580470172189095</v>
      </c>
      <c r="M36" s="133">
        <f t="shared" si="3"/>
        <v>39.337334352283577</v>
      </c>
      <c r="N36" s="133">
        <f t="shared" si="3"/>
        <v>48.200613702968781</v>
      </c>
      <c r="O36" s="133">
        <f t="shared" si="3"/>
        <v>51.161376515527451</v>
      </c>
      <c r="P36" s="133">
        <f t="shared" si="3"/>
        <v>51.211606736969749</v>
      </c>
      <c r="Q36" s="133">
        <f t="shared" si="3"/>
        <v>51.246058698643608</v>
      </c>
      <c r="R36" s="133">
        <f t="shared" si="3"/>
        <v>51.290594945551661</v>
      </c>
      <c r="S36" s="133">
        <f t="shared" si="3"/>
        <v>51.337213899938227</v>
      </c>
      <c r="U36" s="133">
        <f t="shared" ref="U36:V36" si="4">SUM(U19:U35)</f>
        <v>51.249370159326133</v>
      </c>
      <c r="V36" s="133">
        <f t="shared" si="4"/>
        <v>256.24685079663072</v>
      </c>
    </row>
    <row r="38" spans="3:22" x14ac:dyDescent="0.35">
      <c r="C38" s="11" t="str">
        <f>C12</f>
        <v>W3032TOT</v>
      </c>
      <c r="D38" s="5" t="str">
        <f>D12</f>
        <v>Other operating expenditure - Costs associated with Traffic Management Act - Total</v>
      </c>
      <c r="F38" s="131">
        <f>MATCH(D38,APRChoices,0)</f>
        <v>1</v>
      </c>
      <c r="G38" s="22" t="s">
        <v>125</v>
      </c>
      <c r="J38" s="74">
        <f>J$2</f>
        <v>44286</v>
      </c>
      <c r="K38" s="74">
        <f t="shared" ref="K38:V38" si="5">K$2</f>
        <v>44651</v>
      </c>
      <c r="L38" s="74">
        <f t="shared" si="5"/>
        <v>45016</v>
      </c>
      <c r="M38" s="74">
        <f t="shared" si="5"/>
        <v>45382</v>
      </c>
      <c r="N38" s="74">
        <f t="shared" si="5"/>
        <v>45747</v>
      </c>
      <c r="O38" s="74">
        <f t="shared" si="5"/>
        <v>46112</v>
      </c>
      <c r="P38" s="74">
        <f t="shared" si="5"/>
        <v>46477</v>
      </c>
      <c r="Q38" s="74">
        <f t="shared" si="5"/>
        <v>46843</v>
      </c>
      <c r="R38" s="74">
        <f t="shared" si="5"/>
        <v>47208</v>
      </c>
      <c r="S38" s="74">
        <f t="shared" si="5"/>
        <v>47573</v>
      </c>
      <c r="U38" s="74" t="str">
        <f t="shared" si="5"/>
        <v>PR24 Average</v>
      </c>
      <c r="V38" s="74" t="str">
        <f t="shared" si="5"/>
        <v>PR24 Total</v>
      </c>
    </row>
    <row r="39" spans="3:22" x14ac:dyDescent="0.35">
      <c r="C39" s="5" t="str">
        <f>INDEX(InpC!$G$57:$G$62,'Traffic Management Act'!F38,)</f>
        <v>CW2_011TOT_PR24</v>
      </c>
      <c r="D39" s="5" t="str">
        <f>INDEX(InpC!$G$48:$G$53,'Traffic Management Act'!F38,)</f>
        <v>Location specific costs &amp; obligations - Costs associated with Traffic Management Act - Total</v>
      </c>
      <c r="G39" s="22" t="s">
        <v>126</v>
      </c>
      <c r="J39" s="74"/>
      <c r="K39" s="74"/>
      <c r="L39" s="74"/>
      <c r="M39" s="74"/>
      <c r="N39" s="74"/>
      <c r="O39" s="74"/>
      <c r="P39" s="74"/>
      <c r="Q39" s="74"/>
      <c r="R39" s="74"/>
      <c r="S39" s="74"/>
      <c r="U39" s="74"/>
      <c r="V39" s="74"/>
    </row>
    <row r="40" spans="3:22" collapsed="1" x14ac:dyDescent="0.35">
      <c r="E40" s="5" t="s">
        <v>179</v>
      </c>
    </row>
    <row r="41" spans="3:22" hidden="1" outlineLevel="1" x14ac:dyDescent="0.35"/>
    <row r="42" spans="3:22" hidden="1" outlineLevel="1" x14ac:dyDescent="0.35">
      <c r="E42" s="130" t="s">
        <v>177</v>
      </c>
      <c r="J42" s="8"/>
      <c r="K42" s="8"/>
      <c r="L42" s="8"/>
      <c r="M42" s="8"/>
      <c r="N42" s="8"/>
      <c r="O42" s="8"/>
      <c r="P42" s="8"/>
      <c r="Q42" s="8"/>
      <c r="R42" s="8"/>
      <c r="S42" s="8"/>
      <c r="U42" s="8"/>
      <c r="V42" s="8"/>
    </row>
    <row r="43" spans="3:22" hidden="1" outlineLevel="1" x14ac:dyDescent="0.35">
      <c r="E43" s="129">
        <f>InpT!$F$8</f>
        <v>45016</v>
      </c>
      <c r="G43" s="22" t="s">
        <v>178</v>
      </c>
      <c r="J43" s="8"/>
      <c r="K43" s="8"/>
      <c r="L43" s="8"/>
      <c r="M43" s="8"/>
      <c r="N43" s="8"/>
      <c r="O43" s="8"/>
      <c r="P43" s="8"/>
      <c r="Q43" s="8"/>
      <c r="R43" s="8"/>
      <c r="S43" s="8"/>
      <c r="U43" s="8"/>
      <c r="V43" s="8"/>
    </row>
    <row r="44" spans="3:22" hidden="1" outlineLevel="1" x14ac:dyDescent="0.35">
      <c r="E44" s="129"/>
      <c r="J44" s="8"/>
      <c r="K44" s="8"/>
      <c r="L44" s="8"/>
      <c r="M44" s="8"/>
      <c r="N44" s="8"/>
      <c r="O44" s="8"/>
      <c r="P44" s="8"/>
      <c r="Q44" s="8"/>
      <c r="R44" s="8"/>
      <c r="S44" s="8"/>
      <c r="U44" s="8"/>
      <c r="V44" s="8"/>
    </row>
    <row r="45" spans="3:22" hidden="1" outlineLevel="1" x14ac:dyDescent="0.35">
      <c r="E45" s="10" t="str">
        <f>InpC!$E$25</f>
        <v>Anglian Water</v>
      </c>
      <c r="F45" s="10" t="str">
        <f>InpC!$F$25</f>
        <v>ANH</v>
      </c>
      <c r="G45" s="22" t="s">
        <v>34</v>
      </c>
      <c r="J45" s="128"/>
      <c r="K45" s="128"/>
      <c r="L45" s="128"/>
      <c r="M45" s="128"/>
      <c r="N45" s="128"/>
      <c r="O45" s="128"/>
      <c r="P45" s="128"/>
      <c r="Q45" s="128"/>
      <c r="R45" s="128"/>
      <c r="S45" s="128"/>
      <c r="U45" s="111">
        <f t="shared" ref="U45:U61" si="6">IFERROR(AVERAGE(O45:S45),0)</f>
        <v>0</v>
      </c>
      <c r="V45" s="111">
        <f t="shared" ref="V45:V61" si="7">SUM(O45:S45)</f>
        <v>0</v>
      </c>
    </row>
    <row r="46" spans="3:22" hidden="1" outlineLevel="1" x14ac:dyDescent="0.35">
      <c r="E46" s="10" t="str">
        <f>InpC!$E$26</f>
        <v>Dŵr Cymru</v>
      </c>
      <c r="F46" s="10" t="str">
        <f>InpC!$F$26</f>
        <v>WSH</v>
      </c>
      <c r="G46" s="22" t="s">
        <v>34</v>
      </c>
      <c r="J46" s="128"/>
      <c r="K46" s="128"/>
      <c r="L46" s="128"/>
      <c r="M46" s="128"/>
      <c r="N46" s="128"/>
      <c r="O46" s="128"/>
      <c r="P46" s="128"/>
      <c r="Q46" s="128"/>
      <c r="R46" s="128"/>
      <c r="S46" s="128"/>
      <c r="U46" s="111">
        <f t="shared" si="6"/>
        <v>0</v>
      </c>
      <c r="V46" s="111">
        <f t="shared" si="7"/>
        <v>0</v>
      </c>
    </row>
    <row r="47" spans="3:22" hidden="1" outlineLevel="1" x14ac:dyDescent="0.35">
      <c r="E47" s="10" t="str">
        <f>InpC!$E$27</f>
        <v>Hafren Dyfrdwy</v>
      </c>
      <c r="F47" s="10" t="str">
        <f>InpC!$F$27</f>
        <v>HDD</v>
      </c>
      <c r="G47" s="22" t="s">
        <v>34</v>
      </c>
      <c r="J47" s="128"/>
      <c r="K47" s="128"/>
      <c r="L47" s="128"/>
      <c r="M47" s="128"/>
      <c r="N47" s="128"/>
      <c r="O47" s="128"/>
      <c r="P47" s="128"/>
      <c r="Q47" s="128"/>
      <c r="R47" s="128"/>
      <c r="S47" s="128"/>
      <c r="U47" s="111">
        <f t="shared" si="6"/>
        <v>0</v>
      </c>
      <c r="V47" s="111">
        <f t="shared" si="7"/>
        <v>0</v>
      </c>
    </row>
    <row r="48" spans="3:22" hidden="1" outlineLevel="1" x14ac:dyDescent="0.35">
      <c r="E48" s="10" t="str">
        <f>InpC!$E$28</f>
        <v>Northumbrian Water</v>
      </c>
      <c r="F48" s="10" t="str">
        <f>InpC!$F$28</f>
        <v>NES</v>
      </c>
      <c r="G48" s="22" t="s">
        <v>34</v>
      </c>
      <c r="J48" s="128"/>
      <c r="K48" s="128"/>
      <c r="L48" s="128"/>
      <c r="M48" s="128"/>
      <c r="N48" s="128"/>
      <c r="O48" s="128"/>
      <c r="P48" s="128"/>
      <c r="Q48" s="128"/>
      <c r="R48" s="128"/>
      <c r="S48" s="128"/>
      <c r="U48" s="111">
        <f t="shared" si="6"/>
        <v>0</v>
      </c>
      <c r="V48" s="111">
        <f t="shared" si="7"/>
        <v>0</v>
      </c>
    </row>
    <row r="49" spans="3:22" hidden="1" outlineLevel="1" x14ac:dyDescent="0.35">
      <c r="E49" s="10" t="str">
        <f>InpC!$E$29</f>
        <v>Severn Trent Water</v>
      </c>
      <c r="F49" s="10" t="str">
        <f>InpC!$F$29</f>
        <v>SVE</v>
      </c>
      <c r="G49" s="22" t="s">
        <v>34</v>
      </c>
      <c r="J49" s="128"/>
      <c r="K49" s="128"/>
      <c r="L49" s="128"/>
      <c r="M49" s="128"/>
      <c r="N49" s="128"/>
      <c r="O49" s="128"/>
      <c r="P49" s="128"/>
      <c r="Q49" s="128"/>
      <c r="R49" s="128"/>
      <c r="S49" s="128"/>
      <c r="U49" s="111">
        <f t="shared" si="6"/>
        <v>0</v>
      </c>
      <c r="V49" s="111">
        <f t="shared" si="7"/>
        <v>0</v>
      </c>
    </row>
    <row r="50" spans="3:22" hidden="1" outlineLevel="1" x14ac:dyDescent="0.35">
      <c r="E50" s="10" t="str">
        <f>InpC!$E$30</f>
        <v>Southern Water</v>
      </c>
      <c r="F50" s="10" t="str">
        <f>InpC!$F$30</f>
        <v>SRN</v>
      </c>
      <c r="G50" s="22" t="s">
        <v>34</v>
      </c>
      <c r="J50" s="128"/>
      <c r="K50" s="128"/>
      <c r="L50" s="128"/>
      <c r="M50" s="128"/>
      <c r="N50" s="128"/>
      <c r="O50" s="128"/>
      <c r="P50" s="128"/>
      <c r="Q50" s="128"/>
      <c r="R50" s="128"/>
      <c r="S50" s="128"/>
      <c r="U50" s="111">
        <f t="shared" si="6"/>
        <v>0</v>
      </c>
      <c r="V50" s="111">
        <f t="shared" si="7"/>
        <v>0</v>
      </c>
    </row>
    <row r="51" spans="3:22" hidden="1" outlineLevel="1" x14ac:dyDescent="0.35">
      <c r="E51" s="10" t="str">
        <f>InpC!$E$31</f>
        <v>Thames Water</v>
      </c>
      <c r="F51" s="10" t="str">
        <f>InpC!$F$31</f>
        <v>TMS</v>
      </c>
      <c r="G51" s="22" t="s">
        <v>34</v>
      </c>
      <c r="J51" s="128"/>
      <c r="K51" s="128"/>
      <c r="L51" s="128"/>
      <c r="M51" s="128"/>
      <c r="N51" s="128"/>
      <c r="O51" s="128"/>
      <c r="P51" s="128"/>
      <c r="Q51" s="128"/>
      <c r="R51" s="128"/>
      <c r="S51" s="128"/>
      <c r="U51" s="111">
        <f t="shared" si="6"/>
        <v>0</v>
      </c>
      <c r="V51" s="111">
        <f t="shared" si="7"/>
        <v>0</v>
      </c>
    </row>
    <row r="52" spans="3:22" hidden="1" outlineLevel="1" x14ac:dyDescent="0.35">
      <c r="E52" s="10" t="str">
        <f>InpC!$E$32</f>
        <v>United Utilities</v>
      </c>
      <c r="F52" s="10" t="str">
        <f>InpC!$F$32</f>
        <v>NWT</v>
      </c>
      <c r="G52" s="22" t="s">
        <v>34</v>
      </c>
      <c r="J52" s="128"/>
      <c r="K52" s="128"/>
      <c r="L52" s="128"/>
      <c r="M52" s="128"/>
      <c r="N52" s="128"/>
      <c r="O52" s="128"/>
      <c r="P52" s="128"/>
      <c r="Q52" s="128"/>
      <c r="R52" s="128"/>
      <c r="S52" s="128"/>
      <c r="U52" s="111">
        <f t="shared" si="6"/>
        <v>0</v>
      </c>
      <c r="V52" s="111">
        <f t="shared" si="7"/>
        <v>0</v>
      </c>
    </row>
    <row r="53" spans="3:22" hidden="1" outlineLevel="1" x14ac:dyDescent="0.35">
      <c r="E53" s="10" t="str">
        <f>InpC!$E$33</f>
        <v>Wessex Water</v>
      </c>
      <c r="F53" s="10" t="str">
        <f>InpC!$F$33</f>
        <v>WSX</v>
      </c>
      <c r="G53" s="22" t="s">
        <v>34</v>
      </c>
      <c r="J53" s="128"/>
      <c r="K53" s="128"/>
      <c r="L53" s="128"/>
      <c r="M53" s="128"/>
      <c r="N53" s="128"/>
      <c r="O53" s="128"/>
      <c r="P53" s="128"/>
      <c r="Q53" s="128"/>
      <c r="R53" s="128"/>
      <c r="S53" s="128"/>
      <c r="U53" s="111">
        <f t="shared" si="6"/>
        <v>0</v>
      </c>
      <c r="V53" s="111">
        <f t="shared" si="7"/>
        <v>0</v>
      </c>
    </row>
    <row r="54" spans="3:22" hidden="1" outlineLevel="1" x14ac:dyDescent="0.35">
      <c r="E54" s="10" t="str">
        <f>InpC!$E$34</f>
        <v>Yorkshire Water</v>
      </c>
      <c r="F54" s="10" t="str">
        <f>InpC!$F$34</f>
        <v>YKY</v>
      </c>
      <c r="G54" s="22" t="s">
        <v>34</v>
      </c>
      <c r="J54" s="128"/>
      <c r="K54" s="128"/>
      <c r="L54" s="128"/>
      <c r="M54" s="128"/>
      <c r="N54" s="128"/>
      <c r="O54" s="128"/>
      <c r="P54" s="128"/>
      <c r="Q54" s="128"/>
      <c r="R54" s="128"/>
      <c r="S54" s="128"/>
      <c r="U54" s="111">
        <f t="shared" si="6"/>
        <v>0</v>
      </c>
      <c r="V54" s="111">
        <f t="shared" si="7"/>
        <v>0</v>
      </c>
    </row>
    <row r="55" spans="3:22" hidden="1" outlineLevel="1" x14ac:dyDescent="0.35">
      <c r="E55" s="10" t="str">
        <f>InpC!$E$35</f>
        <v>Affinity Water</v>
      </c>
      <c r="F55" s="10" t="str">
        <f>InpC!$F$35</f>
        <v>AFW</v>
      </c>
      <c r="G55" s="22" t="s">
        <v>34</v>
      </c>
      <c r="J55" s="128"/>
      <c r="K55" s="128"/>
      <c r="L55" s="128"/>
      <c r="M55" s="128"/>
      <c r="N55" s="128"/>
      <c r="O55" s="128"/>
      <c r="P55" s="128"/>
      <c r="Q55" s="128"/>
      <c r="R55" s="128"/>
      <c r="S55" s="128"/>
      <c r="U55" s="111">
        <f t="shared" si="6"/>
        <v>0</v>
      </c>
      <c r="V55" s="111">
        <f t="shared" si="7"/>
        <v>0</v>
      </c>
    </row>
    <row r="56" spans="3:22" hidden="1" outlineLevel="1" x14ac:dyDescent="0.35">
      <c r="E56" s="10" t="str">
        <f>InpC!$E$36</f>
        <v>Portsmouth Water</v>
      </c>
      <c r="F56" s="10" t="str">
        <f>InpC!$F$36</f>
        <v>PRT</v>
      </c>
      <c r="G56" s="22" t="s">
        <v>34</v>
      </c>
      <c r="J56" s="128"/>
      <c r="K56" s="128"/>
      <c r="L56" s="128"/>
      <c r="M56" s="128"/>
      <c r="N56" s="128"/>
      <c r="O56" s="128"/>
      <c r="P56" s="128"/>
      <c r="Q56" s="128"/>
      <c r="R56" s="128"/>
      <c r="S56" s="128"/>
      <c r="U56" s="111">
        <f t="shared" si="6"/>
        <v>0</v>
      </c>
      <c r="V56" s="111">
        <f t="shared" si="7"/>
        <v>0</v>
      </c>
    </row>
    <row r="57" spans="3:22" hidden="1" outlineLevel="1" x14ac:dyDescent="0.35">
      <c r="E57" s="10" t="str">
        <f>InpC!$E$37</f>
        <v>South East Water</v>
      </c>
      <c r="F57" s="10" t="str">
        <f>InpC!$F$37</f>
        <v>SEW</v>
      </c>
      <c r="G57" s="22" t="s">
        <v>34</v>
      </c>
      <c r="J57" s="128"/>
      <c r="K57" s="128"/>
      <c r="L57" s="128"/>
      <c r="M57" s="128"/>
      <c r="N57" s="128"/>
      <c r="O57" s="128"/>
      <c r="P57" s="128"/>
      <c r="Q57" s="128"/>
      <c r="R57" s="128"/>
      <c r="S57" s="128"/>
      <c r="U57" s="111">
        <f t="shared" si="6"/>
        <v>0</v>
      </c>
      <c r="V57" s="111">
        <f t="shared" si="7"/>
        <v>0</v>
      </c>
    </row>
    <row r="58" spans="3:22" hidden="1" outlineLevel="1" x14ac:dyDescent="0.35">
      <c r="E58" s="10" t="str">
        <f>InpC!$E$38</f>
        <v>South Staffs Water</v>
      </c>
      <c r="F58" s="10" t="str">
        <f>InpC!$F$38</f>
        <v>SSC</v>
      </c>
      <c r="G58" s="22" t="s">
        <v>34</v>
      </c>
      <c r="J58" s="128"/>
      <c r="K58" s="128"/>
      <c r="L58" s="128"/>
      <c r="M58" s="128"/>
      <c r="N58" s="128"/>
      <c r="O58" s="128"/>
      <c r="P58" s="128"/>
      <c r="Q58" s="128"/>
      <c r="R58" s="128"/>
      <c r="S58" s="128"/>
      <c r="U58" s="111">
        <f t="shared" si="6"/>
        <v>0</v>
      </c>
      <c r="V58" s="111">
        <f t="shared" si="7"/>
        <v>0</v>
      </c>
    </row>
    <row r="59" spans="3:22" hidden="1" outlineLevel="1" x14ac:dyDescent="0.35">
      <c r="E59" s="10" t="str">
        <f>InpC!$E$39</f>
        <v>SES Water</v>
      </c>
      <c r="F59" s="10" t="str">
        <f>InpC!$F$39</f>
        <v>SES</v>
      </c>
      <c r="G59" s="22" t="s">
        <v>34</v>
      </c>
      <c r="J59" s="128"/>
      <c r="K59" s="128"/>
      <c r="L59" s="128"/>
      <c r="M59" s="128"/>
      <c r="N59" s="128"/>
      <c r="O59" s="128"/>
      <c r="P59" s="128"/>
      <c r="Q59" s="128"/>
      <c r="R59" s="128"/>
      <c r="S59" s="128"/>
      <c r="U59" s="111">
        <f t="shared" si="6"/>
        <v>0</v>
      </c>
      <c r="V59" s="111">
        <f t="shared" si="7"/>
        <v>0</v>
      </c>
    </row>
    <row r="60" spans="3:22" hidden="1" outlineLevel="1" x14ac:dyDescent="0.35">
      <c r="E60" s="10" t="str">
        <f>InpC!$E$40</f>
        <v>South West Water</v>
      </c>
      <c r="F60" s="10" t="str">
        <f>InpC!$F$40</f>
        <v>SWB</v>
      </c>
      <c r="G60" s="22" t="s">
        <v>34</v>
      </c>
      <c r="J60" s="128"/>
      <c r="K60" s="128"/>
      <c r="L60" s="128"/>
      <c r="M60" s="128"/>
      <c r="N60" s="128"/>
      <c r="O60" s="128"/>
      <c r="P60" s="128"/>
      <c r="Q60" s="128"/>
      <c r="R60" s="128"/>
      <c r="S60" s="128"/>
      <c r="U60" s="111">
        <f t="shared" si="6"/>
        <v>0</v>
      </c>
      <c r="V60" s="111">
        <f t="shared" si="7"/>
        <v>0</v>
      </c>
    </row>
    <row r="61" spans="3:22" hidden="1" outlineLevel="1" x14ac:dyDescent="0.35">
      <c r="E61" s="10" t="str">
        <f>InpC!$E$41</f>
        <v>Bristol Water</v>
      </c>
      <c r="F61" s="10" t="str">
        <f>InpC!$F$41</f>
        <v>BRL</v>
      </c>
      <c r="G61" s="22" t="s">
        <v>34</v>
      </c>
      <c r="J61" s="128"/>
      <c r="K61" s="128"/>
      <c r="L61" s="128"/>
      <c r="M61" s="128"/>
      <c r="N61" s="128"/>
      <c r="O61" s="128"/>
      <c r="P61" s="128"/>
      <c r="Q61" s="128"/>
      <c r="R61" s="128"/>
      <c r="S61" s="128"/>
      <c r="U61" s="111">
        <f t="shared" si="6"/>
        <v>0</v>
      </c>
      <c r="V61" s="111">
        <f t="shared" si="7"/>
        <v>0</v>
      </c>
    </row>
    <row r="62" spans="3:22" hidden="1" outlineLevel="1" x14ac:dyDescent="0.35">
      <c r="E62" s="10" t="s">
        <v>147</v>
      </c>
      <c r="G62" s="22" t="s">
        <v>34</v>
      </c>
      <c r="J62" s="134">
        <f>SUM(J45:J61)</f>
        <v>0</v>
      </c>
      <c r="K62" s="134">
        <f t="shared" ref="K62" si="8">SUM(K45:K61)</f>
        <v>0</v>
      </c>
      <c r="L62" s="134">
        <f t="shared" ref="L62" si="9">SUM(L45:L61)</f>
        <v>0</v>
      </c>
      <c r="M62" s="134">
        <f t="shared" ref="M62" si="10">SUM(M45:M61)</f>
        <v>0</v>
      </c>
      <c r="N62" s="134">
        <f t="shared" ref="N62" si="11">SUM(N45:N61)</f>
        <v>0</v>
      </c>
      <c r="O62" s="134">
        <f t="shared" ref="O62" si="12">SUM(O45:O61)</f>
        <v>0</v>
      </c>
      <c r="P62" s="134">
        <f t="shared" ref="P62" si="13">SUM(P45:P61)</f>
        <v>0</v>
      </c>
      <c r="Q62" s="134">
        <f t="shared" ref="Q62" si="14">SUM(Q45:Q61)</f>
        <v>0</v>
      </c>
      <c r="R62" s="134">
        <f t="shared" ref="R62" si="15">SUM(R45:R61)</f>
        <v>0</v>
      </c>
      <c r="S62" s="134">
        <f t="shared" ref="S62" si="16">SUM(S45:S61)</f>
        <v>0</v>
      </c>
      <c r="U62" s="133">
        <f t="shared" ref="U62:V62" si="17">SUM(U45:U61)</f>
        <v>0</v>
      </c>
      <c r="V62" s="133">
        <f t="shared" si="17"/>
        <v>0</v>
      </c>
    </row>
    <row r="64" spans="3:22" x14ac:dyDescent="0.35">
      <c r="C64" s="11" t="str">
        <f>C12</f>
        <v>W3032TOT</v>
      </c>
      <c r="D64" s="5" t="str">
        <f>D12</f>
        <v>Other operating expenditure - Costs associated with Traffic Management Act - Total</v>
      </c>
      <c r="F64" s="131">
        <f>MATCH(D64,APRChoices,0)</f>
        <v>1</v>
      </c>
      <c r="G64" s="22" t="s">
        <v>125</v>
      </c>
      <c r="J64" s="74">
        <f>J$2</f>
        <v>44286</v>
      </c>
      <c r="K64" s="74">
        <f t="shared" ref="K64:V64" si="18">K$2</f>
        <v>44651</v>
      </c>
      <c r="L64" s="74">
        <f t="shared" si="18"/>
        <v>45016</v>
      </c>
      <c r="M64" s="74">
        <f t="shared" si="18"/>
        <v>45382</v>
      </c>
      <c r="N64" s="74">
        <f t="shared" si="18"/>
        <v>45747</v>
      </c>
      <c r="O64" s="74">
        <f t="shared" si="18"/>
        <v>46112</v>
      </c>
      <c r="P64" s="74">
        <f t="shared" si="18"/>
        <v>46477</v>
      </c>
      <c r="Q64" s="74">
        <f t="shared" si="18"/>
        <v>46843</v>
      </c>
      <c r="R64" s="74">
        <f t="shared" si="18"/>
        <v>47208</v>
      </c>
      <c r="S64" s="74">
        <f t="shared" si="18"/>
        <v>47573</v>
      </c>
      <c r="U64" s="74" t="str">
        <f t="shared" si="18"/>
        <v>PR24 Average</v>
      </c>
      <c r="V64" s="74" t="str">
        <f t="shared" si="18"/>
        <v>PR24 Total</v>
      </c>
    </row>
    <row r="65" spans="3:22" x14ac:dyDescent="0.35">
      <c r="C65" s="5" t="str">
        <f>INDEX(InpC!$G$57:$G$62,'Traffic Management Act'!F64,)</f>
        <v>CW2_011TOT_PR24</v>
      </c>
      <c r="D65" s="5" t="str">
        <f>INDEX(InpC!$G$48:$G$53,'Traffic Management Act'!F64,)</f>
        <v>Location specific costs &amp; obligations - Costs associated with Traffic Management Act - Total</v>
      </c>
      <c r="G65" s="22" t="s">
        <v>126</v>
      </c>
      <c r="J65" s="74"/>
      <c r="K65" s="74"/>
      <c r="L65" s="74"/>
      <c r="M65" s="74"/>
      <c r="N65" s="74"/>
      <c r="O65" s="74"/>
      <c r="P65" s="74"/>
      <c r="Q65" s="74"/>
      <c r="R65" s="74"/>
      <c r="S65" s="74"/>
      <c r="U65" s="74"/>
      <c r="V65" s="74"/>
    </row>
    <row r="66" spans="3:22" collapsed="1" x14ac:dyDescent="0.35">
      <c r="E66" s="5" t="s">
        <v>180</v>
      </c>
    </row>
    <row r="67" spans="3:22" hidden="1" outlineLevel="1" x14ac:dyDescent="0.35"/>
    <row r="68" spans="3:22" hidden="1" outlineLevel="1" x14ac:dyDescent="0.35">
      <c r="E68" s="130" t="s">
        <v>177</v>
      </c>
      <c r="J68" s="8"/>
      <c r="K68" s="8"/>
      <c r="L68" s="8"/>
      <c r="M68" s="8"/>
      <c r="N68" s="8"/>
      <c r="O68" s="8"/>
      <c r="P68" s="8"/>
      <c r="Q68" s="8"/>
      <c r="R68" s="8"/>
      <c r="S68" s="8"/>
      <c r="U68" s="8"/>
      <c r="V68" s="8"/>
    </row>
    <row r="69" spans="3:22" hidden="1" outlineLevel="1" x14ac:dyDescent="0.35">
      <c r="E69" s="129">
        <f>InpT!$F$8</f>
        <v>45016</v>
      </c>
      <c r="G69" s="22" t="s">
        <v>178</v>
      </c>
      <c r="J69" s="8"/>
      <c r="K69" s="8"/>
      <c r="L69" s="8"/>
      <c r="M69" s="8"/>
      <c r="N69" s="8"/>
      <c r="O69" s="8"/>
      <c r="P69" s="8"/>
      <c r="Q69" s="8"/>
      <c r="R69" s="8"/>
      <c r="S69" s="8"/>
      <c r="U69" s="8"/>
      <c r="V69" s="8"/>
    </row>
    <row r="70" spans="3:22" hidden="1" outlineLevel="1" x14ac:dyDescent="0.35">
      <c r="E70" s="129"/>
      <c r="J70" s="8"/>
      <c r="K70" s="8"/>
      <c r="L70" s="8"/>
      <c r="M70" s="8"/>
      <c r="N70" s="8"/>
      <c r="O70" s="8"/>
      <c r="P70" s="8"/>
      <c r="Q70" s="8"/>
      <c r="R70" s="8"/>
      <c r="S70" s="8"/>
      <c r="U70" s="8"/>
      <c r="V70" s="8"/>
    </row>
    <row r="71" spans="3:22" hidden="1" outlineLevel="1" x14ac:dyDescent="0.35">
      <c r="E71" s="10" t="str">
        <f>InpC!$E$25</f>
        <v>Anglian Water</v>
      </c>
      <c r="F71" s="10" t="str">
        <f>InpC!$F$25</f>
        <v>ANH</v>
      </c>
      <c r="G71" s="22" t="s">
        <v>34</v>
      </c>
      <c r="J71" s="111">
        <f t="shared" ref="J71:S71" si="19">IF(ISBLANK(J45),J19,J45)</f>
        <v>1.9323925233644861</v>
      </c>
      <c r="K71" s="111">
        <f t="shared" si="19"/>
        <v>1.8217719152854515</v>
      </c>
      <c r="L71" s="111">
        <f t="shared" si="19"/>
        <v>0.94399999999999995</v>
      </c>
      <c r="M71" s="111">
        <f t="shared" si="19"/>
        <v>0.69471010168891179</v>
      </c>
      <c r="N71" s="111">
        <f t="shared" si="19"/>
        <v>0.88712999360201172</v>
      </c>
      <c r="O71" s="111">
        <f t="shared" si="19"/>
        <v>1.4730689481860959</v>
      </c>
      <c r="P71" s="111">
        <f t="shared" si="19"/>
        <v>1.4730689481860959</v>
      </c>
      <c r="Q71" s="111">
        <f t="shared" si="19"/>
        <v>1.4730689481860959</v>
      </c>
      <c r="R71" s="111">
        <f t="shared" si="19"/>
        <v>1.4730689481860959</v>
      </c>
      <c r="S71" s="111">
        <f t="shared" si="19"/>
        <v>1.4730689481860959</v>
      </c>
      <c r="U71" s="111">
        <f t="shared" ref="U71:U87" si="20">IFERROR(AVERAGE(O71:S71),0)</f>
        <v>1.4730689481860959</v>
      </c>
      <c r="V71" s="111">
        <f t="shared" ref="V71:V87" si="21">SUM(O71:S71)</f>
        <v>7.36534474093048</v>
      </c>
    </row>
    <row r="72" spans="3:22" hidden="1" outlineLevel="1" x14ac:dyDescent="0.35">
      <c r="E72" s="10" t="str">
        <f>InpC!$E$26</f>
        <v>Dŵr Cymru</v>
      </c>
      <c r="F72" s="10" t="str">
        <f>InpC!$F$26</f>
        <v>WSH</v>
      </c>
      <c r="G72" s="22" t="s">
        <v>34</v>
      </c>
      <c r="J72" s="111">
        <f t="shared" ref="J72:S72" si="22">IF(ISBLANK(J46),J20,J46)</f>
        <v>2.0448598130841122E-3</v>
      </c>
      <c r="K72" s="111">
        <f t="shared" si="22"/>
        <v>6.0441988950276256E-3</v>
      </c>
      <c r="L72" s="111">
        <f t="shared" si="22"/>
        <v>9.2999999999999999E-2</v>
      </c>
      <c r="M72" s="111">
        <f t="shared" si="22"/>
        <v>0.182</v>
      </c>
      <c r="N72" s="111">
        <f t="shared" si="22"/>
        <v>5.1999999999999998E-2</v>
      </c>
      <c r="O72" s="111">
        <f t="shared" si="22"/>
        <v>4.2000000000000003E-2</v>
      </c>
      <c r="P72" s="111">
        <f t="shared" si="22"/>
        <v>0.04</v>
      </c>
      <c r="Q72" s="111">
        <f t="shared" si="22"/>
        <v>3.9E-2</v>
      </c>
      <c r="R72" s="111">
        <f t="shared" si="22"/>
        <v>3.9E-2</v>
      </c>
      <c r="S72" s="111">
        <f t="shared" si="22"/>
        <v>3.7999999999999999E-2</v>
      </c>
      <c r="U72" s="111">
        <f t="shared" si="20"/>
        <v>3.9600000000000003E-2</v>
      </c>
      <c r="V72" s="111">
        <f t="shared" si="21"/>
        <v>0.19800000000000001</v>
      </c>
    </row>
    <row r="73" spans="3:22" hidden="1" outlineLevel="1" x14ac:dyDescent="0.35">
      <c r="E73" s="10" t="str">
        <f>InpC!$E$27</f>
        <v>Hafren Dyfrdwy</v>
      </c>
      <c r="F73" s="10" t="str">
        <f>InpC!$F$27</f>
        <v>HDD</v>
      </c>
      <c r="G73" s="22" t="s">
        <v>34</v>
      </c>
      <c r="J73" s="111">
        <f t="shared" ref="J73:S73" si="23">IF(ISBLANK(J47),J21,J47)</f>
        <v>0</v>
      </c>
      <c r="K73" s="111">
        <f t="shared" si="23"/>
        <v>0</v>
      </c>
      <c r="L73" s="111">
        <f t="shared" si="23"/>
        <v>0</v>
      </c>
      <c r="M73" s="111">
        <f t="shared" si="23"/>
        <v>0</v>
      </c>
      <c r="N73" s="111">
        <f t="shared" si="23"/>
        <v>0</v>
      </c>
      <c r="O73" s="111">
        <f t="shared" si="23"/>
        <v>0</v>
      </c>
      <c r="P73" s="111">
        <f t="shared" si="23"/>
        <v>0</v>
      </c>
      <c r="Q73" s="111">
        <f t="shared" si="23"/>
        <v>0</v>
      </c>
      <c r="R73" s="111">
        <f t="shared" si="23"/>
        <v>0</v>
      </c>
      <c r="S73" s="111">
        <f t="shared" si="23"/>
        <v>0</v>
      </c>
      <c r="U73" s="111">
        <f t="shared" si="20"/>
        <v>0</v>
      </c>
      <c r="V73" s="111">
        <f t="shared" si="21"/>
        <v>0</v>
      </c>
    </row>
    <row r="74" spans="3:22" hidden="1" outlineLevel="1" x14ac:dyDescent="0.35">
      <c r="E74" s="10" t="str">
        <f>InpC!$E$28</f>
        <v>Northumbrian Water</v>
      </c>
      <c r="F74" s="10" t="str">
        <f>InpC!$F$28</f>
        <v>NES</v>
      </c>
      <c r="G74" s="22" t="s">
        <v>34</v>
      </c>
      <c r="J74" s="111">
        <f t="shared" ref="J74:S74" si="24">IF(ISBLANK(J48),J22,J48)</f>
        <v>0.28219065420560752</v>
      </c>
      <c r="K74" s="111">
        <f t="shared" si="24"/>
        <v>0.37071086556169436</v>
      </c>
      <c r="L74" s="111">
        <f t="shared" si="24"/>
        <v>0.40799999999999997</v>
      </c>
      <c r="M74" s="111">
        <f t="shared" si="24"/>
        <v>0.43298287301664001</v>
      </c>
      <c r="N74" s="111">
        <f t="shared" si="24"/>
        <v>0.44600000000000001</v>
      </c>
      <c r="O74" s="111">
        <f t="shared" si="24"/>
        <v>0.46899999999999997</v>
      </c>
      <c r="P74" s="111">
        <f t="shared" si="24"/>
        <v>0.49299999999999999</v>
      </c>
      <c r="Q74" s="111">
        <f t="shared" si="24"/>
        <v>0.51700000000000002</v>
      </c>
      <c r="R74" s="111">
        <f t="shared" si="24"/>
        <v>0.54</v>
      </c>
      <c r="S74" s="111">
        <f t="shared" si="24"/>
        <v>0.56399999999999995</v>
      </c>
      <c r="U74" s="111">
        <f t="shared" si="20"/>
        <v>0.51660000000000006</v>
      </c>
      <c r="V74" s="111">
        <f t="shared" si="21"/>
        <v>2.5830000000000002</v>
      </c>
    </row>
    <row r="75" spans="3:22" hidden="1" outlineLevel="1" x14ac:dyDescent="0.35">
      <c r="E75" s="10" t="str">
        <f>InpC!$E$29</f>
        <v>Severn Trent Water</v>
      </c>
      <c r="F75" s="10" t="str">
        <f>InpC!$F$29</f>
        <v>SVE</v>
      </c>
      <c r="G75" s="22" t="s">
        <v>34</v>
      </c>
      <c r="J75" s="111">
        <f t="shared" ref="J75:S75" si="25">IF(ISBLANK(J49),J23,J49)</f>
        <v>2.3587457943925236</v>
      </c>
      <c r="K75" s="111">
        <f t="shared" si="25"/>
        <v>2.2494493554327812</v>
      </c>
      <c r="L75" s="111">
        <f t="shared" si="25"/>
        <v>2.6629999999999998</v>
      </c>
      <c r="M75" s="111">
        <f t="shared" si="25"/>
        <v>1.744</v>
      </c>
      <c r="N75" s="111">
        <f t="shared" si="25"/>
        <v>1.714</v>
      </c>
      <c r="O75" s="111">
        <f t="shared" si="25"/>
        <v>2.843</v>
      </c>
      <c r="P75" s="111">
        <f t="shared" si="25"/>
        <v>2.867</v>
      </c>
      <c r="Q75" s="111">
        <f t="shared" si="25"/>
        <v>2.891</v>
      </c>
      <c r="R75" s="111">
        <f t="shared" si="25"/>
        <v>2.9159999999999999</v>
      </c>
      <c r="S75" s="111">
        <f t="shared" si="25"/>
        <v>2.94</v>
      </c>
      <c r="U75" s="111">
        <f t="shared" si="20"/>
        <v>2.8914</v>
      </c>
      <c r="V75" s="111">
        <f t="shared" si="21"/>
        <v>14.456999999999999</v>
      </c>
    </row>
    <row r="76" spans="3:22" hidden="1" outlineLevel="1" x14ac:dyDescent="0.35">
      <c r="E76" s="10" t="str">
        <f>InpC!$E$30</f>
        <v>Southern Water</v>
      </c>
      <c r="F76" s="10" t="str">
        <f>InpC!$F$30</f>
        <v>SRN</v>
      </c>
      <c r="G76" s="22" t="s">
        <v>34</v>
      </c>
      <c r="J76" s="111">
        <f t="shared" ref="J76:S76" si="26">IF(ISBLANK(J50),J24,J50)</f>
        <v>1.2197588785046729</v>
      </c>
      <c r="K76" s="111">
        <f t="shared" si="26"/>
        <v>1.1211988950276246</v>
      </c>
      <c r="L76" s="111">
        <f t="shared" si="26"/>
        <v>1.4830000000000001</v>
      </c>
      <c r="M76" s="111">
        <f t="shared" si="26"/>
        <v>1.5129999999999999</v>
      </c>
      <c r="N76" s="111">
        <f t="shared" si="26"/>
        <v>2.335</v>
      </c>
      <c r="O76" s="111">
        <f t="shared" si="26"/>
        <v>2.335</v>
      </c>
      <c r="P76" s="111">
        <f t="shared" si="26"/>
        <v>2.335</v>
      </c>
      <c r="Q76" s="111">
        <f t="shared" si="26"/>
        <v>2.335</v>
      </c>
      <c r="R76" s="111">
        <f t="shared" si="26"/>
        <v>2.335</v>
      </c>
      <c r="S76" s="111">
        <f t="shared" si="26"/>
        <v>2.335</v>
      </c>
      <c r="U76" s="111">
        <f t="shared" si="20"/>
        <v>2.335</v>
      </c>
      <c r="V76" s="111">
        <f t="shared" si="21"/>
        <v>11.675000000000001</v>
      </c>
    </row>
    <row r="77" spans="3:22" hidden="1" outlineLevel="1" x14ac:dyDescent="0.35">
      <c r="E77" s="10" t="str">
        <f>InpC!$E$31</f>
        <v>Thames Water</v>
      </c>
      <c r="F77" s="10" t="str">
        <f>InpC!$F$31</f>
        <v>TMS</v>
      </c>
      <c r="G77" s="22" t="s">
        <v>34</v>
      </c>
      <c r="J77" s="111">
        <f t="shared" ref="J77:S77" si="27">IF(ISBLANK(J51),J25,J51)</f>
        <v>21.773667289719626</v>
      </c>
      <c r="K77" s="111">
        <f t="shared" si="27"/>
        <v>25.300009208103134</v>
      </c>
      <c r="L77" s="111">
        <f t="shared" si="27"/>
        <v>32.451000000000001</v>
      </c>
      <c r="M77" s="111">
        <f t="shared" si="27"/>
        <v>26.219165085388969</v>
      </c>
      <c r="N77" s="111">
        <f t="shared" si="27"/>
        <v>33.487000000000002</v>
      </c>
      <c r="O77" s="111">
        <f t="shared" si="27"/>
        <v>34.353999999999999</v>
      </c>
      <c r="P77" s="111">
        <f t="shared" si="27"/>
        <v>34.353999999999999</v>
      </c>
      <c r="Q77" s="111">
        <f t="shared" si="27"/>
        <v>34.353999999999999</v>
      </c>
      <c r="R77" s="111">
        <f t="shared" si="27"/>
        <v>34.353999999999999</v>
      </c>
      <c r="S77" s="111">
        <f t="shared" si="27"/>
        <v>34.353999999999999</v>
      </c>
      <c r="U77" s="111">
        <f t="shared" si="20"/>
        <v>34.353999999999999</v>
      </c>
      <c r="V77" s="111">
        <f t="shared" si="21"/>
        <v>171.76999999999998</v>
      </c>
    </row>
    <row r="78" spans="3:22" hidden="1" outlineLevel="1" x14ac:dyDescent="0.35">
      <c r="E78" s="10" t="str">
        <f>InpC!$E$32</f>
        <v>United Utilities</v>
      </c>
      <c r="F78" s="10" t="str">
        <f>InpC!$F$32</f>
        <v>NWT</v>
      </c>
      <c r="G78" s="22" t="s">
        <v>34</v>
      </c>
      <c r="J78" s="111">
        <f t="shared" ref="J78:S78" si="28">IF(ISBLANK(J52),J26,J52)</f>
        <v>1.8459450397717769</v>
      </c>
      <c r="K78" s="111">
        <f t="shared" si="28"/>
        <v>2.1356715125888646</v>
      </c>
      <c r="L78" s="111">
        <f t="shared" si="28"/>
        <v>2.0464701721890868</v>
      </c>
      <c r="M78" s="111">
        <f t="shared" si="28"/>
        <v>1.6817143322179799</v>
      </c>
      <c r="N78" s="111">
        <f t="shared" si="28"/>
        <v>1.8641387491075021</v>
      </c>
      <c r="O78" s="111">
        <f t="shared" si="28"/>
        <v>1.864022610627089</v>
      </c>
      <c r="P78" s="111">
        <f t="shared" si="28"/>
        <v>1.864022610627089</v>
      </c>
      <c r="Q78" s="111">
        <f t="shared" si="28"/>
        <v>1.8640226106270901</v>
      </c>
      <c r="R78" s="111">
        <f t="shared" si="28"/>
        <v>1.8640226106270901</v>
      </c>
      <c r="S78" s="111">
        <f t="shared" si="28"/>
        <v>1.8640226106270901</v>
      </c>
      <c r="U78" s="111">
        <f t="shared" si="20"/>
        <v>1.8640226106270898</v>
      </c>
      <c r="V78" s="111">
        <f t="shared" si="21"/>
        <v>9.320113053135449</v>
      </c>
    </row>
    <row r="79" spans="3:22" hidden="1" outlineLevel="1" x14ac:dyDescent="0.35">
      <c r="E79" s="10" t="str">
        <f>InpC!$E$33</f>
        <v>Wessex Water</v>
      </c>
      <c r="F79" s="10" t="str">
        <f>InpC!$F$33</f>
        <v>WSX</v>
      </c>
      <c r="G79" s="22" t="s">
        <v>34</v>
      </c>
      <c r="J79" s="111">
        <f t="shared" ref="J79:S79" si="29">IF(ISBLANK(J53),J27,J53)</f>
        <v>0.10068112672897198</v>
      </c>
      <c r="K79" s="111">
        <f t="shared" si="29"/>
        <v>0.12289871086556171</v>
      </c>
      <c r="L79" s="111">
        <f t="shared" si="29"/>
        <v>0.153</v>
      </c>
      <c r="M79" s="111">
        <f t="shared" si="29"/>
        <v>0.11653587012320329</v>
      </c>
      <c r="N79" s="111">
        <f t="shared" si="29"/>
        <v>0.113737443673724</v>
      </c>
      <c r="O79" s="111">
        <f t="shared" si="29"/>
        <v>9.1269360515188233E-2</v>
      </c>
      <c r="P79" s="111">
        <f t="shared" si="29"/>
        <v>9.6837609957494603E-2</v>
      </c>
      <c r="Q79" s="111">
        <f t="shared" si="29"/>
        <v>9.6132890631344448E-2</v>
      </c>
      <c r="R79" s="111">
        <f t="shared" si="29"/>
        <v>9.5660761539398328E-2</v>
      </c>
      <c r="S79" s="111">
        <f t="shared" si="29"/>
        <v>0.100264359925965</v>
      </c>
      <c r="U79" s="111">
        <f t="shared" si="20"/>
        <v>9.6032996513878116E-2</v>
      </c>
      <c r="V79" s="111">
        <f t="shared" si="21"/>
        <v>0.48016498256939061</v>
      </c>
    </row>
    <row r="80" spans="3:22" hidden="1" outlineLevel="1" x14ac:dyDescent="0.35">
      <c r="E80" s="10" t="str">
        <f>InpC!$E$34</f>
        <v>Yorkshire Water</v>
      </c>
      <c r="F80" s="10" t="str">
        <f>InpC!$F$34</f>
        <v>YKY</v>
      </c>
      <c r="G80" s="22" t="s">
        <v>34</v>
      </c>
      <c r="J80" s="111">
        <f t="shared" ref="J80:S80" si="30">IF(ISBLANK(J54),J28,J54)</f>
        <v>4.2931831775700937</v>
      </c>
      <c r="K80" s="111">
        <f t="shared" si="30"/>
        <v>3.4739589344049371</v>
      </c>
      <c r="L80" s="111">
        <f t="shared" si="30"/>
        <v>3.706</v>
      </c>
      <c r="M80" s="111">
        <f t="shared" si="30"/>
        <v>3.0313478434561851</v>
      </c>
      <c r="N80" s="111">
        <f t="shared" si="30"/>
        <v>3.395046778847516</v>
      </c>
      <c r="O80" s="111">
        <f t="shared" si="30"/>
        <v>4.0256264411990781</v>
      </c>
      <c r="P80" s="111">
        <f t="shared" si="30"/>
        <v>4.0256264411990781</v>
      </c>
      <c r="Q80" s="111">
        <f t="shared" si="30"/>
        <v>4.0256264411990781</v>
      </c>
      <c r="R80" s="111">
        <f t="shared" si="30"/>
        <v>4.0256264411990781</v>
      </c>
      <c r="S80" s="111">
        <f t="shared" si="30"/>
        <v>4.0256264411990781</v>
      </c>
      <c r="U80" s="111">
        <f t="shared" si="20"/>
        <v>4.0256264411990781</v>
      </c>
      <c r="V80" s="111">
        <f t="shared" si="21"/>
        <v>20.128132205995392</v>
      </c>
    </row>
    <row r="81" spans="3:22" hidden="1" outlineLevel="1" x14ac:dyDescent="0.35">
      <c r="E81" s="10" t="str">
        <f>InpC!$E$35</f>
        <v>Affinity Water</v>
      </c>
      <c r="F81" s="10" t="str">
        <f>InpC!$F$35</f>
        <v>AFW</v>
      </c>
      <c r="G81" s="22" t="s">
        <v>34</v>
      </c>
      <c r="J81" s="111">
        <f t="shared" ref="J81:S81" si="31">IF(ISBLANK(J55),J29,J55)</f>
        <v>1.9078542056074768</v>
      </c>
      <c r="K81" s="111">
        <f t="shared" si="31"/>
        <v>1.058742173112339</v>
      </c>
      <c r="L81" s="111">
        <f t="shared" si="31"/>
        <v>0.61699999999999999</v>
      </c>
      <c r="M81" s="111">
        <f t="shared" si="31"/>
        <v>0.48099999999999998</v>
      </c>
      <c r="N81" s="111">
        <f t="shared" si="31"/>
        <v>0.623</v>
      </c>
      <c r="O81" s="111">
        <f t="shared" si="31"/>
        <v>0.65</v>
      </c>
      <c r="P81" s="111">
        <f t="shared" si="31"/>
        <v>0.65</v>
      </c>
      <c r="Q81" s="111">
        <f t="shared" si="31"/>
        <v>0.65100000000000002</v>
      </c>
      <c r="R81" s="111">
        <f t="shared" si="31"/>
        <v>0.65100000000000002</v>
      </c>
      <c r="S81" s="111">
        <f t="shared" si="31"/>
        <v>0.65100000000000002</v>
      </c>
      <c r="U81" s="111">
        <f t="shared" si="20"/>
        <v>0.65060000000000007</v>
      </c>
      <c r="V81" s="111">
        <f t="shared" si="21"/>
        <v>3.2530000000000001</v>
      </c>
    </row>
    <row r="82" spans="3:22" hidden="1" outlineLevel="1" x14ac:dyDescent="0.35">
      <c r="E82" s="10" t="str">
        <f>InpC!$E$36</f>
        <v>Portsmouth Water</v>
      </c>
      <c r="F82" s="10" t="str">
        <f>InpC!$F$36</f>
        <v>PRT</v>
      </c>
      <c r="G82" s="22" t="s">
        <v>34</v>
      </c>
      <c r="J82" s="111">
        <f t="shared" ref="J82:S82" si="32">IF(ISBLANK(J56),J30,J56)</f>
        <v>0.25049532710280376</v>
      </c>
      <c r="K82" s="111">
        <f t="shared" si="32"/>
        <v>0.28306998158379382</v>
      </c>
      <c r="L82" s="111">
        <f t="shared" si="32"/>
        <v>0.22900000000000001</v>
      </c>
      <c r="M82" s="111">
        <f t="shared" si="32"/>
        <v>0.1212731006160164</v>
      </c>
      <c r="N82" s="111">
        <f t="shared" si="32"/>
        <v>0.41</v>
      </c>
      <c r="O82" s="111">
        <f t="shared" si="32"/>
        <v>0.48699999999999999</v>
      </c>
      <c r="P82" s="111">
        <f t="shared" si="32"/>
        <v>0.49164000000000002</v>
      </c>
      <c r="Q82" s="111">
        <f t="shared" si="32"/>
        <v>0.48681999999999997</v>
      </c>
      <c r="R82" s="111">
        <f t="shared" si="32"/>
        <v>0.48681999999999997</v>
      </c>
      <c r="S82" s="111">
        <f t="shared" si="32"/>
        <v>0.48681999999999997</v>
      </c>
      <c r="U82" s="111">
        <f t="shared" si="20"/>
        <v>0.48781999999999998</v>
      </c>
      <c r="V82" s="111">
        <f t="shared" si="21"/>
        <v>2.4390999999999998</v>
      </c>
    </row>
    <row r="83" spans="3:22" hidden="1" outlineLevel="1" x14ac:dyDescent="0.35">
      <c r="E83" s="10" t="str">
        <f>InpC!$E$37</f>
        <v>South East Water</v>
      </c>
      <c r="F83" s="10" t="str">
        <f>InpC!$F$37</f>
        <v>SEW</v>
      </c>
      <c r="G83" s="22" t="s">
        <v>34</v>
      </c>
      <c r="J83" s="111">
        <f t="shared" ref="J83:S83" si="33">IF(ISBLANK(J57),J31,J57)</f>
        <v>0.65742242990654209</v>
      </c>
      <c r="K83" s="111">
        <f t="shared" si="33"/>
        <v>0.72530386740331498</v>
      </c>
      <c r="L83" s="111">
        <f t="shared" si="33"/>
        <v>0.57299999999999995</v>
      </c>
      <c r="M83" s="111">
        <f t="shared" si="33"/>
        <v>1.0507178729007369</v>
      </c>
      <c r="N83" s="111">
        <f t="shared" si="33"/>
        <v>1.366560737738022</v>
      </c>
      <c r="O83" s="111">
        <f t="shared" si="33"/>
        <v>1.367</v>
      </c>
      <c r="P83" s="111">
        <f t="shared" si="33"/>
        <v>1.367</v>
      </c>
      <c r="Q83" s="111">
        <f t="shared" si="33"/>
        <v>1.367</v>
      </c>
      <c r="R83" s="111">
        <f t="shared" si="33"/>
        <v>1.367</v>
      </c>
      <c r="S83" s="111">
        <f t="shared" si="33"/>
        <v>1.367</v>
      </c>
      <c r="U83" s="111">
        <f t="shared" si="20"/>
        <v>1.367</v>
      </c>
      <c r="V83" s="111">
        <f t="shared" si="21"/>
        <v>6.835</v>
      </c>
    </row>
    <row r="84" spans="3:22" hidden="1" outlineLevel="1" x14ac:dyDescent="0.35">
      <c r="E84" s="10" t="str">
        <f>InpC!$E$38</f>
        <v>South Staffs Water</v>
      </c>
      <c r="F84" s="10" t="str">
        <f>InpC!$F$38</f>
        <v>SSC</v>
      </c>
      <c r="G84" s="22" t="s">
        <v>34</v>
      </c>
      <c r="J84" s="111">
        <f t="shared" ref="J84:S84" si="34">IF(ISBLANK(J58),J32,J58)</f>
        <v>0.33228971962616827</v>
      </c>
      <c r="K84" s="111">
        <f t="shared" si="34"/>
        <v>0.46238121546961336</v>
      </c>
      <c r="L84" s="111">
        <f t="shared" si="34"/>
        <v>0.48899999999999999</v>
      </c>
      <c r="M84" s="111">
        <f t="shared" si="34"/>
        <v>0.48899999999999999</v>
      </c>
      <c r="N84" s="111">
        <f t="shared" si="34"/>
        <v>0.48899999999999999</v>
      </c>
      <c r="O84" s="111">
        <f t="shared" si="34"/>
        <v>0.48899999999999999</v>
      </c>
      <c r="P84" s="111">
        <f t="shared" si="34"/>
        <v>0.48899999999999999</v>
      </c>
      <c r="Q84" s="111">
        <f t="shared" si="34"/>
        <v>0.48899999999999999</v>
      </c>
      <c r="R84" s="111">
        <f t="shared" si="34"/>
        <v>0.48899999999999999</v>
      </c>
      <c r="S84" s="111">
        <f t="shared" si="34"/>
        <v>0.48899999999999999</v>
      </c>
      <c r="U84" s="111">
        <f t="shared" si="20"/>
        <v>0.48899999999999999</v>
      </c>
      <c r="V84" s="111">
        <f t="shared" si="21"/>
        <v>2.4449999999999998</v>
      </c>
    </row>
    <row r="85" spans="3:22" hidden="1" outlineLevel="1" x14ac:dyDescent="0.35">
      <c r="E85" s="10" t="str">
        <f>InpC!$E$39</f>
        <v>SES Water</v>
      </c>
      <c r="F85" s="10" t="str">
        <f>InpC!$F$39</f>
        <v>SES</v>
      </c>
      <c r="G85" s="22" t="s">
        <v>34</v>
      </c>
      <c r="J85" s="111">
        <f t="shared" ref="J85:S85" si="35">IF(ISBLANK(J59),J33,J59)</f>
        <v>0.18237078153271027</v>
      </c>
      <c r="K85" s="111">
        <f t="shared" si="35"/>
        <v>0.12717755036832415</v>
      </c>
      <c r="L85" s="111">
        <f t="shared" si="35"/>
        <v>0.31</v>
      </c>
      <c r="M85" s="111">
        <f t="shared" si="35"/>
        <v>0.34269271435338688</v>
      </c>
      <c r="N85" s="111">
        <f t="shared" si="35"/>
        <v>0.33700000000000002</v>
      </c>
      <c r="O85" s="111">
        <f t="shared" si="35"/>
        <v>0.34399999999999997</v>
      </c>
      <c r="P85" s="111">
        <f t="shared" si="35"/>
        <v>0.34699999999999998</v>
      </c>
      <c r="Q85" s="111">
        <f t="shared" si="35"/>
        <v>0.34799999999999998</v>
      </c>
      <c r="R85" s="111">
        <f t="shared" si="35"/>
        <v>0.35399999999999998</v>
      </c>
      <c r="S85" s="111">
        <f t="shared" si="35"/>
        <v>0.35699999999999998</v>
      </c>
      <c r="U85" s="111">
        <f t="shared" si="20"/>
        <v>0.35</v>
      </c>
      <c r="V85" s="111">
        <f t="shared" si="21"/>
        <v>1.7499999999999998</v>
      </c>
    </row>
    <row r="86" spans="3:22" hidden="1" outlineLevel="1" x14ac:dyDescent="0.35">
      <c r="E86" s="10" t="str">
        <f>InpC!$E$40</f>
        <v>South West Water</v>
      </c>
      <c r="F86" s="10" t="str">
        <f>InpC!$F$40</f>
        <v>SWB</v>
      </c>
      <c r="G86" s="22" t="s">
        <v>34</v>
      </c>
      <c r="J86" s="111">
        <f t="shared" ref="J86:S86" si="36">IF(ISBLANK(J60),J34,J60)</f>
        <v>0</v>
      </c>
      <c r="K86" s="111">
        <f t="shared" si="36"/>
        <v>4.7346224677716403E-2</v>
      </c>
      <c r="L86" s="111">
        <f t="shared" si="36"/>
        <v>0.20899999999999999</v>
      </c>
      <c r="M86" s="111">
        <f t="shared" si="36"/>
        <v>0.79</v>
      </c>
      <c r="N86" s="111">
        <f t="shared" si="36"/>
        <v>0.20899999999999999</v>
      </c>
      <c r="O86" s="111">
        <f t="shared" si="36"/>
        <v>0.14199529599999999</v>
      </c>
      <c r="P86" s="111">
        <f t="shared" si="36"/>
        <v>0.133004648</v>
      </c>
      <c r="Q86" s="111">
        <f t="shared" si="36"/>
        <v>0.123995114</v>
      </c>
      <c r="R86" s="111">
        <f t="shared" si="36"/>
        <v>0.114998539</v>
      </c>
      <c r="S86" s="111">
        <f t="shared" si="36"/>
        <v>0.107004223</v>
      </c>
      <c r="U86" s="111">
        <f t="shared" si="20"/>
        <v>0.12419956400000001</v>
      </c>
      <c r="V86" s="111">
        <f t="shared" si="21"/>
        <v>0.62099782000000003</v>
      </c>
    </row>
    <row r="87" spans="3:22" hidden="1" outlineLevel="1" x14ac:dyDescent="0.35">
      <c r="E87" s="10" t="str">
        <f>InpC!$E$41</f>
        <v>Bristol Water</v>
      </c>
      <c r="F87" s="10" t="str">
        <f>InpC!$F$41</f>
        <v>BRL</v>
      </c>
      <c r="G87" s="22" t="s">
        <v>34</v>
      </c>
      <c r="J87" s="111">
        <f t="shared" ref="J87:S87" si="37">IF(ISBLANK(J61),J35,J61)</f>
        <v>0.34353644859813087</v>
      </c>
      <c r="K87" s="111">
        <f t="shared" si="37"/>
        <v>0.37171823204419896</v>
      </c>
      <c r="L87" s="111">
        <f t="shared" si="37"/>
        <v>0.20599999999999999</v>
      </c>
      <c r="M87" s="111">
        <f t="shared" si="37"/>
        <v>0.44719455852156048</v>
      </c>
      <c r="N87" s="111">
        <f t="shared" si="37"/>
        <v>0.47199999999999998</v>
      </c>
      <c r="O87" s="111">
        <f t="shared" si="37"/>
        <v>0.18539385899999999</v>
      </c>
      <c r="P87" s="111">
        <f t="shared" si="37"/>
        <v>0.18540647900000001</v>
      </c>
      <c r="Q87" s="111">
        <f t="shared" si="37"/>
        <v>0.185392694</v>
      </c>
      <c r="R87" s="111">
        <f t="shared" si="37"/>
        <v>0.185397645</v>
      </c>
      <c r="S87" s="111">
        <f t="shared" si="37"/>
        <v>0.18540731699999999</v>
      </c>
      <c r="U87" s="111">
        <f t="shared" si="20"/>
        <v>0.18539959880000001</v>
      </c>
      <c r="V87" s="111">
        <f t="shared" si="21"/>
        <v>0.92699799400000005</v>
      </c>
    </row>
    <row r="88" spans="3:22" hidden="1" outlineLevel="1" x14ac:dyDescent="0.35">
      <c r="E88" s="10" t="s">
        <v>147</v>
      </c>
      <c r="G88" s="22" t="s">
        <v>34</v>
      </c>
      <c r="J88" s="133">
        <f>SUM(J71:J87)</f>
        <v>37.482578256444675</v>
      </c>
      <c r="K88" s="133">
        <f t="shared" ref="K88" si="38">SUM(K71:K87)</f>
        <v>39.67745284082438</v>
      </c>
      <c r="L88" s="133">
        <f t="shared" ref="L88" si="39">SUM(L71:L87)</f>
        <v>46.580470172189095</v>
      </c>
      <c r="M88" s="133">
        <f t="shared" ref="M88" si="40">SUM(M71:M87)</f>
        <v>39.337334352283577</v>
      </c>
      <c r="N88" s="133">
        <f t="shared" ref="N88" si="41">SUM(N71:N87)</f>
        <v>48.200613702968781</v>
      </c>
      <c r="O88" s="133">
        <f t="shared" ref="O88" si="42">SUM(O71:O87)</f>
        <v>51.161376515527451</v>
      </c>
      <c r="P88" s="133">
        <f t="shared" ref="P88" si="43">SUM(P71:P87)</f>
        <v>51.211606736969749</v>
      </c>
      <c r="Q88" s="133">
        <f t="shared" ref="Q88" si="44">SUM(Q71:Q87)</f>
        <v>51.246058698643608</v>
      </c>
      <c r="R88" s="133">
        <f t="shared" ref="R88" si="45">SUM(R71:R87)</f>
        <v>51.290594945551661</v>
      </c>
      <c r="S88" s="133">
        <f t="shared" ref="S88" si="46">SUM(S71:S87)</f>
        <v>51.337213899938227</v>
      </c>
      <c r="U88" s="133">
        <f t="shared" ref="U88:V88" si="47">SUM(U71:U87)</f>
        <v>51.249370159326133</v>
      </c>
      <c r="V88" s="133">
        <f t="shared" si="47"/>
        <v>256.24685079663072</v>
      </c>
    </row>
    <row r="89" spans="3:22" x14ac:dyDescent="0.35">
      <c r="J89" s="148"/>
      <c r="K89" s="148"/>
      <c r="L89" s="148"/>
      <c r="M89" s="148"/>
      <c r="N89" s="148"/>
      <c r="O89" s="148"/>
      <c r="P89" s="148"/>
      <c r="Q89" s="148"/>
      <c r="R89" s="148"/>
      <c r="S89" s="148"/>
      <c r="U89" s="148"/>
      <c r="V89" s="148"/>
    </row>
    <row r="90" spans="3:22" x14ac:dyDescent="0.35">
      <c r="C90" s="5" t="str">
        <f>InpC!$F$51</f>
        <v>WWS1103CAS</v>
      </c>
      <c r="D90" s="5" t="str">
        <f>InpC!$E$51</f>
        <v>Other expenditure - Costs associated with Traffic Management Act - Total</v>
      </c>
      <c r="F90" s="131">
        <f>MATCH(D90,APRChoices,0)</f>
        <v>4</v>
      </c>
      <c r="G90" s="22" t="s">
        <v>125</v>
      </c>
      <c r="J90" s="74">
        <f>J$2</f>
        <v>44286</v>
      </c>
      <c r="K90" s="74">
        <f t="shared" ref="K90:V90" si="48">K$2</f>
        <v>44651</v>
      </c>
      <c r="L90" s="74">
        <f t="shared" si="48"/>
        <v>45016</v>
      </c>
      <c r="M90" s="74">
        <f t="shared" si="48"/>
        <v>45382</v>
      </c>
      <c r="N90" s="74">
        <f t="shared" si="48"/>
        <v>45747</v>
      </c>
      <c r="O90" s="74">
        <f t="shared" si="48"/>
        <v>46112</v>
      </c>
      <c r="P90" s="74">
        <f t="shared" si="48"/>
        <v>46477</v>
      </c>
      <c r="Q90" s="74">
        <f t="shared" si="48"/>
        <v>46843</v>
      </c>
      <c r="R90" s="74">
        <f t="shared" si="48"/>
        <v>47208</v>
      </c>
      <c r="S90" s="74">
        <f t="shared" si="48"/>
        <v>47573</v>
      </c>
      <c r="U90" s="74" t="str">
        <f t="shared" si="48"/>
        <v>PR24 Average</v>
      </c>
      <c r="V90" s="74" t="str">
        <f t="shared" si="48"/>
        <v>PR24 Total</v>
      </c>
    </row>
    <row r="91" spans="3:22" x14ac:dyDescent="0.35">
      <c r="C91" s="5" t="str">
        <f>INDEX(InpC!$G$57:$G$62,'Traffic Management Act'!F90,)</f>
        <v>CWW2_011TOT_PR24</v>
      </c>
      <c r="D91" s="5" t="str">
        <f>INDEX(InpC!$G$48:$G$53,'Traffic Management Act'!F90,)</f>
        <v>Location specific costs &amp; obligations - Costs associated with Traffic Management Act - Total</v>
      </c>
      <c r="G91" s="22" t="s">
        <v>126</v>
      </c>
      <c r="J91" s="74"/>
      <c r="K91" s="74"/>
      <c r="L91" s="74"/>
      <c r="M91" s="74"/>
      <c r="N91" s="74"/>
      <c r="O91" s="74"/>
      <c r="P91" s="74"/>
      <c r="Q91" s="74"/>
      <c r="R91" s="74"/>
      <c r="S91" s="74"/>
      <c r="U91" s="74"/>
      <c r="V91" s="74"/>
    </row>
    <row r="92" spans="3:22" collapsed="1" x14ac:dyDescent="0.35">
      <c r="E92" s="5" t="s">
        <v>176</v>
      </c>
    </row>
    <row r="93" spans="3:22" hidden="1" outlineLevel="1" x14ac:dyDescent="0.35"/>
    <row r="94" spans="3:22" hidden="1" outlineLevel="1" x14ac:dyDescent="0.35">
      <c r="E94" s="130" t="s">
        <v>177</v>
      </c>
      <c r="J94" s="8"/>
      <c r="K94" s="8"/>
      <c r="L94" s="8"/>
      <c r="M94" s="8"/>
      <c r="N94" s="8"/>
      <c r="O94" s="8"/>
      <c r="P94" s="8"/>
      <c r="Q94" s="8"/>
      <c r="R94" s="8"/>
      <c r="S94" s="8"/>
      <c r="U94" s="8"/>
      <c r="V94" s="8"/>
    </row>
    <row r="95" spans="3:22" hidden="1" outlineLevel="1" x14ac:dyDescent="0.35">
      <c r="E95" s="129">
        <f>InpT!$F$8</f>
        <v>45016</v>
      </c>
      <c r="G95" s="22" t="s">
        <v>178</v>
      </c>
      <c r="J95" s="8"/>
      <c r="K95" s="8"/>
      <c r="L95" s="8"/>
      <c r="M95" s="8"/>
      <c r="N95" s="8"/>
      <c r="O95" s="8"/>
      <c r="P95" s="8"/>
      <c r="Q95" s="8"/>
      <c r="R95" s="8"/>
      <c r="S95" s="8"/>
      <c r="U95" s="8"/>
      <c r="V95" s="8"/>
    </row>
    <row r="96" spans="3:22" hidden="1" outlineLevel="1" x14ac:dyDescent="0.35">
      <c r="E96" s="129"/>
      <c r="J96" s="8"/>
      <c r="K96" s="8"/>
      <c r="L96" s="8"/>
      <c r="M96" s="8"/>
      <c r="N96" s="8"/>
      <c r="O96" s="8"/>
      <c r="P96" s="8"/>
      <c r="Q96" s="8"/>
      <c r="R96" s="8"/>
      <c r="S96" s="8"/>
      <c r="U96" s="8"/>
      <c r="V96" s="8"/>
    </row>
    <row r="97" spans="5:22" hidden="1" outlineLevel="1" x14ac:dyDescent="0.35">
      <c r="E97" s="10" t="str">
        <f>InpC!$E$25</f>
        <v>Anglian Water</v>
      </c>
      <c r="F97" s="10" t="str">
        <f>InpC!$F$25</f>
        <v>ANH</v>
      </c>
      <c r="G97" s="22" t="s">
        <v>34</v>
      </c>
      <c r="J97" s="111">
        <f>SUMIFS('Consolidated Input'!F$6:F$209,'Consolidated Input'!$A$6:$A$209,$F97,'Consolidated Input'!$B$6:$B$209,$C$90)*J$10*Time!J$29</f>
        <v>0.18608224299065421</v>
      </c>
      <c r="K97" s="111">
        <f>SUMIFS('Consolidated Input'!G$6:G$209,'Consolidated Input'!$A$6:$A$209,$F97,'Consolidated Input'!$B$6:$B$209,$C$90)*K$10*Time!K$29</f>
        <v>4.2981997247001531E-2</v>
      </c>
      <c r="L97" s="111">
        <f>SUMIFS('Consolidated Input'!H$6:H$209,'Consolidated Input'!$A$6:$A$209,$F97,'Consolidated Input'!$B$6:$B$209,$C$90)*L$10*Time!L$29</f>
        <v>8.2000000000000003E-2</v>
      </c>
      <c r="M97" s="111">
        <f>SUMIFS('Consolidated Input'!S$6:S$209,'Consolidated Input'!$A$6:$A$209,$F97,'Consolidated Input'!$B$6:$B$209,$C$91)</f>
        <v>5.5899471252566738E-2</v>
      </c>
      <c r="N97" s="111">
        <f>SUMIFS('Consolidated Input'!T$6:T$209,'Consolidated Input'!$A$6:$A$209,$F97,'Consolidated Input'!$B$6:$B$209,$C$91)</f>
        <v>8.0419551962904054E-2</v>
      </c>
      <c r="O97" s="111">
        <f>SUMIFS('Consolidated Input'!U$6:U$209,'Consolidated Input'!$A$6:$A$209,$F97,'Consolidated Input'!$B$6:$B$209,$C$91)</f>
        <v>8.3699999999999997E-2</v>
      </c>
      <c r="P97" s="111">
        <f>SUMIFS('Consolidated Input'!V$6:V$209,'Consolidated Input'!$A$6:$A$209,$F97,'Consolidated Input'!$B$6:$B$209,$C$91)</f>
        <v>8.3699999999999997E-2</v>
      </c>
      <c r="Q97" s="111">
        <f>SUMIFS('Consolidated Input'!W$6:W$209,'Consolidated Input'!$A$6:$A$209,$F97,'Consolidated Input'!$B$6:$B$209,$C$91)</f>
        <v>8.3699999999999997E-2</v>
      </c>
      <c r="R97" s="111">
        <f>SUMIFS('Consolidated Input'!X$6:X$209,'Consolidated Input'!$A$6:$A$209,$F97,'Consolidated Input'!$B$6:$B$209,$C$91)</f>
        <v>8.3699999999999997E-2</v>
      </c>
      <c r="S97" s="111">
        <f>SUMIFS('Consolidated Input'!Y$6:Y$209,'Consolidated Input'!$A$6:$A$209,$F97,'Consolidated Input'!$B$6:$B$209,$C$91)</f>
        <v>8.3699999999999997E-2</v>
      </c>
      <c r="U97" s="111">
        <f t="shared" ref="U97:U113" si="49">IFERROR(AVERAGE(O97:S97),0)</f>
        <v>8.3699999999999997E-2</v>
      </c>
      <c r="V97" s="111">
        <f t="shared" ref="V97:V113" si="50">SUM(O97:S97)</f>
        <v>0.41849999999999998</v>
      </c>
    </row>
    <row r="98" spans="5:22" hidden="1" outlineLevel="1" x14ac:dyDescent="0.35">
      <c r="E98" s="10" t="str">
        <f>InpC!$E$26</f>
        <v>Dŵr Cymru</v>
      </c>
      <c r="F98" s="10" t="str">
        <f>InpC!$F$26</f>
        <v>WSH</v>
      </c>
      <c r="G98" s="22" t="s">
        <v>34</v>
      </c>
      <c r="J98" s="111">
        <f>SUMIFS('Consolidated Input'!F$6:F$209,'Consolidated Input'!$A$6:$A$209,$F98,'Consolidated Input'!$B$6:$B$209,$C$90)*J$10*Time!J$29</f>
        <v>3.6807476635514015E-2</v>
      </c>
      <c r="K98" s="111">
        <f>SUMIFS('Consolidated Input'!G$6:G$209,'Consolidated Input'!$A$6:$A$209,$F98,'Consolidated Input'!$B$6:$B$209,$C$90)*K$10*Time!K$29</f>
        <v>0</v>
      </c>
      <c r="L98" s="111">
        <f>SUMIFS('Consolidated Input'!H$6:H$209,'Consolidated Input'!$A$6:$A$209,$F98,'Consolidated Input'!$B$6:$B$209,$C$90)*L$10*Time!L$29</f>
        <v>9.2999999999999999E-2</v>
      </c>
      <c r="M98" s="111">
        <f>SUMIFS('Consolidated Input'!S$6:S$209,'Consolidated Input'!$A$6:$A$209,$F98,'Consolidated Input'!$B$6:$B$209,$C$91)</f>
        <v>2.1999999999999999E-2</v>
      </c>
      <c r="N98" s="111">
        <f>SUMIFS('Consolidated Input'!T$6:T$209,'Consolidated Input'!$A$6:$A$209,$F98,'Consolidated Input'!$B$6:$B$209,$C$91)</f>
        <v>4.3999999999999997E-2</v>
      </c>
      <c r="O98" s="111">
        <f>SUMIFS('Consolidated Input'!U$6:U$209,'Consolidated Input'!$A$6:$A$209,$F98,'Consolidated Input'!$B$6:$B$209,$C$91)</f>
        <v>2.7E-2</v>
      </c>
      <c r="P98" s="111">
        <f>SUMIFS('Consolidated Input'!V$6:V$209,'Consolidated Input'!$A$6:$A$209,$F98,'Consolidated Input'!$B$6:$B$209,$C$91)</f>
        <v>2.5000000000000001E-2</v>
      </c>
      <c r="Q98" s="111">
        <f>SUMIFS('Consolidated Input'!W$6:W$209,'Consolidated Input'!$A$6:$A$209,$F98,'Consolidated Input'!$B$6:$B$209,$C$91)</f>
        <v>2.5000000000000001E-2</v>
      </c>
      <c r="R98" s="111">
        <f>SUMIFS('Consolidated Input'!X$6:X$209,'Consolidated Input'!$A$6:$A$209,$F98,'Consolidated Input'!$B$6:$B$209,$C$91)</f>
        <v>2.4E-2</v>
      </c>
      <c r="S98" s="111">
        <f>SUMIFS('Consolidated Input'!Y$6:Y$209,'Consolidated Input'!$A$6:$A$209,$F98,'Consolidated Input'!$B$6:$B$209,$C$91)</f>
        <v>2.4E-2</v>
      </c>
      <c r="U98" s="111">
        <f t="shared" si="49"/>
        <v>2.5000000000000001E-2</v>
      </c>
      <c r="V98" s="111">
        <f t="shared" si="50"/>
        <v>0.125</v>
      </c>
    </row>
    <row r="99" spans="5:22" hidden="1" outlineLevel="1" x14ac:dyDescent="0.35">
      <c r="E99" s="10" t="str">
        <f>InpC!$E$27</f>
        <v>Hafren Dyfrdwy</v>
      </c>
      <c r="F99" s="10" t="str">
        <f>InpC!$F$27</f>
        <v>HDD</v>
      </c>
      <c r="G99" s="22" t="s">
        <v>34</v>
      </c>
      <c r="J99" s="111">
        <f>SUMIFS('Consolidated Input'!F$6:F$209,'Consolidated Input'!$A$6:$A$209,$F99,'Consolidated Input'!$B$6:$B$209,$C$90)*J$10*Time!J$29</f>
        <v>0</v>
      </c>
      <c r="K99" s="111">
        <f>SUMIFS('Consolidated Input'!G$6:G$209,'Consolidated Input'!$A$6:$A$209,$F99,'Consolidated Input'!$B$6:$B$209,$C$90)*K$10*Time!K$29</f>
        <v>0</v>
      </c>
      <c r="L99" s="111">
        <f>SUMIFS('Consolidated Input'!H$6:H$209,'Consolidated Input'!$A$6:$A$209,$F99,'Consolidated Input'!$B$6:$B$209,$C$90)*L$10*Time!L$29</f>
        <v>0</v>
      </c>
      <c r="M99" s="111">
        <f>SUMIFS('Consolidated Input'!S$6:S$209,'Consolidated Input'!$A$6:$A$209,$F99,'Consolidated Input'!$B$6:$B$209,$C$91)</f>
        <v>0</v>
      </c>
      <c r="N99" s="111">
        <f>SUMIFS('Consolidated Input'!T$6:T$209,'Consolidated Input'!$A$6:$A$209,$F99,'Consolidated Input'!$B$6:$B$209,$C$91)</f>
        <v>0</v>
      </c>
      <c r="O99" s="111">
        <f>SUMIFS('Consolidated Input'!U$6:U$209,'Consolidated Input'!$A$6:$A$209,$F99,'Consolidated Input'!$B$6:$B$209,$C$91)</f>
        <v>0</v>
      </c>
      <c r="P99" s="111">
        <f>SUMIFS('Consolidated Input'!V$6:V$209,'Consolidated Input'!$A$6:$A$209,$F99,'Consolidated Input'!$B$6:$B$209,$C$91)</f>
        <v>0</v>
      </c>
      <c r="Q99" s="111">
        <f>SUMIFS('Consolidated Input'!W$6:W$209,'Consolidated Input'!$A$6:$A$209,$F99,'Consolidated Input'!$B$6:$B$209,$C$91)</f>
        <v>0</v>
      </c>
      <c r="R99" s="111">
        <f>SUMIFS('Consolidated Input'!X$6:X$209,'Consolidated Input'!$A$6:$A$209,$F99,'Consolidated Input'!$B$6:$B$209,$C$91)</f>
        <v>0</v>
      </c>
      <c r="S99" s="111">
        <f>SUMIFS('Consolidated Input'!Y$6:Y$209,'Consolidated Input'!$A$6:$A$209,$F99,'Consolidated Input'!$B$6:$B$209,$C$91)</f>
        <v>0</v>
      </c>
      <c r="U99" s="111">
        <f t="shared" si="49"/>
        <v>0</v>
      </c>
      <c r="V99" s="111">
        <f t="shared" si="50"/>
        <v>0</v>
      </c>
    </row>
    <row r="100" spans="5:22" hidden="1" outlineLevel="1" x14ac:dyDescent="0.35">
      <c r="E100" s="10" t="str">
        <f>InpC!$E$28</f>
        <v>Northumbrian Water</v>
      </c>
      <c r="F100" s="10" t="str">
        <f>InpC!$F$28</f>
        <v>NES</v>
      </c>
      <c r="G100" s="22" t="s">
        <v>34</v>
      </c>
      <c r="J100" s="111">
        <f>SUMIFS('Consolidated Input'!F$6:F$209,'Consolidated Input'!$A$6:$A$209,$F100,'Consolidated Input'!$B$6:$B$209,$C$90)*J$10*Time!J$29</f>
        <v>0.13087102803738318</v>
      </c>
      <c r="K100" s="111">
        <f>SUMIFS('Consolidated Input'!G$6:G$209,'Consolidated Input'!$A$6:$A$209,$F100,'Consolidated Input'!$B$6:$B$209,$C$90)*K$10*Time!K$29</f>
        <v>3.4250460405156544E-2</v>
      </c>
      <c r="L100" s="111">
        <f>SUMIFS('Consolidated Input'!H$6:H$209,'Consolidated Input'!$A$6:$A$209,$F100,'Consolidated Input'!$B$6:$B$209,$C$90)*L$10*Time!L$29</f>
        <v>2.1000000000000001E-2</v>
      </c>
      <c r="M100" s="111">
        <f>SUMIFS('Consolidated Input'!S$6:S$209,'Consolidated Input'!$A$6:$A$209,$F100,'Consolidated Input'!$B$6:$B$209,$C$91)</f>
        <v>1.4211691674506781E-2</v>
      </c>
      <c r="N100" s="111">
        <f>SUMIFS('Consolidated Input'!T$6:T$209,'Consolidated Input'!$A$6:$A$209,$F100,'Consolidated Input'!$B$6:$B$209,$C$91)</f>
        <v>2.1000000000000001E-2</v>
      </c>
      <c r="O100" s="111">
        <f>SUMIFS('Consolidated Input'!U$6:U$209,'Consolidated Input'!$A$6:$A$209,$F100,'Consolidated Input'!$B$6:$B$209,$C$91)</f>
        <v>2.1000000000000001E-2</v>
      </c>
      <c r="P100" s="111">
        <f>SUMIFS('Consolidated Input'!V$6:V$209,'Consolidated Input'!$A$6:$A$209,$F100,'Consolidated Input'!$B$6:$B$209,$C$91)</f>
        <v>2.1000000000000001E-2</v>
      </c>
      <c r="Q100" s="111">
        <f>SUMIFS('Consolidated Input'!W$6:W$209,'Consolidated Input'!$A$6:$A$209,$F100,'Consolidated Input'!$B$6:$B$209,$C$91)</f>
        <v>2.1000000000000001E-2</v>
      </c>
      <c r="R100" s="111">
        <f>SUMIFS('Consolidated Input'!X$6:X$209,'Consolidated Input'!$A$6:$A$209,$F100,'Consolidated Input'!$B$6:$B$209,$C$91)</f>
        <v>2.1000000000000001E-2</v>
      </c>
      <c r="S100" s="111">
        <f>SUMIFS('Consolidated Input'!Y$6:Y$209,'Consolidated Input'!$A$6:$A$209,$F100,'Consolidated Input'!$B$6:$B$209,$C$91)</f>
        <v>2.1000000000000001E-2</v>
      </c>
      <c r="U100" s="111">
        <f t="shared" si="49"/>
        <v>2.1000000000000001E-2</v>
      </c>
      <c r="V100" s="111">
        <f t="shared" si="50"/>
        <v>0.10500000000000001</v>
      </c>
    </row>
    <row r="101" spans="5:22" hidden="1" outlineLevel="1" x14ac:dyDescent="0.35">
      <c r="E101" s="10" t="str">
        <f>InpC!$E$29</f>
        <v>Severn Trent Water</v>
      </c>
      <c r="F101" s="10" t="str">
        <f>InpC!$F$29</f>
        <v>SVE</v>
      </c>
      <c r="G101" s="22" t="s">
        <v>34</v>
      </c>
      <c r="J101" s="111">
        <f>SUMIFS('Consolidated Input'!F$6:F$209,'Consolidated Input'!$A$6:$A$209,$F101,'Consolidated Input'!$B$6:$B$209,$C$90)*J$10*Time!J$29</f>
        <v>7.4637383177570099E-2</v>
      </c>
      <c r="K101" s="111">
        <f>SUMIFS('Consolidated Input'!G$6:G$209,'Consolidated Input'!$A$6:$A$209,$F101,'Consolidated Input'!$B$6:$B$209,$C$90)*K$10*Time!K$29</f>
        <v>0.19240699815837942</v>
      </c>
      <c r="L101" s="111">
        <f>SUMIFS('Consolidated Input'!H$6:H$209,'Consolidated Input'!$A$6:$A$209,$F101,'Consolidated Input'!$B$6:$B$209,$C$90)*L$10*Time!L$29</f>
        <v>5.1999999999999998E-2</v>
      </c>
      <c r="M101" s="111">
        <f>SUMIFS('Consolidated Input'!S$6:S$209,'Consolidated Input'!$A$6:$A$209,$F101,'Consolidated Input'!$B$6:$B$209,$C$91)</f>
        <v>0.21911625300000001</v>
      </c>
      <c r="N101" s="111">
        <f>SUMIFS('Consolidated Input'!T$6:T$209,'Consolidated Input'!$A$6:$A$209,$F101,'Consolidated Input'!$B$6:$B$209,$C$91)</f>
        <v>0.22045041800000001</v>
      </c>
      <c r="O101" s="111">
        <f>SUMIFS('Consolidated Input'!U$6:U$209,'Consolidated Input'!$A$6:$A$209,$F101,'Consolidated Input'!$B$6:$B$209,$C$91)</f>
        <v>0.22179270800000001</v>
      </c>
      <c r="P101" s="111">
        <f>SUMIFS('Consolidated Input'!V$6:V$209,'Consolidated Input'!$A$6:$A$209,$F101,'Consolidated Input'!$B$6:$B$209,$C$91)</f>
        <v>0.223143169</v>
      </c>
      <c r="Q101" s="111">
        <f>SUMIFS('Consolidated Input'!W$6:W$209,'Consolidated Input'!$A$6:$A$209,$F101,'Consolidated Input'!$B$6:$B$209,$C$91)</f>
        <v>0.224501856</v>
      </c>
      <c r="R101" s="111">
        <f>SUMIFS('Consolidated Input'!X$6:X$209,'Consolidated Input'!$A$6:$A$209,$F101,'Consolidated Input'!$B$6:$B$209,$C$91)</f>
        <v>0.225868813</v>
      </c>
      <c r="S101" s="111">
        <f>SUMIFS('Consolidated Input'!Y$6:Y$209,'Consolidated Input'!$A$6:$A$209,$F101,'Consolidated Input'!$B$6:$B$209,$C$91)</f>
        <v>0.22724409600000001</v>
      </c>
      <c r="U101" s="111">
        <f t="shared" si="49"/>
        <v>0.22451012840000001</v>
      </c>
      <c r="V101" s="111">
        <f t="shared" si="50"/>
        <v>1.122550642</v>
      </c>
    </row>
    <row r="102" spans="5:22" hidden="1" outlineLevel="1" x14ac:dyDescent="0.35">
      <c r="E102" s="10" t="str">
        <f>InpC!$E$30</f>
        <v>Southern Water</v>
      </c>
      <c r="F102" s="10" t="str">
        <f>InpC!$F$30</f>
        <v>SRN</v>
      </c>
      <c r="G102" s="22" t="s">
        <v>34</v>
      </c>
      <c r="J102" s="111">
        <f>SUMIFS('Consolidated Input'!F$6:F$209,'Consolidated Input'!$A$6:$A$209,$F102,'Consolidated Input'!$B$6:$B$209,$C$90)*J$10*Time!J$29</f>
        <v>0.13496074766355143</v>
      </c>
      <c r="K102" s="111">
        <f>SUMIFS('Consolidated Input'!G$6:G$209,'Consolidated Input'!$A$6:$A$209,$F102,'Consolidated Input'!$B$6:$B$209,$C$90)*K$10*Time!K$29</f>
        <v>0.12491344383057093</v>
      </c>
      <c r="L102" s="111">
        <f>SUMIFS('Consolidated Input'!H$6:H$209,'Consolidated Input'!$A$6:$A$209,$F102,'Consolidated Input'!$B$6:$B$209,$C$90)*L$10*Time!L$29</f>
        <v>0.16500000000000001</v>
      </c>
      <c r="M102" s="111">
        <f>SUMIFS('Consolidated Input'!S$6:S$209,'Consolidated Input'!$A$6:$A$209,$F102,'Consolidated Input'!$B$6:$B$209,$C$91)</f>
        <v>0.16900000000000001</v>
      </c>
      <c r="N102" s="111">
        <f>SUMIFS('Consolidated Input'!T$6:T$209,'Consolidated Input'!$A$6:$A$209,$F102,'Consolidated Input'!$B$6:$B$209,$C$91)</f>
        <v>0.25900000000000001</v>
      </c>
      <c r="O102" s="111">
        <f>SUMIFS('Consolidated Input'!U$6:U$209,'Consolidated Input'!$A$6:$A$209,$F102,'Consolidated Input'!$B$6:$B$209,$C$91)</f>
        <v>0.25952052086028288</v>
      </c>
      <c r="P102" s="111">
        <f>SUMIFS('Consolidated Input'!V$6:V$209,'Consolidated Input'!$A$6:$A$209,$F102,'Consolidated Input'!$B$6:$B$209,$C$91)</f>
        <v>0.25952052086028288</v>
      </c>
      <c r="Q102" s="111">
        <f>SUMIFS('Consolidated Input'!W$6:W$209,'Consolidated Input'!$A$6:$A$209,$F102,'Consolidated Input'!$B$6:$B$209,$C$91)</f>
        <v>0.25952052086028288</v>
      </c>
      <c r="R102" s="111">
        <f>SUMIFS('Consolidated Input'!X$6:X$209,'Consolidated Input'!$A$6:$A$209,$F102,'Consolidated Input'!$B$6:$B$209,$C$91)</f>
        <v>0.25952052086028288</v>
      </c>
      <c r="S102" s="111">
        <f>SUMIFS('Consolidated Input'!Y$6:Y$209,'Consolidated Input'!$A$6:$A$209,$F102,'Consolidated Input'!$B$6:$B$209,$C$91)</f>
        <v>0.25952052086028288</v>
      </c>
      <c r="U102" s="111">
        <f t="shared" si="49"/>
        <v>0.25952052086028288</v>
      </c>
      <c r="V102" s="111">
        <f t="shared" si="50"/>
        <v>1.2976026043014144</v>
      </c>
    </row>
    <row r="103" spans="5:22" hidden="1" outlineLevel="1" x14ac:dyDescent="0.35">
      <c r="E103" s="10" t="str">
        <f>InpC!$E$31</f>
        <v>Thames Water</v>
      </c>
      <c r="F103" s="10" t="str">
        <f>InpC!$F$31</f>
        <v>TMS</v>
      </c>
      <c r="G103" s="22" t="s">
        <v>34</v>
      </c>
      <c r="J103" s="111">
        <f>SUMIFS('Consolidated Input'!F$6:F$209,'Consolidated Input'!$A$6:$A$209,$F103,'Consolidated Input'!$B$6:$B$209,$C$90)*J$10*Time!J$29</f>
        <v>1.4477607476635515</v>
      </c>
      <c r="K103" s="111">
        <f>SUMIFS('Consolidated Input'!G$6:G$209,'Consolidated Input'!$A$6:$A$209,$F103,'Consolidated Input'!$B$6:$B$209,$C$90)*K$10*Time!K$29</f>
        <v>2.3360828729281771</v>
      </c>
      <c r="L103" s="111">
        <f>SUMIFS('Consolidated Input'!H$6:H$209,'Consolidated Input'!$A$6:$A$209,$F103,'Consolidated Input'!$B$6:$B$209,$C$90)*L$10*Time!L$29</f>
        <v>0.64900000000000002</v>
      </c>
      <c r="M103" s="111">
        <f>SUMIFS('Consolidated Input'!S$6:S$209,'Consolidated Input'!$A$6:$A$209,$F103,'Consolidated Input'!$B$6:$B$209,$C$91)</f>
        <v>0.96489563567362335</v>
      </c>
      <c r="N103" s="111">
        <f>SUMIFS('Consolidated Input'!T$6:T$209,'Consolidated Input'!$A$6:$A$209,$F103,'Consolidated Input'!$B$6:$B$209,$C$91)</f>
        <v>0.55000000000000004</v>
      </c>
      <c r="O103" s="111">
        <f>SUMIFS('Consolidated Input'!U$6:U$209,'Consolidated Input'!$A$6:$A$209,$F103,'Consolidated Input'!$B$6:$B$209,$C$91)</f>
        <v>0.56400000000000006</v>
      </c>
      <c r="P103" s="111">
        <f>SUMIFS('Consolidated Input'!V$6:V$209,'Consolidated Input'!$A$6:$A$209,$F103,'Consolidated Input'!$B$6:$B$209,$C$91)</f>
        <v>0.56400000000000006</v>
      </c>
      <c r="Q103" s="111">
        <f>SUMIFS('Consolidated Input'!W$6:W$209,'Consolidated Input'!$A$6:$A$209,$F103,'Consolidated Input'!$B$6:$B$209,$C$91)</f>
        <v>0.56400000000000006</v>
      </c>
      <c r="R103" s="111">
        <f>SUMIFS('Consolidated Input'!X$6:X$209,'Consolidated Input'!$A$6:$A$209,$F103,'Consolidated Input'!$B$6:$B$209,$C$91)</f>
        <v>0.55100000000000005</v>
      </c>
      <c r="S103" s="111">
        <f>SUMIFS('Consolidated Input'!Y$6:Y$209,'Consolidated Input'!$A$6:$A$209,$F103,'Consolidated Input'!$B$6:$B$209,$C$91)</f>
        <v>0.55100000000000005</v>
      </c>
      <c r="U103" s="111">
        <f t="shared" si="49"/>
        <v>0.55880000000000007</v>
      </c>
      <c r="V103" s="111">
        <f t="shared" si="50"/>
        <v>2.7940000000000005</v>
      </c>
    </row>
    <row r="104" spans="5:22" hidden="1" outlineLevel="1" x14ac:dyDescent="0.35">
      <c r="E104" s="10" t="str">
        <f>InpC!$E$32</f>
        <v>United Utilities</v>
      </c>
      <c r="F104" s="10" t="str">
        <f>InpC!$F$32</f>
        <v>NWT</v>
      </c>
      <c r="G104" s="22" t="s">
        <v>34</v>
      </c>
      <c r="J104" s="111">
        <f>SUMIFS('Consolidated Input'!F$6:F$209,'Consolidated Input'!$A$6:$A$209,$F104,'Consolidated Input'!$B$6:$B$209,$C$90)*J$10*Time!J$29</f>
        <v>0.2856021227092686</v>
      </c>
      <c r="K104" s="111">
        <f>SUMIFS('Consolidated Input'!G$6:G$209,'Consolidated Input'!$A$6:$A$209,$F104,'Consolidated Input'!$B$6:$B$209,$C$90)*K$10*Time!K$29</f>
        <v>0.48528858277783932</v>
      </c>
      <c r="L104" s="111">
        <f>SUMIFS('Consolidated Input'!H$6:H$209,'Consolidated Input'!$A$6:$A$209,$F104,'Consolidated Input'!$B$6:$B$209,$C$90)*L$10*Time!L$29</f>
        <v>0.64722937905458577</v>
      </c>
      <c r="M104" s="111">
        <f>SUMIFS('Consolidated Input'!S$6:S$209,'Consolidated Input'!$A$6:$A$209,$F104,'Consolidated Input'!$B$6:$B$209,$C$91)</f>
        <v>0.50096218745529963</v>
      </c>
      <c r="N104" s="111">
        <f>SUMIFS('Consolidated Input'!T$6:T$209,'Consolidated Input'!$A$6:$A$209,$F104,'Consolidated Input'!$B$6:$B$209,$C$91)</f>
        <v>0.36829385253366581</v>
      </c>
      <c r="O104" s="111">
        <f>SUMIFS('Consolidated Input'!U$6:U$209,'Consolidated Input'!$A$6:$A$209,$F104,'Consolidated Input'!$B$6:$B$209,$C$91)</f>
        <v>0.36827090730579631</v>
      </c>
      <c r="P104" s="111">
        <f>SUMIFS('Consolidated Input'!V$6:V$209,'Consolidated Input'!$A$6:$A$209,$F104,'Consolidated Input'!$B$6:$B$209,$C$91)</f>
        <v>0.36827090730579631</v>
      </c>
      <c r="Q104" s="111">
        <f>SUMIFS('Consolidated Input'!W$6:W$209,'Consolidated Input'!$A$6:$A$209,$F104,'Consolidated Input'!$B$6:$B$209,$C$91)</f>
        <v>0.36827090730579631</v>
      </c>
      <c r="R104" s="111">
        <f>SUMIFS('Consolidated Input'!X$6:X$209,'Consolidated Input'!$A$6:$A$209,$F104,'Consolidated Input'!$B$6:$B$209,$C$91)</f>
        <v>0.36827090730579631</v>
      </c>
      <c r="S104" s="111">
        <f>SUMIFS('Consolidated Input'!Y$6:Y$209,'Consolidated Input'!$A$6:$A$209,$F104,'Consolidated Input'!$B$6:$B$209,$C$91)</f>
        <v>0.36827090730579631</v>
      </c>
      <c r="U104" s="111">
        <f t="shared" si="49"/>
        <v>0.36827090730579631</v>
      </c>
      <c r="V104" s="111">
        <f t="shared" si="50"/>
        <v>1.8413545365289816</v>
      </c>
    </row>
    <row r="105" spans="5:22" hidden="1" outlineLevel="1" x14ac:dyDescent="0.35">
      <c r="E105" s="10" t="str">
        <f>InpC!$E$33</f>
        <v>Wessex Water</v>
      </c>
      <c r="F105" s="10" t="str">
        <f>InpC!$F$33</f>
        <v>WSX</v>
      </c>
      <c r="G105" s="22" t="s">
        <v>34</v>
      </c>
      <c r="J105" s="111">
        <f>SUMIFS('Consolidated Input'!F$6:F$209,'Consolidated Input'!$A$6:$A$209,$F105,'Consolidated Input'!$B$6:$B$209,$C$90)*J$10*Time!J$29</f>
        <v>9.8964057943925349E-3</v>
      </c>
      <c r="K105" s="111">
        <f>SUMIFS('Consolidated Input'!G$6:G$209,'Consolidated Input'!$A$6:$A$209,$F105,'Consolidated Input'!$B$6:$B$209,$C$90)*K$10*Time!K$29</f>
        <v>1.9139963167587482E-2</v>
      </c>
      <c r="L105" s="111">
        <f>SUMIFS('Consolidated Input'!H$6:H$209,'Consolidated Input'!$A$6:$A$209,$F105,'Consolidated Input'!$B$6:$B$209,$C$90)*L$10*Time!L$29</f>
        <v>2.5999999999999999E-2</v>
      </c>
      <c r="M105" s="111">
        <f>SUMIFS('Consolidated Input'!S$6:S$209,'Consolidated Input'!$A$6:$A$209,$F105,'Consolidated Input'!$B$6:$B$209,$C$91)</f>
        <v>1.9896368069815189E-2</v>
      </c>
      <c r="N105" s="111">
        <f>SUMIFS('Consolidated Input'!T$6:T$209,'Consolidated Input'!$A$6:$A$209,$F105,'Consolidated Input'!$B$6:$B$209,$C$91)</f>
        <v>0</v>
      </c>
      <c r="O105" s="111">
        <f>SUMIFS('Consolidated Input'!U$6:U$209,'Consolidated Input'!$A$6:$A$209,$F105,'Consolidated Input'!$B$6:$B$209,$C$91)</f>
        <v>0</v>
      </c>
      <c r="P105" s="111">
        <f>SUMIFS('Consolidated Input'!V$6:V$209,'Consolidated Input'!$A$6:$A$209,$F105,'Consolidated Input'!$B$6:$B$209,$C$91)</f>
        <v>0</v>
      </c>
      <c r="Q105" s="111">
        <f>SUMIFS('Consolidated Input'!W$6:W$209,'Consolidated Input'!$A$6:$A$209,$F105,'Consolidated Input'!$B$6:$B$209,$C$91)</f>
        <v>0</v>
      </c>
      <c r="R105" s="111">
        <f>SUMIFS('Consolidated Input'!X$6:X$209,'Consolidated Input'!$A$6:$A$209,$F105,'Consolidated Input'!$B$6:$B$209,$C$91)</f>
        <v>0</v>
      </c>
      <c r="S105" s="111">
        <f>SUMIFS('Consolidated Input'!Y$6:Y$209,'Consolidated Input'!$A$6:$A$209,$F105,'Consolidated Input'!$B$6:$B$209,$C$91)</f>
        <v>0</v>
      </c>
      <c r="U105" s="111">
        <f t="shared" si="49"/>
        <v>0</v>
      </c>
      <c r="V105" s="111">
        <f t="shared" si="50"/>
        <v>0</v>
      </c>
    </row>
    <row r="106" spans="5:22" hidden="1" outlineLevel="1" x14ac:dyDescent="0.35">
      <c r="E106" s="10" t="str">
        <f>InpC!$E$34</f>
        <v>Yorkshire Water</v>
      </c>
      <c r="F106" s="10" t="str">
        <f>InpC!$F$34</f>
        <v>YKY</v>
      </c>
      <c r="G106" s="22" t="s">
        <v>34</v>
      </c>
      <c r="J106" s="111">
        <f>SUMIFS('Consolidated Input'!F$6:F$209,'Consolidated Input'!$A$6:$A$209,$F106,'Consolidated Input'!$B$6:$B$209,$C$90)*J$10*Time!J$29</f>
        <v>0.30468411214953273</v>
      </c>
      <c r="K106" s="111">
        <f>SUMIFS('Consolidated Input'!G$6:G$209,'Consolidated Input'!$A$6:$A$209,$F106,'Consolidated Input'!$B$6:$B$209,$C$90)*K$10*Time!K$29</f>
        <v>0.16722283609576433</v>
      </c>
      <c r="L106" s="111">
        <f>SUMIFS('Consolidated Input'!H$6:H$209,'Consolidated Input'!$A$6:$A$209,$F106,'Consolidated Input'!$B$6:$B$209,$C$90)*L$10*Time!L$29</f>
        <v>0.13171905116610619</v>
      </c>
      <c r="M106" s="111">
        <f>SUMIFS('Consolidated Input'!S$6:S$209,'Consolidated Input'!$A$6:$A$209,$F106,'Consolidated Input'!$B$6:$B$209,$C$91)</f>
        <v>0.22518462756408841</v>
      </c>
      <c r="N106" s="111">
        <f>SUMIFS('Consolidated Input'!T$6:T$209,'Consolidated Input'!$A$6:$A$209,$F106,'Consolidated Input'!$B$6:$B$209,$C$91)</f>
        <v>0.20161124306834519</v>
      </c>
      <c r="O106" s="111">
        <f>SUMIFS('Consolidated Input'!U$6:U$209,'Consolidated Input'!$A$6:$A$209,$F106,'Consolidated Input'!$B$6:$B$209,$C$91)</f>
        <v>0.1437048424289008</v>
      </c>
      <c r="P106" s="111">
        <f>SUMIFS('Consolidated Input'!V$6:V$209,'Consolidated Input'!$A$6:$A$209,$F106,'Consolidated Input'!$B$6:$B$209,$C$91)</f>
        <v>0.1437048424289008</v>
      </c>
      <c r="Q106" s="111">
        <f>SUMIFS('Consolidated Input'!W$6:W$209,'Consolidated Input'!$A$6:$A$209,$F106,'Consolidated Input'!$B$6:$B$209,$C$91)</f>
        <v>0.1437048424289008</v>
      </c>
      <c r="R106" s="111">
        <f>SUMIFS('Consolidated Input'!X$6:X$209,'Consolidated Input'!$A$6:$A$209,$F106,'Consolidated Input'!$B$6:$B$209,$C$91)</f>
        <v>0.1437048424289008</v>
      </c>
      <c r="S106" s="111">
        <f>SUMIFS('Consolidated Input'!Y$6:Y$209,'Consolidated Input'!$A$6:$A$209,$F106,'Consolidated Input'!$B$6:$B$209,$C$91)</f>
        <v>0.1437048424289008</v>
      </c>
      <c r="U106" s="111">
        <f t="shared" si="49"/>
        <v>0.1437048424289008</v>
      </c>
      <c r="V106" s="111">
        <f t="shared" si="50"/>
        <v>0.71852421214450402</v>
      </c>
    </row>
    <row r="107" spans="5:22" hidden="1" outlineLevel="1" x14ac:dyDescent="0.35">
      <c r="E107" s="10" t="str">
        <f>InpC!$E$35</f>
        <v>Affinity Water</v>
      </c>
      <c r="F107" s="10" t="str">
        <f>InpC!$F$35</f>
        <v>AFW</v>
      </c>
      <c r="G107" s="22" t="s">
        <v>34</v>
      </c>
      <c r="J107" s="111">
        <f>SUMIFS('Consolidated Input'!F$6:F$209,'Consolidated Input'!$A$6:$A$209,$F107,'Consolidated Input'!$B$6:$B$209,$C$90)*J$10*Time!J$29</f>
        <v>0</v>
      </c>
      <c r="K107" s="111">
        <f>SUMIFS('Consolidated Input'!G$6:G$209,'Consolidated Input'!$A$6:$A$209,$F107,'Consolidated Input'!$B$6:$B$209,$C$90)*K$10*Time!K$29</f>
        <v>0</v>
      </c>
      <c r="L107" s="111">
        <f>SUMIFS('Consolidated Input'!H$6:H$209,'Consolidated Input'!$A$6:$A$209,$F107,'Consolidated Input'!$B$6:$B$209,$C$90)*L$10*Time!L$29</f>
        <v>0</v>
      </c>
      <c r="M107" s="111">
        <f>SUMIFS('Consolidated Input'!S$6:S$209,'Consolidated Input'!$A$6:$A$209,$F107,'Consolidated Input'!$B$6:$B$209,$C$91)</f>
        <v>0</v>
      </c>
      <c r="N107" s="111">
        <f>SUMIFS('Consolidated Input'!T$6:T$209,'Consolidated Input'!$A$6:$A$209,$F107,'Consolidated Input'!$B$6:$B$209,$C$91)</f>
        <v>0</v>
      </c>
      <c r="O107" s="111">
        <f>SUMIFS('Consolidated Input'!U$6:U$209,'Consolidated Input'!$A$6:$A$209,$F107,'Consolidated Input'!$B$6:$B$209,$C$91)</f>
        <v>0</v>
      </c>
      <c r="P107" s="111">
        <f>SUMIFS('Consolidated Input'!V$6:V$209,'Consolidated Input'!$A$6:$A$209,$F107,'Consolidated Input'!$B$6:$B$209,$C$91)</f>
        <v>0</v>
      </c>
      <c r="Q107" s="111">
        <f>SUMIFS('Consolidated Input'!W$6:W$209,'Consolidated Input'!$A$6:$A$209,$F107,'Consolidated Input'!$B$6:$B$209,$C$91)</f>
        <v>0</v>
      </c>
      <c r="R107" s="111">
        <f>SUMIFS('Consolidated Input'!X$6:X$209,'Consolidated Input'!$A$6:$A$209,$F107,'Consolidated Input'!$B$6:$B$209,$C$91)</f>
        <v>0</v>
      </c>
      <c r="S107" s="111">
        <f>SUMIFS('Consolidated Input'!Y$6:Y$209,'Consolidated Input'!$A$6:$A$209,$F107,'Consolidated Input'!$B$6:$B$209,$C$91)</f>
        <v>0</v>
      </c>
      <c r="U107" s="111">
        <f t="shared" si="49"/>
        <v>0</v>
      </c>
      <c r="V107" s="111">
        <f t="shared" si="50"/>
        <v>0</v>
      </c>
    </row>
    <row r="108" spans="5:22" hidden="1" outlineLevel="1" x14ac:dyDescent="0.35">
      <c r="E108" s="10" t="str">
        <f>InpC!$E$36</f>
        <v>Portsmouth Water</v>
      </c>
      <c r="F108" s="10" t="str">
        <f>InpC!$F$36</f>
        <v>PRT</v>
      </c>
      <c r="G108" s="22" t="s">
        <v>34</v>
      </c>
      <c r="J108" s="111">
        <f>SUMIFS('Consolidated Input'!F$6:F$209,'Consolidated Input'!$A$6:$A$209,$F108,'Consolidated Input'!$B$6:$B$209,$C$90)*J$10*Time!J$29</f>
        <v>0</v>
      </c>
      <c r="K108" s="111">
        <f>SUMIFS('Consolidated Input'!G$6:G$209,'Consolidated Input'!$A$6:$A$209,$F108,'Consolidated Input'!$B$6:$B$209,$C$90)*K$10*Time!K$29</f>
        <v>0</v>
      </c>
      <c r="L108" s="111">
        <f>SUMIFS('Consolidated Input'!H$6:H$209,'Consolidated Input'!$A$6:$A$209,$F108,'Consolidated Input'!$B$6:$B$209,$C$90)*L$10*Time!L$29</f>
        <v>0</v>
      </c>
      <c r="M108" s="111">
        <f>SUMIFS('Consolidated Input'!S$6:S$209,'Consolidated Input'!$A$6:$A$209,$F108,'Consolidated Input'!$B$6:$B$209,$C$91)</f>
        <v>0</v>
      </c>
      <c r="N108" s="111">
        <f>SUMIFS('Consolidated Input'!T$6:T$209,'Consolidated Input'!$A$6:$A$209,$F108,'Consolidated Input'!$B$6:$B$209,$C$91)</f>
        <v>0</v>
      </c>
      <c r="O108" s="111">
        <f>SUMIFS('Consolidated Input'!U$6:U$209,'Consolidated Input'!$A$6:$A$209,$F108,'Consolidated Input'!$B$6:$B$209,$C$91)</f>
        <v>0</v>
      </c>
      <c r="P108" s="111">
        <f>SUMIFS('Consolidated Input'!V$6:V$209,'Consolidated Input'!$A$6:$A$209,$F108,'Consolidated Input'!$B$6:$B$209,$C$91)</f>
        <v>0</v>
      </c>
      <c r="Q108" s="111">
        <f>SUMIFS('Consolidated Input'!W$6:W$209,'Consolidated Input'!$A$6:$A$209,$F108,'Consolidated Input'!$B$6:$B$209,$C$91)</f>
        <v>0</v>
      </c>
      <c r="R108" s="111">
        <f>SUMIFS('Consolidated Input'!X$6:X$209,'Consolidated Input'!$A$6:$A$209,$F108,'Consolidated Input'!$B$6:$B$209,$C$91)</f>
        <v>0</v>
      </c>
      <c r="S108" s="111">
        <f>SUMIFS('Consolidated Input'!Y$6:Y$209,'Consolidated Input'!$A$6:$A$209,$F108,'Consolidated Input'!$B$6:$B$209,$C$91)</f>
        <v>0</v>
      </c>
      <c r="U108" s="111">
        <f t="shared" si="49"/>
        <v>0</v>
      </c>
      <c r="V108" s="111">
        <f t="shared" si="50"/>
        <v>0</v>
      </c>
    </row>
    <row r="109" spans="5:22" hidden="1" outlineLevel="1" x14ac:dyDescent="0.35">
      <c r="E109" s="10" t="str">
        <f>InpC!$E$37</f>
        <v>South East Water</v>
      </c>
      <c r="F109" s="10" t="str">
        <f>InpC!$F$37</f>
        <v>SEW</v>
      </c>
      <c r="G109" s="22" t="s">
        <v>34</v>
      </c>
      <c r="J109" s="111">
        <f>SUMIFS('Consolidated Input'!F$6:F$209,'Consolidated Input'!$A$6:$A$209,$F109,'Consolidated Input'!$B$6:$B$209,$C$90)*J$10*Time!J$29</f>
        <v>0</v>
      </c>
      <c r="K109" s="111">
        <f>SUMIFS('Consolidated Input'!G$6:G$209,'Consolidated Input'!$A$6:$A$209,$F109,'Consolidated Input'!$B$6:$B$209,$C$90)*K$10*Time!K$29</f>
        <v>0</v>
      </c>
      <c r="L109" s="111">
        <f>SUMIFS('Consolidated Input'!H$6:H$209,'Consolidated Input'!$A$6:$A$209,$F109,'Consolidated Input'!$B$6:$B$209,$C$90)*L$10*Time!L$29</f>
        <v>0</v>
      </c>
      <c r="M109" s="111">
        <f>SUMIFS('Consolidated Input'!S$6:S$209,'Consolidated Input'!$A$6:$A$209,$F109,'Consolidated Input'!$B$6:$B$209,$C$91)</f>
        <v>0</v>
      </c>
      <c r="N109" s="111">
        <f>SUMIFS('Consolidated Input'!T$6:T$209,'Consolidated Input'!$A$6:$A$209,$F109,'Consolidated Input'!$B$6:$B$209,$C$91)</f>
        <v>0</v>
      </c>
      <c r="O109" s="111">
        <f>SUMIFS('Consolidated Input'!U$6:U$209,'Consolidated Input'!$A$6:$A$209,$F109,'Consolidated Input'!$B$6:$B$209,$C$91)</f>
        <v>0</v>
      </c>
      <c r="P109" s="111">
        <f>SUMIFS('Consolidated Input'!V$6:V$209,'Consolidated Input'!$A$6:$A$209,$F109,'Consolidated Input'!$B$6:$B$209,$C$91)</f>
        <v>0</v>
      </c>
      <c r="Q109" s="111">
        <f>SUMIFS('Consolidated Input'!W$6:W$209,'Consolidated Input'!$A$6:$A$209,$F109,'Consolidated Input'!$B$6:$B$209,$C$91)</f>
        <v>0</v>
      </c>
      <c r="R109" s="111">
        <f>SUMIFS('Consolidated Input'!X$6:X$209,'Consolidated Input'!$A$6:$A$209,$F109,'Consolidated Input'!$B$6:$B$209,$C$91)</f>
        <v>0</v>
      </c>
      <c r="S109" s="111">
        <f>SUMIFS('Consolidated Input'!Y$6:Y$209,'Consolidated Input'!$A$6:$A$209,$F109,'Consolidated Input'!$B$6:$B$209,$C$91)</f>
        <v>0</v>
      </c>
      <c r="U109" s="111">
        <f t="shared" si="49"/>
        <v>0</v>
      </c>
      <c r="V109" s="111">
        <f t="shared" si="50"/>
        <v>0</v>
      </c>
    </row>
    <row r="110" spans="5:22" hidden="1" outlineLevel="1" x14ac:dyDescent="0.35">
      <c r="E110" s="10" t="str">
        <f>InpC!$E$38</f>
        <v>South Staffs Water</v>
      </c>
      <c r="F110" s="10" t="str">
        <f>InpC!$F$38</f>
        <v>SSC</v>
      </c>
      <c r="G110" s="22" t="s">
        <v>34</v>
      </c>
      <c r="J110" s="111">
        <f>SUMIFS('Consolidated Input'!F$6:F$209,'Consolidated Input'!$A$6:$A$209,$F110,'Consolidated Input'!$B$6:$B$209,$C$90)*J$10*Time!J$29</f>
        <v>0</v>
      </c>
      <c r="K110" s="111">
        <f>SUMIFS('Consolidated Input'!G$6:G$209,'Consolidated Input'!$A$6:$A$209,$F110,'Consolidated Input'!$B$6:$B$209,$C$90)*K$10*Time!K$29</f>
        <v>0</v>
      </c>
      <c r="L110" s="111">
        <f>SUMIFS('Consolidated Input'!H$6:H$209,'Consolidated Input'!$A$6:$A$209,$F110,'Consolidated Input'!$B$6:$B$209,$C$90)*L$10*Time!L$29</f>
        <v>0</v>
      </c>
      <c r="M110" s="111">
        <f>SUMIFS('Consolidated Input'!S$6:S$209,'Consolidated Input'!$A$6:$A$209,$F110,'Consolidated Input'!$B$6:$B$209,$C$91)</f>
        <v>0</v>
      </c>
      <c r="N110" s="111">
        <f>SUMIFS('Consolidated Input'!T$6:T$209,'Consolidated Input'!$A$6:$A$209,$F110,'Consolidated Input'!$B$6:$B$209,$C$91)</f>
        <v>0</v>
      </c>
      <c r="O110" s="111">
        <f>SUMIFS('Consolidated Input'!U$6:U$209,'Consolidated Input'!$A$6:$A$209,$F110,'Consolidated Input'!$B$6:$B$209,$C$91)</f>
        <v>0</v>
      </c>
      <c r="P110" s="111">
        <f>SUMIFS('Consolidated Input'!V$6:V$209,'Consolidated Input'!$A$6:$A$209,$F110,'Consolidated Input'!$B$6:$B$209,$C$91)</f>
        <v>0</v>
      </c>
      <c r="Q110" s="111">
        <f>SUMIFS('Consolidated Input'!W$6:W$209,'Consolidated Input'!$A$6:$A$209,$F110,'Consolidated Input'!$B$6:$B$209,$C$91)</f>
        <v>0</v>
      </c>
      <c r="R110" s="111">
        <f>SUMIFS('Consolidated Input'!X$6:X$209,'Consolidated Input'!$A$6:$A$209,$F110,'Consolidated Input'!$B$6:$B$209,$C$91)</f>
        <v>0</v>
      </c>
      <c r="S110" s="111">
        <f>SUMIFS('Consolidated Input'!Y$6:Y$209,'Consolidated Input'!$A$6:$A$209,$F110,'Consolidated Input'!$B$6:$B$209,$C$91)</f>
        <v>0</v>
      </c>
      <c r="U110" s="111">
        <f t="shared" si="49"/>
        <v>0</v>
      </c>
      <c r="V110" s="111">
        <f t="shared" si="50"/>
        <v>0</v>
      </c>
    </row>
    <row r="111" spans="5:22" hidden="1" outlineLevel="1" x14ac:dyDescent="0.35">
      <c r="E111" s="10" t="str">
        <f>InpC!$E$39</f>
        <v>SES Water</v>
      </c>
      <c r="F111" s="10" t="str">
        <f>InpC!$F$39</f>
        <v>SES</v>
      </c>
      <c r="G111" s="22" t="s">
        <v>34</v>
      </c>
      <c r="J111" s="111">
        <f>SUMIFS('Consolidated Input'!F$6:F$209,'Consolidated Input'!$A$6:$A$209,$F111,'Consolidated Input'!$B$6:$B$209,$C$90)*J$10*Time!J$29</f>
        <v>0</v>
      </c>
      <c r="K111" s="111">
        <f>SUMIFS('Consolidated Input'!G$6:G$209,'Consolidated Input'!$A$6:$A$209,$F111,'Consolidated Input'!$B$6:$B$209,$C$90)*K$10*Time!K$29</f>
        <v>0</v>
      </c>
      <c r="L111" s="111">
        <f>SUMIFS('Consolidated Input'!H$6:H$209,'Consolidated Input'!$A$6:$A$209,$F111,'Consolidated Input'!$B$6:$B$209,$C$90)*L$10*Time!L$29</f>
        <v>0</v>
      </c>
      <c r="M111" s="111">
        <f>SUMIFS('Consolidated Input'!S$6:S$209,'Consolidated Input'!$A$6:$A$209,$F111,'Consolidated Input'!$B$6:$B$209,$C$91)</f>
        <v>0</v>
      </c>
      <c r="N111" s="111">
        <f>SUMIFS('Consolidated Input'!T$6:T$209,'Consolidated Input'!$A$6:$A$209,$F111,'Consolidated Input'!$B$6:$B$209,$C$91)</f>
        <v>0</v>
      </c>
      <c r="O111" s="111">
        <f>SUMIFS('Consolidated Input'!U$6:U$209,'Consolidated Input'!$A$6:$A$209,$F111,'Consolidated Input'!$B$6:$B$209,$C$91)</f>
        <v>0</v>
      </c>
      <c r="P111" s="111">
        <f>SUMIFS('Consolidated Input'!V$6:V$209,'Consolidated Input'!$A$6:$A$209,$F111,'Consolidated Input'!$B$6:$B$209,$C$91)</f>
        <v>0</v>
      </c>
      <c r="Q111" s="111">
        <f>SUMIFS('Consolidated Input'!W$6:W$209,'Consolidated Input'!$A$6:$A$209,$F111,'Consolidated Input'!$B$6:$B$209,$C$91)</f>
        <v>0</v>
      </c>
      <c r="R111" s="111">
        <f>SUMIFS('Consolidated Input'!X$6:X$209,'Consolidated Input'!$A$6:$A$209,$F111,'Consolidated Input'!$B$6:$B$209,$C$91)</f>
        <v>0</v>
      </c>
      <c r="S111" s="111">
        <f>SUMIFS('Consolidated Input'!Y$6:Y$209,'Consolidated Input'!$A$6:$A$209,$F111,'Consolidated Input'!$B$6:$B$209,$C$91)</f>
        <v>0</v>
      </c>
      <c r="U111" s="111">
        <f t="shared" si="49"/>
        <v>0</v>
      </c>
      <c r="V111" s="111">
        <f t="shared" si="50"/>
        <v>0</v>
      </c>
    </row>
    <row r="112" spans="5:22" hidden="1" outlineLevel="1" x14ac:dyDescent="0.35">
      <c r="E112" s="10" t="str">
        <f>InpC!$E$40</f>
        <v>South West Water</v>
      </c>
      <c r="F112" s="10" t="str">
        <f>InpC!$F$40</f>
        <v>SWB</v>
      </c>
      <c r="G112" s="22" t="s">
        <v>34</v>
      </c>
      <c r="J112" s="111">
        <f>SUMIFS('Consolidated Input'!F$6:F$209,'Consolidated Input'!$A$6:$A$209,$F112,'Consolidated Input'!$B$6:$B$209,$C$90)*J$10*Time!J$29</f>
        <v>0</v>
      </c>
      <c r="K112" s="111">
        <f>SUMIFS('Consolidated Input'!G$6:G$209,'Consolidated Input'!$A$6:$A$209,$F112,'Consolidated Input'!$B$6:$B$209,$C$90)*K$10*Time!K$29</f>
        <v>8.0589318600368335E-3</v>
      </c>
      <c r="L112" s="111">
        <f>SUMIFS('Consolidated Input'!H$6:H$209,'Consolidated Input'!$A$6:$A$209,$F112,'Consolidated Input'!$B$6:$B$209,$C$90)*L$10*Time!L$29</f>
        <v>3.0000000000000001E-3</v>
      </c>
      <c r="M112" s="111">
        <f>SUMIFS('Consolidated Input'!S$6:S$209,'Consolidated Input'!$A$6:$A$209,$F112,'Consolidated Input'!$B$6:$B$209,$C$91)</f>
        <v>0</v>
      </c>
      <c r="N112" s="111">
        <f>SUMIFS('Consolidated Input'!T$6:T$209,'Consolidated Input'!$A$6:$A$209,$F112,'Consolidated Input'!$B$6:$B$209,$C$91)</f>
        <v>3.0000000000000001E-3</v>
      </c>
      <c r="O112" s="111">
        <f>SUMIFS('Consolidated Input'!U$6:U$209,'Consolidated Input'!$A$6:$A$209,$F112,'Consolidated Input'!$B$6:$B$209,$C$91)</f>
        <v>0</v>
      </c>
      <c r="P112" s="111">
        <f>SUMIFS('Consolidated Input'!V$6:V$209,'Consolidated Input'!$A$6:$A$209,$F112,'Consolidated Input'!$B$6:$B$209,$C$91)</f>
        <v>0</v>
      </c>
      <c r="Q112" s="111">
        <f>SUMIFS('Consolidated Input'!W$6:W$209,'Consolidated Input'!$A$6:$A$209,$F112,'Consolidated Input'!$B$6:$B$209,$C$91)</f>
        <v>0</v>
      </c>
      <c r="R112" s="111">
        <f>SUMIFS('Consolidated Input'!X$6:X$209,'Consolidated Input'!$A$6:$A$209,$F112,'Consolidated Input'!$B$6:$B$209,$C$91)</f>
        <v>0</v>
      </c>
      <c r="S112" s="111">
        <f>SUMIFS('Consolidated Input'!Y$6:Y$209,'Consolidated Input'!$A$6:$A$209,$F112,'Consolidated Input'!$B$6:$B$209,$C$91)</f>
        <v>0</v>
      </c>
      <c r="U112" s="111">
        <f t="shared" si="49"/>
        <v>0</v>
      </c>
      <c r="V112" s="111">
        <f t="shared" si="50"/>
        <v>0</v>
      </c>
    </row>
    <row r="113" spans="3:22" hidden="1" outlineLevel="1" x14ac:dyDescent="0.35">
      <c r="E113" s="10" t="str">
        <f>InpC!$E$41</f>
        <v>Bristol Water</v>
      </c>
      <c r="F113" s="10" t="str">
        <f>InpC!$F$41</f>
        <v>BRL</v>
      </c>
      <c r="G113" s="22" t="s">
        <v>34</v>
      </c>
      <c r="J113" s="111">
        <f>SUMIFS('Consolidated Input'!F$6:F$209,'Consolidated Input'!$A$6:$A$209,$F113,'Consolidated Input'!$B$6:$B$209,$C$90)*J$10*Time!J$29</f>
        <v>0</v>
      </c>
      <c r="K113" s="111">
        <f>SUMIFS('Consolidated Input'!G$6:G$209,'Consolidated Input'!$A$6:$A$209,$F113,'Consolidated Input'!$B$6:$B$209,$C$90)*K$10*Time!K$29</f>
        <v>0</v>
      </c>
      <c r="L113" s="111">
        <f>SUMIFS('Consolidated Input'!H$6:H$209,'Consolidated Input'!$A$6:$A$209,$F113,'Consolidated Input'!$B$6:$B$209,$C$90)*L$10*Time!L$29</f>
        <v>0</v>
      </c>
      <c r="M113" s="111">
        <f>SUMIFS('Consolidated Input'!S$6:S$209,'Consolidated Input'!$A$6:$A$209,$F113,'Consolidated Input'!$B$6:$B$209,$C$91)</f>
        <v>0</v>
      </c>
      <c r="N113" s="111">
        <f>SUMIFS('Consolidated Input'!T$6:T$209,'Consolidated Input'!$A$6:$A$209,$F113,'Consolidated Input'!$B$6:$B$209,$C$91)</f>
        <v>0</v>
      </c>
      <c r="O113" s="111">
        <f>SUMIFS('Consolidated Input'!U$6:U$209,'Consolidated Input'!$A$6:$A$209,$F113,'Consolidated Input'!$B$6:$B$209,$C$91)</f>
        <v>0</v>
      </c>
      <c r="P113" s="111">
        <f>SUMIFS('Consolidated Input'!V$6:V$209,'Consolidated Input'!$A$6:$A$209,$F113,'Consolidated Input'!$B$6:$B$209,$C$91)</f>
        <v>0</v>
      </c>
      <c r="Q113" s="111">
        <f>SUMIFS('Consolidated Input'!W$6:W$209,'Consolidated Input'!$A$6:$A$209,$F113,'Consolidated Input'!$B$6:$B$209,$C$91)</f>
        <v>0</v>
      </c>
      <c r="R113" s="111">
        <f>SUMIFS('Consolidated Input'!X$6:X$209,'Consolidated Input'!$A$6:$A$209,$F113,'Consolidated Input'!$B$6:$B$209,$C$91)</f>
        <v>0</v>
      </c>
      <c r="S113" s="111">
        <f>SUMIFS('Consolidated Input'!Y$6:Y$209,'Consolidated Input'!$A$6:$A$209,$F113,'Consolidated Input'!$B$6:$B$209,$C$91)</f>
        <v>0</v>
      </c>
      <c r="U113" s="111">
        <f t="shared" si="49"/>
        <v>0</v>
      </c>
      <c r="V113" s="111">
        <f t="shared" si="50"/>
        <v>0</v>
      </c>
    </row>
    <row r="114" spans="3:22" hidden="1" outlineLevel="1" x14ac:dyDescent="0.35">
      <c r="E114" s="10" t="s">
        <v>147</v>
      </c>
      <c r="G114" s="22" t="s">
        <v>34</v>
      </c>
      <c r="J114" s="133">
        <f>SUM(J97:J113)</f>
        <v>2.6113022668214181</v>
      </c>
      <c r="K114" s="133">
        <f t="shared" ref="K114:S114" si="51">SUM(K97:K113)</f>
        <v>3.4103460864705135</v>
      </c>
      <c r="L114" s="133">
        <f t="shared" si="51"/>
        <v>1.8699484302206919</v>
      </c>
      <c r="M114" s="133">
        <f t="shared" si="51"/>
        <v>2.1911662346898999</v>
      </c>
      <c r="N114" s="133">
        <f t="shared" si="51"/>
        <v>1.7477750655649151</v>
      </c>
      <c r="O114" s="133">
        <f t="shared" si="51"/>
        <v>1.6889889785949799</v>
      </c>
      <c r="P114" s="133">
        <f t="shared" si="51"/>
        <v>1.68833943959498</v>
      </c>
      <c r="Q114" s="133">
        <f t="shared" si="51"/>
        <v>1.6896981265949802</v>
      </c>
      <c r="R114" s="133">
        <f t="shared" si="51"/>
        <v>1.6770650835949801</v>
      </c>
      <c r="S114" s="133">
        <f t="shared" si="51"/>
        <v>1.6784403665949799</v>
      </c>
      <c r="U114" s="133">
        <f t="shared" ref="U114:V114" si="52">SUM(U97:U113)</f>
        <v>1.68450639899498</v>
      </c>
      <c r="V114" s="133">
        <f t="shared" si="52"/>
        <v>8.4225319949749</v>
      </c>
    </row>
    <row r="116" spans="3:22" x14ac:dyDescent="0.35">
      <c r="C116" s="11" t="str">
        <f>C90</f>
        <v>WWS1103CAS</v>
      </c>
      <c r="D116" s="5" t="str">
        <f>D90</f>
        <v>Other expenditure - Costs associated with Traffic Management Act - Total</v>
      </c>
      <c r="F116" s="131">
        <f>MATCH(D116,APRChoices,0)</f>
        <v>4</v>
      </c>
      <c r="G116" s="22" t="s">
        <v>125</v>
      </c>
      <c r="J116" s="74">
        <f>J$2</f>
        <v>44286</v>
      </c>
      <c r="K116" s="74">
        <f t="shared" ref="K116:V116" si="53">K$2</f>
        <v>44651</v>
      </c>
      <c r="L116" s="74">
        <f t="shared" si="53"/>
        <v>45016</v>
      </c>
      <c r="M116" s="74">
        <f t="shared" si="53"/>
        <v>45382</v>
      </c>
      <c r="N116" s="74">
        <f t="shared" si="53"/>
        <v>45747</v>
      </c>
      <c r="O116" s="74">
        <f t="shared" si="53"/>
        <v>46112</v>
      </c>
      <c r="P116" s="74">
        <f t="shared" si="53"/>
        <v>46477</v>
      </c>
      <c r="Q116" s="74">
        <f t="shared" si="53"/>
        <v>46843</v>
      </c>
      <c r="R116" s="74">
        <f t="shared" si="53"/>
        <v>47208</v>
      </c>
      <c r="S116" s="74">
        <f t="shared" si="53"/>
        <v>47573</v>
      </c>
      <c r="U116" s="74" t="str">
        <f t="shared" si="53"/>
        <v>PR24 Average</v>
      </c>
      <c r="V116" s="74" t="str">
        <f t="shared" si="53"/>
        <v>PR24 Total</v>
      </c>
    </row>
    <row r="117" spans="3:22" x14ac:dyDescent="0.35">
      <c r="C117" s="5" t="str">
        <f>INDEX(InpC!$G$57:$G$62,'Traffic Management Act'!F116,)</f>
        <v>CWW2_011TOT_PR24</v>
      </c>
      <c r="D117" s="5" t="str">
        <f>INDEX(InpC!$G$48:$G$53,'Traffic Management Act'!F116,)</f>
        <v>Location specific costs &amp; obligations - Costs associated with Traffic Management Act - Total</v>
      </c>
      <c r="G117" s="22" t="s">
        <v>126</v>
      </c>
      <c r="J117" s="74"/>
      <c r="K117" s="74"/>
      <c r="L117" s="74"/>
      <c r="M117" s="74"/>
      <c r="N117" s="74"/>
      <c r="O117" s="74"/>
      <c r="P117" s="74"/>
      <c r="Q117" s="74"/>
      <c r="R117" s="74"/>
      <c r="S117" s="74"/>
      <c r="U117" s="74"/>
      <c r="V117" s="74"/>
    </row>
    <row r="118" spans="3:22" collapsed="1" x14ac:dyDescent="0.35">
      <c r="E118" s="5" t="s">
        <v>179</v>
      </c>
    </row>
    <row r="119" spans="3:22" hidden="1" outlineLevel="1" x14ac:dyDescent="0.35"/>
    <row r="120" spans="3:22" hidden="1" outlineLevel="1" x14ac:dyDescent="0.35">
      <c r="E120" s="130" t="s">
        <v>177</v>
      </c>
      <c r="J120" s="8"/>
      <c r="K120" s="8"/>
      <c r="L120" s="8"/>
      <c r="M120" s="8"/>
      <c r="N120" s="8"/>
      <c r="O120" s="8"/>
      <c r="P120" s="8"/>
      <c r="Q120" s="8"/>
      <c r="R120" s="8"/>
      <c r="S120" s="8"/>
      <c r="U120" s="8"/>
      <c r="V120" s="8"/>
    </row>
    <row r="121" spans="3:22" hidden="1" outlineLevel="1" x14ac:dyDescent="0.35">
      <c r="E121" s="129">
        <f>InpT!$F$8</f>
        <v>45016</v>
      </c>
      <c r="G121" s="22" t="s">
        <v>178</v>
      </c>
      <c r="J121" s="8"/>
      <c r="K121" s="8"/>
      <c r="L121" s="8"/>
      <c r="M121" s="8"/>
      <c r="N121" s="8"/>
      <c r="O121" s="8"/>
      <c r="P121" s="8"/>
      <c r="Q121" s="8"/>
      <c r="R121" s="8"/>
      <c r="S121" s="8"/>
      <c r="U121" s="8"/>
      <c r="V121" s="8"/>
    </row>
    <row r="122" spans="3:22" hidden="1" outlineLevel="1" x14ac:dyDescent="0.35">
      <c r="E122" s="129"/>
      <c r="J122" s="8"/>
      <c r="K122" s="8"/>
      <c r="L122" s="8"/>
      <c r="M122" s="8"/>
      <c r="N122" s="8"/>
      <c r="O122" s="8"/>
      <c r="P122" s="8"/>
      <c r="Q122" s="8"/>
      <c r="R122" s="8"/>
      <c r="S122" s="8"/>
      <c r="U122" s="8"/>
      <c r="V122" s="8"/>
    </row>
    <row r="123" spans="3:22" hidden="1" outlineLevel="1" x14ac:dyDescent="0.35">
      <c r="E123" s="10" t="str">
        <f>InpC!$E$25</f>
        <v>Anglian Water</v>
      </c>
      <c r="F123" s="10" t="str">
        <f>InpC!$F$25</f>
        <v>ANH</v>
      </c>
      <c r="G123" s="22" t="s">
        <v>34</v>
      </c>
      <c r="J123" s="128"/>
      <c r="K123" s="128"/>
      <c r="L123" s="128"/>
      <c r="M123" s="128"/>
      <c r="N123" s="128"/>
      <c r="O123" s="128"/>
      <c r="P123" s="128"/>
      <c r="Q123" s="128"/>
      <c r="R123" s="128"/>
      <c r="S123" s="128"/>
      <c r="U123" s="111">
        <f t="shared" ref="U123:U139" si="54">IFERROR(AVERAGE(O123:S123),0)</f>
        <v>0</v>
      </c>
      <c r="V123" s="111">
        <f t="shared" ref="V123:V139" si="55">SUM(O123:S123)</f>
        <v>0</v>
      </c>
    </row>
    <row r="124" spans="3:22" hidden="1" outlineLevel="1" x14ac:dyDescent="0.35">
      <c r="E124" s="10" t="str">
        <f>InpC!$E$26</f>
        <v>Dŵr Cymru</v>
      </c>
      <c r="F124" s="10" t="str">
        <f>InpC!$F$26</f>
        <v>WSH</v>
      </c>
      <c r="G124" s="22" t="s">
        <v>34</v>
      </c>
      <c r="J124" s="128"/>
      <c r="K124" s="128"/>
      <c r="L124" s="128"/>
      <c r="M124" s="128"/>
      <c r="N124" s="128"/>
      <c r="O124" s="128"/>
      <c r="P124" s="128"/>
      <c r="Q124" s="128"/>
      <c r="R124" s="128"/>
      <c r="S124" s="128"/>
      <c r="U124" s="111">
        <f t="shared" si="54"/>
        <v>0</v>
      </c>
      <c r="V124" s="111">
        <f t="shared" si="55"/>
        <v>0</v>
      </c>
    </row>
    <row r="125" spans="3:22" hidden="1" outlineLevel="1" x14ac:dyDescent="0.35">
      <c r="E125" s="10" t="str">
        <f>InpC!$E$27</f>
        <v>Hafren Dyfrdwy</v>
      </c>
      <c r="F125" s="10" t="str">
        <f>InpC!$F$27</f>
        <v>HDD</v>
      </c>
      <c r="G125" s="22" t="s">
        <v>34</v>
      </c>
      <c r="J125" s="128"/>
      <c r="K125" s="128"/>
      <c r="L125" s="128"/>
      <c r="M125" s="128"/>
      <c r="N125" s="128"/>
      <c r="O125" s="128"/>
      <c r="P125" s="128"/>
      <c r="Q125" s="128"/>
      <c r="R125" s="128"/>
      <c r="S125" s="128"/>
      <c r="U125" s="111">
        <f t="shared" si="54"/>
        <v>0</v>
      </c>
      <c r="V125" s="111">
        <f t="shared" si="55"/>
        <v>0</v>
      </c>
    </row>
    <row r="126" spans="3:22" hidden="1" outlineLevel="1" x14ac:dyDescent="0.35">
      <c r="E126" s="10" t="str">
        <f>InpC!$E$28</f>
        <v>Northumbrian Water</v>
      </c>
      <c r="F126" s="10" t="str">
        <f>InpC!$F$28</f>
        <v>NES</v>
      </c>
      <c r="G126" s="22" t="s">
        <v>34</v>
      </c>
      <c r="J126" s="128"/>
      <c r="K126" s="128"/>
      <c r="L126" s="128"/>
      <c r="M126" s="128"/>
      <c r="N126" s="128"/>
      <c r="O126" s="128"/>
      <c r="P126" s="128"/>
      <c r="Q126" s="128"/>
      <c r="R126" s="128"/>
      <c r="S126" s="128"/>
      <c r="U126" s="111">
        <f t="shared" si="54"/>
        <v>0</v>
      </c>
      <c r="V126" s="111">
        <f t="shared" si="55"/>
        <v>0</v>
      </c>
    </row>
    <row r="127" spans="3:22" hidden="1" outlineLevel="1" x14ac:dyDescent="0.35">
      <c r="E127" s="10" t="str">
        <f>InpC!$E$29</f>
        <v>Severn Trent Water</v>
      </c>
      <c r="F127" s="10" t="str">
        <f>InpC!$F$29</f>
        <v>SVE</v>
      </c>
      <c r="G127" s="22" t="s">
        <v>34</v>
      </c>
      <c r="J127" s="128"/>
      <c r="K127" s="128"/>
      <c r="L127" s="128"/>
      <c r="M127" s="128"/>
      <c r="N127" s="128"/>
      <c r="O127" s="128"/>
      <c r="P127" s="128"/>
      <c r="Q127" s="128"/>
      <c r="R127" s="128"/>
      <c r="S127" s="128"/>
      <c r="U127" s="111">
        <f t="shared" si="54"/>
        <v>0</v>
      </c>
      <c r="V127" s="111">
        <f t="shared" si="55"/>
        <v>0</v>
      </c>
    </row>
    <row r="128" spans="3:22" hidden="1" outlineLevel="1" x14ac:dyDescent="0.35">
      <c r="E128" s="10" t="str">
        <f>InpC!$E$30</f>
        <v>Southern Water</v>
      </c>
      <c r="F128" s="10" t="str">
        <f>InpC!$F$30</f>
        <v>SRN</v>
      </c>
      <c r="G128" s="22" t="s">
        <v>34</v>
      </c>
      <c r="J128" s="128"/>
      <c r="K128" s="128"/>
      <c r="L128" s="128"/>
      <c r="M128" s="128"/>
      <c r="N128" s="128"/>
      <c r="O128" s="128"/>
      <c r="P128" s="128"/>
      <c r="Q128" s="128"/>
      <c r="R128" s="128"/>
      <c r="S128" s="128"/>
      <c r="U128" s="111">
        <f t="shared" si="54"/>
        <v>0</v>
      </c>
      <c r="V128" s="111">
        <f t="shared" si="55"/>
        <v>0</v>
      </c>
    </row>
    <row r="129" spans="3:22" hidden="1" outlineLevel="1" x14ac:dyDescent="0.35">
      <c r="E129" s="10" t="str">
        <f>InpC!$E$31</f>
        <v>Thames Water</v>
      </c>
      <c r="F129" s="10" t="str">
        <f>InpC!$F$31</f>
        <v>TMS</v>
      </c>
      <c r="G129" s="22" t="s">
        <v>34</v>
      </c>
      <c r="J129" s="128"/>
      <c r="K129" s="128"/>
      <c r="L129" s="128"/>
      <c r="M129" s="128"/>
      <c r="N129" s="128"/>
      <c r="O129" s="128"/>
      <c r="P129" s="128"/>
      <c r="Q129" s="128"/>
      <c r="R129" s="128"/>
      <c r="S129" s="128"/>
      <c r="U129" s="111">
        <f t="shared" si="54"/>
        <v>0</v>
      </c>
      <c r="V129" s="111">
        <f t="shared" si="55"/>
        <v>0</v>
      </c>
    </row>
    <row r="130" spans="3:22" hidden="1" outlineLevel="1" x14ac:dyDescent="0.35">
      <c r="E130" s="10" t="str">
        <f>InpC!$E$32</f>
        <v>United Utilities</v>
      </c>
      <c r="F130" s="10" t="str">
        <f>InpC!$F$32</f>
        <v>NWT</v>
      </c>
      <c r="G130" s="22" t="s">
        <v>34</v>
      </c>
      <c r="J130" s="128"/>
      <c r="K130" s="128"/>
      <c r="L130" s="128"/>
      <c r="M130" s="128"/>
      <c r="N130" s="128"/>
      <c r="O130" s="128"/>
      <c r="P130" s="128"/>
      <c r="Q130" s="128"/>
      <c r="R130" s="128"/>
      <c r="S130" s="128"/>
      <c r="U130" s="111">
        <f t="shared" si="54"/>
        <v>0</v>
      </c>
      <c r="V130" s="111">
        <f t="shared" si="55"/>
        <v>0</v>
      </c>
    </row>
    <row r="131" spans="3:22" hidden="1" outlineLevel="1" x14ac:dyDescent="0.35">
      <c r="E131" s="10" t="str">
        <f>InpC!$E$33</f>
        <v>Wessex Water</v>
      </c>
      <c r="F131" s="10" t="str">
        <f>InpC!$F$33</f>
        <v>WSX</v>
      </c>
      <c r="G131" s="22" t="s">
        <v>34</v>
      </c>
      <c r="J131" s="128"/>
      <c r="K131" s="128"/>
      <c r="L131" s="128"/>
      <c r="M131" s="128"/>
      <c r="N131" s="128">
        <v>2.5999999999999999E-2</v>
      </c>
      <c r="O131" s="128">
        <v>2.5999999999999999E-2</v>
      </c>
      <c r="P131" s="128">
        <v>2.5999999999999999E-2</v>
      </c>
      <c r="Q131" s="128">
        <v>2.5999999999999999E-2</v>
      </c>
      <c r="R131" s="128">
        <v>2.5999999999999999E-2</v>
      </c>
      <c r="S131" s="128">
        <v>2.5999999999999999E-2</v>
      </c>
      <c r="T131" t="s">
        <v>181</v>
      </c>
      <c r="U131" s="111">
        <f t="shared" si="54"/>
        <v>2.6000000000000002E-2</v>
      </c>
      <c r="V131" s="111">
        <f t="shared" si="55"/>
        <v>0.13</v>
      </c>
    </row>
    <row r="132" spans="3:22" hidden="1" outlineLevel="1" x14ac:dyDescent="0.35">
      <c r="E132" s="10" t="str">
        <f>InpC!$E$34</f>
        <v>Yorkshire Water</v>
      </c>
      <c r="F132" s="10" t="str">
        <f>InpC!$F$34</f>
        <v>YKY</v>
      </c>
      <c r="G132" s="22" t="s">
        <v>34</v>
      </c>
      <c r="J132" s="128"/>
      <c r="K132" s="128"/>
      <c r="L132" s="128"/>
      <c r="M132" s="128"/>
      <c r="N132" s="128"/>
      <c r="O132" s="128"/>
      <c r="P132" s="128"/>
      <c r="Q132" s="128"/>
      <c r="R132" s="128"/>
      <c r="S132" s="128"/>
      <c r="U132" s="111">
        <f t="shared" si="54"/>
        <v>0</v>
      </c>
      <c r="V132" s="111">
        <f t="shared" si="55"/>
        <v>0</v>
      </c>
    </row>
    <row r="133" spans="3:22" hidden="1" outlineLevel="1" x14ac:dyDescent="0.35">
      <c r="E133" s="10" t="str">
        <f>InpC!$E$35</f>
        <v>Affinity Water</v>
      </c>
      <c r="F133" s="10" t="str">
        <f>InpC!$F$35</f>
        <v>AFW</v>
      </c>
      <c r="G133" s="22" t="s">
        <v>34</v>
      </c>
      <c r="J133" s="128"/>
      <c r="K133" s="128"/>
      <c r="L133" s="128"/>
      <c r="M133" s="128"/>
      <c r="N133" s="128"/>
      <c r="O133" s="128"/>
      <c r="P133" s="128"/>
      <c r="Q133" s="128"/>
      <c r="R133" s="128"/>
      <c r="S133" s="128"/>
      <c r="U133" s="111">
        <f t="shared" si="54"/>
        <v>0</v>
      </c>
      <c r="V133" s="111">
        <f t="shared" si="55"/>
        <v>0</v>
      </c>
    </row>
    <row r="134" spans="3:22" hidden="1" outlineLevel="1" x14ac:dyDescent="0.35">
      <c r="E134" s="10" t="str">
        <f>InpC!$E$36</f>
        <v>Portsmouth Water</v>
      </c>
      <c r="F134" s="10" t="str">
        <f>InpC!$F$36</f>
        <v>PRT</v>
      </c>
      <c r="G134" s="22" t="s">
        <v>34</v>
      </c>
      <c r="J134" s="128"/>
      <c r="K134" s="128"/>
      <c r="L134" s="128"/>
      <c r="M134" s="128"/>
      <c r="N134" s="128"/>
      <c r="O134" s="128"/>
      <c r="P134" s="128"/>
      <c r="Q134" s="128"/>
      <c r="R134" s="128"/>
      <c r="S134" s="128"/>
      <c r="U134" s="111">
        <f t="shared" si="54"/>
        <v>0</v>
      </c>
      <c r="V134" s="111">
        <f t="shared" si="55"/>
        <v>0</v>
      </c>
    </row>
    <row r="135" spans="3:22" hidden="1" outlineLevel="1" x14ac:dyDescent="0.35">
      <c r="E135" s="10" t="str">
        <f>InpC!$E$37</f>
        <v>South East Water</v>
      </c>
      <c r="F135" s="10" t="str">
        <f>InpC!$F$37</f>
        <v>SEW</v>
      </c>
      <c r="G135" s="22" t="s">
        <v>34</v>
      </c>
      <c r="J135" s="128"/>
      <c r="K135" s="128"/>
      <c r="L135" s="128"/>
      <c r="M135" s="128"/>
      <c r="N135" s="128"/>
      <c r="O135" s="128"/>
      <c r="P135" s="128"/>
      <c r="Q135" s="128"/>
      <c r="R135" s="128"/>
      <c r="S135" s="128"/>
      <c r="U135" s="111">
        <f t="shared" si="54"/>
        <v>0</v>
      </c>
      <c r="V135" s="111">
        <f t="shared" si="55"/>
        <v>0</v>
      </c>
    </row>
    <row r="136" spans="3:22" hidden="1" outlineLevel="1" x14ac:dyDescent="0.35">
      <c r="E136" s="10" t="str">
        <f>InpC!$E$38</f>
        <v>South Staffs Water</v>
      </c>
      <c r="F136" s="10" t="str">
        <f>InpC!$F$38</f>
        <v>SSC</v>
      </c>
      <c r="G136" s="22" t="s">
        <v>34</v>
      </c>
      <c r="J136" s="128"/>
      <c r="K136" s="128"/>
      <c r="L136" s="128"/>
      <c r="M136" s="128"/>
      <c r="N136" s="128"/>
      <c r="O136" s="128"/>
      <c r="P136" s="128"/>
      <c r="Q136" s="128"/>
      <c r="R136" s="128"/>
      <c r="S136" s="128"/>
      <c r="U136" s="111">
        <f t="shared" si="54"/>
        <v>0</v>
      </c>
      <c r="V136" s="111">
        <f t="shared" si="55"/>
        <v>0</v>
      </c>
    </row>
    <row r="137" spans="3:22" hidden="1" outlineLevel="1" x14ac:dyDescent="0.35">
      <c r="E137" s="10" t="str">
        <f>InpC!$E$39</f>
        <v>SES Water</v>
      </c>
      <c r="F137" s="10" t="str">
        <f>InpC!$F$39</f>
        <v>SES</v>
      </c>
      <c r="G137" s="22" t="s">
        <v>34</v>
      </c>
      <c r="J137" s="128"/>
      <c r="K137" s="128"/>
      <c r="L137" s="128"/>
      <c r="M137" s="128"/>
      <c r="N137" s="128"/>
      <c r="O137" s="128"/>
      <c r="P137" s="128"/>
      <c r="Q137" s="128"/>
      <c r="R137" s="128"/>
      <c r="S137" s="128"/>
      <c r="U137" s="111">
        <f t="shared" si="54"/>
        <v>0</v>
      </c>
      <c r="V137" s="111">
        <f t="shared" si="55"/>
        <v>0</v>
      </c>
    </row>
    <row r="138" spans="3:22" hidden="1" outlineLevel="1" x14ac:dyDescent="0.35">
      <c r="E138" s="10" t="str">
        <f>InpC!$E$40</f>
        <v>South West Water</v>
      </c>
      <c r="F138" s="10" t="str">
        <f>InpC!$F$40</f>
        <v>SWB</v>
      </c>
      <c r="G138" s="22" t="s">
        <v>34</v>
      </c>
      <c r="J138" s="128"/>
      <c r="K138" s="128"/>
      <c r="L138" s="128"/>
      <c r="M138" s="128"/>
      <c r="N138" s="128"/>
      <c r="O138" s="128"/>
      <c r="P138" s="128"/>
      <c r="Q138" s="128"/>
      <c r="R138" s="128"/>
      <c r="S138" s="128"/>
      <c r="U138" s="111">
        <f t="shared" si="54"/>
        <v>0</v>
      </c>
      <c r="V138" s="111">
        <f t="shared" si="55"/>
        <v>0</v>
      </c>
    </row>
    <row r="139" spans="3:22" hidden="1" outlineLevel="1" x14ac:dyDescent="0.35">
      <c r="E139" s="10" t="str">
        <f>InpC!$E$41</f>
        <v>Bristol Water</v>
      </c>
      <c r="F139" s="10" t="str">
        <f>InpC!$F$41</f>
        <v>BRL</v>
      </c>
      <c r="G139" s="22" t="s">
        <v>34</v>
      </c>
      <c r="J139" s="128"/>
      <c r="K139" s="128"/>
      <c r="L139" s="128"/>
      <c r="M139" s="128"/>
      <c r="N139" s="128"/>
      <c r="O139" s="128"/>
      <c r="P139" s="128"/>
      <c r="Q139" s="128"/>
      <c r="R139" s="128"/>
      <c r="S139" s="128"/>
      <c r="U139" s="111">
        <f t="shared" si="54"/>
        <v>0</v>
      </c>
      <c r="V139" s="111">
        <f t="shared" si="55"/>
        <v>0</v>
      </c>
    </row>
    <row r="140" spans="3:22" hidden="1" outlineLevel="1" x14ac:dyDescent="0.35">
      <c r="E140" s="10" t="s">
        <v>147</v>
      </c>
      <c r="G140" s="22" t="s">
        <v>34</v>
      </c>
      <c r="J140" s="134">
        <f>SUM(J123:J139)</f>
        <v>0</v>
      </c>
      <c r="K140" s="134">
        <f t="shared" ref="K140:S140" si="56">SUM(K123:K139)</f>
        <v>0</v>
      </c>
      <c r="L140" s="134">
        <f t="shared" si="56"/>
        <v>0</v>
      </c>
      <c r="M140" s="134">
        <f t="shared" si="56"/>
        <v>0</v>
      </c>
      <c r="N140" s="134">
        <f t="shared" si="56"/>
        <v>2.5999999999999999E-2</v>
      </c>
      <c r="O140" s="134">
        <f t="shared" si="56"/>
        <v>2.5999999999999999E-2</v>
      </c>
      <c r="P140" s="134">
        <f t="shared" si="56"/>
        <v>2.5999999999999999E-2</v>
      </c>
      <c r="Q140" s="134">
        <f t="shared" si="56"/>
        <v>2.5999999999999999E-2</v>
      </c>
      <c r="R140" s="134">
        <f t="shared" si="56"/>
        <v>2.5999999999999999E-2</v>
      </c>
      <c r="S140" s="134">
        <f t="shared" si="56"/>
        <v>2.5999999999999999E-2</v>
      </c>
      <c r="U140" s="133">
        <f t="shared" ref="U140:V140" si="57">SUM(U123:U139)</f>
        <v>2.6000000000000002E-2</v>
      </c>
      <c r="V140" s="133">
        <f t="shared" si="57"/>
        <v>0.13</v>
      </c>
    </row>
    <row r="142" spans="3:22" x14ac:dyDescent="0.35">
      <c r="C142" s="11" t="str">
        <f>C90</f>
        <v>WWS1103CAS</v>
      </c>
      <c r="D142" s="5" t="str">
        <f>D90</f>
        <v>Other expenditure - Costs associated with Traffic Management Act - Total</v>
      </c>
      <c r="F142" s="131">
        <f>MATCH(D142,APRChoices,0)</f>
        <v>4</v>
      </c>
      <c r="G142" s="22" t="s">
        <v>125</v>
      </c>
      <c r="J142" s="74">
        <f>J$2</f>
        <v>44286</v>
      </c>
      <c r="K142" s="74">
        <f t="shared" ref="K142:V142" si="58">K$2</f>
        <v>44651</v>
      </c>
      <c r="L142" s="74">
        <f t="shared" si="58"/>
        <v>45016</v>
      </c>
      <c r="M142" s="74">
        <f t="shared" si="58"/>
        <v>45382</v>
      </c>
      <c r="N142" s="74">
        <f t="shared" si="58"/>
        <v>45747</v>
      </c>
      <c r="O142" s="74">
        <f t="shared" si="58"/>
        <v>46112</v>
      </c>
      <c r="P142" s="74">
        <f t="shared" si="58"/>
        <v>46477</v>
      </c>
      <c r="Q142" s="74">
        <f t="shared" si="58"/>
        <v>46843</v>
      </c>
      <c r="R142" s="74">
        <f t="shared" si="58"/>
        <v>47208</v>
      </c>
      <c r="S142" s="74">
        <f t="shared" si="58"/>
        <v>47573</v>
      </c>
      <c r="U142" s="74" t="str">
        <f t="shared" si="58"/>
        <v>PR24 Average</v>
      </c>
      <c r="V142" s="74" t="str">
        <f t="shared" si="58"/>
        <v>PR24 Total</v>
      </c>
    </row>
    <row r="143" spans="3:22" x14ac:dyDescent="0.35">
      <c r="C143" s="5" t="str">
        <f>INDEX(InpC!$G$57:$G$62,'Traffic Management Act'!F142,)</f>
        <v>CWW2_011TOT_PR24</v>
      </c>
      <c r="D143" s="5" t="str">
        <f>INDEX(InpC!$G$48:$G$53,'Traffic Management Act'!F142,)</f>
        <v>Location specific costs &amp; obligations - Costs associated with Traffic Management Act - Total</v>
      </c>
      <c r="G143" s="22" t="s">
        <v>126</v>
      </c>
      <c r="J143" s="74"/>
      <c r="K143" s="74"/>
      <c r="L143" s="74"/>
      <c r="M143" s="74"/>
      <c r="N143" s="74"/>
      <c r="O143" s="74"/>
      <c r="P143" s="74"/>
      <c r="Q143" s="74"/>
      <c r="R143" s="74"/>
      <c r="S143" s="74"/>
      <c r="U143" s="74"/>
      <c r="V143" s="74"/>
    </row>
    <row r="144" spans="3:22" collapsed="1" x14ac:dyDescent="0.35">
      <c r="E144" s="5" t="s">
        <v>180</v>
      </c>
    </row>
    <row r="145" spans="5:22" hidden="1" outlineLevel="1" x14ac:dyDescent="0.35"/>
    <row r="146" spans="5:22" hidden="1" outlineLevel="1" x14ac:dyDescent="0.35">
      <c r="E146" s="130" t="s">
        <v>177</v>
      </c>
      <c r="J146" s="8"/>
      <c r="K146" s="8"/>
      <c r="L146" s="8"/>
      <c r="M146" s="8"/>
      <c r="N146" s="8"/>
      <c r="O146" s="8"/>
      <c r="P146" s="8"/>
      <c r="Q146" s="8"/>
      <c r="R146" s="8"/>
      <c r="S146" s="8"/>
      <c r="U146" s="8"/>
      <c r="V146" s="8"/>
    </row>
    <row r="147" spans="5:22" hidden="1" outlineLevel="1" x14ac:dyDescent="0.35">
      <c r="E147" s="129">
        <f>InpT!$F$8</f>
        <v>45016</v>
      </c>
      <c r="G147" s="22" t="s">
        <v>178</v>
      </c>
      <c r="J147" s="8"/>
      <c r="K147" s="8"/>
      <c r="L147" s="8"/>
      <c r="M147" s="8"/>
      <c r="N147" s="8"/>
      <c r="O147" s="8"/>
      <c r="P147" s="8"/>
      <c r="Q147" s="8"/>
      <c r="R147" s="8"/>
      <c r="S147" s="8"/>
      <c r="U147" s="8"/>
      <c r="V147" s="8"/>
    </row>
    <row r="148" spans="5:22" hidden="1" outlineLevel="1" x14ac:dyDescent="0.35">
      <c r="E148" s="129"/>
      <c r="J148" s="8"/>
      <c r="K148" s="8"/>
      <c r="L148" s="8"/>
      <c r="M148" s="8"/>
      <c r="N148" s="8"/>
      <c r="O148" s="8"/>
      <c r="P148" s="8"/>
      <c r="Q148" s="8"/>
      <c r="R148" s="8"/>
      <c r="S148" s="8"/>
      <c r="U148" s="8"/>
      <c r="V148" s="8"/>
    </row>
    <row r="149" spans="5:22" hidden="1" outlineLevel="1" x14ac:dyDescent="0.35">
      <c r="E149" s="10" t="str">
        <f>InpC!$E$25</f>
        <v>Anglian Water</v>
      </c>
      <c r="F149" s="10" t="str">
        <f>InpC!$F$25</f>
        <v>ANH</v>
      </c>
      <c r="G149" s="22" t="s">
        <v>34</v>
      </c>
      <c r="J149" s="111">
        <f t="shared" ref="J149:S149" si="59">IF(ISBLANK(J123),J97,J123)</f>
        <v>0.18608224299065421</v>
      </c>
      <c r="K149" s="111">
        <f t="shared" si="59"/>
        <v>4.2981997247001531E-2</v>
      </c>
      <c r="L149" s="111">
        <f t="shared" si="59"/>
        <v>8.2000000000000003E-2</v>
      </c>
      <c r="M149" s="111">
        <f t="shared" si="59"/>
        <v>5.5899471252566738E-2</v>
      </c>
      <c r="N149" s="111">
        <f t="shared" si="59"/>
        <v>8.0419551962904054E-2</v>
      </c>
      <c r="O149" s="111">
        <f t="shared" si="59"/>
        <v>8.3699999999999997E-2</v>
      </c>
      <c r="P149" s="111">
        <f t="shared" si="59"/>
        <v>8.3699999999999997E-2</v>
      </c>
      <c r="Q149" s="111">
        <f t="shared" si="59"/>
        <v>8.3699999999999997E-2</v>
      </c>
      <c r="R149" s="111">
        <f t="shared" si="59"/>
        <v>8.3699999999999997E-2</v>
      </c>
      <c r="S149" s="111">
        <f t="shared" si="59"/>
        <v>8.3699999999999997E-2</v>
      </c>
      <c r="U149" s="111">
        <f t="shared" ref="U149:U165" si="60">IFERROR(AVERAGE(O149:S149),0)</f>
        <v>8.3699999999999997E-2</v>
      </c>
      <c r="V149" s="111">
        <f t="shared" ref="V149:V165" si="61">SUM(O149:S149)</f>
        <v>0.41849999999999998</v>
      </c>
    </row>
    <row r="150" spans="5:22" hidden="1" outlineLevel="1" x14ac:dyDescent="0.35">
      <c r="E150" s="10" t="str">
        <f>InpC!$E$26</f>
        <v>Dŵr Cymru</v>
      </c>
      <c r="F150" s="10" t="str">
        <f>InpC!$F$26</f>
        <v>WSH</v>
      </c>
      <c r="G150" s="22" t="s">
        <v>34</v>
      </c>
      <c r="J150" s="111">
        <f t="shared" ref="J150:S150" si="62">IF(ISBLANK(J124),J98,J124)</f>
        <v>3.6807476635514015E-2</v>
      </c>
      <c r="K150" s="111">
        <f t="shared" si="62"/>
        <v>0</v>
      </c>
      <c r="L150" s="111">
        <f t="shared" si="62"/>
        <v>9.2999999999999999E-2</v>
      </c>
      <c r="M150" s="111">
        <f t="shared" si="62"/>
        <v>2.1999999999999999E-2</v>
      </c>
      <c r="N150" s="111">
        <f t="shared" si="62"/>
        <v>4.3999999999999997E-2</v>
      </c>
      <c r="O150" s="111">
        <f t="shared" si="62"/>
        <v>2.7E-2</v>
      </c>
      <c r="P150" s="111">
        <f t="shared" si="62"/>
        <v>2.5000000000000001E-2</v>
      </c>
      <c r="Q150" s="111">
        <f t="shared" si="62"/>
        <v>2.5000000000000001E-2</v>
      </c>
      <c r="R150" s="111">
        <f t="shared" si="62"/>
        <v>2.4E-2</v>
      </c>
      <c r="S150" s="111">
        <f t="shared" si="62"/>
        <v>2.4E-2</v>
      </c>
      <c r="U150" s="111">
        <f t="shared" si="60"/>
        <v>2.5000000000000001E-2</v>
      </c>
      <c r="V150" s="111">
        <f t="shared" si="61"/>
        <v>0.125</v>
      </c>
    </row>
    <row r="151" spans="5:22" hidden="1" outlineLevel="1" x14ac:dyDescent="0.35">
      <c r="E151" s="10" t="str">
        <f>InpC!$E$27</f>
        <v>Hafren Dyfrdwy</v>
      </c>
      <c r="F151" s="10" t="str">
        <f>InpC!$F$27</f>
        <v>HDD</v>
      </c>
      <c r="G151" s="22" t="s">
        <v>34</v>
      </c>
      <c r="J151" s="111">
        <f t="shared" ref="J151:S151" si="63">IF(ISBLANK(J125),J99,J125)</f>
        <v>0</v>
      </c>
      <c r="K151" s="111">
        <f t="shared" si="63"/>
        <v>0</v>
      </c>
      <c r="L151" s="111">
        <f t="shared" si="63"/>
        <v>0</v>
      </c>
      <c r="M151" s="111">
        <f t="shared" si="63"/>
        <v>0</v>
      </c>
      <c r="N151" s="111">
        <f t="shared" si="63"/>
        <v>0</v>
      </c>
      <c r="O151" s="111">
        <f t="shared" si="63"/>
        <v>0</v>
      </c>
      <c r="P151" s="111">
        <f t="shared" si="63"/>
        <v>0</v>
      </c>
      <c r="Q151" s="111">
        <f t="shared" si="63"/>
        <v>0</v>
      </c>
      <c r="R151" s="111">
        <f t="shared" si="63"/>
        <v>0</v>
      </c>
      <c r="S151" s="111">
        <f t="shared" si="63"/>
        <v>0</v>
      </c>
      <c r="U151" s="111">
        <f t="shared" si="60"/>
        <v>0</v>
      </c>
      <c r="V151" s="111">
        <f t="shared" si="61"/>
        <v>0</v>
      </c>
    </row>
    <row r="152" spans="5:22" hidden="1" outlineLevel="1" x14ac:dyDescent="0.35">
      <c r="E152" s="10" t="str">
        <f>InpC!$E$28</f>
        <v>Northumbrian Water</v>
      </c>
      <c r="F152" s="10" t="str">
        <f>InpC!$F$28</f>
        <v>NES</v>
      </c>
      <c r="G152" s="22" t="s">
        <v>34</v>
      </c>
      <c r="J152" s="111">
        <f t="shared" ref="J152:S152" si="64">IF(ISBLANK(J126),J100,J126)</f>
        <v>0.13087102803738318</v>
      </c>
      <c r="K152" s="111">
        <f t="shared" si="64"/>
        <v>3.4250460405156544E-2</v>
      </c>
      <c r="L152" s="111">
        <f t="shared" si="64"/>
        <v>2.1000000000000001E-2</v>
      </c>
      <c r="M152" s="111">
        <f t="shared" si="64"/>
        <v>1.4211691674506781E-2</v>
      </c>
      <c r="N152" s="111">
        <f t="shared" si="64"/>
        <v>2.1000000000000001E-2</v>
      </c>
      <c r="O152" s="111">
        <f t="shared" si="64"/>
        <v>2.1000000000000001E-2</v>
      </c>
      <c r="P152" s="111">
        <f t="shared" si="64"/>
        <v>2.1000000000000001E-2</v>
      </c>
      <c r="Q152" s="111">
        <f t="shared" si="64"/>
        <v>2.1000000000000001E-2</v>
      </c>
      <c r="R152" s="111">
        <f t="shared" si="64"/>
        <v>2.1000000000000001E-2</v>
      </c>
      <c r="S152" s="111">
        <f t="shared" si="64"/>
        <v>2.1000000000000001E-2</v>
      </c>
      <c r="U152" s="111">
        <f t="shared" si="60"/>
        <v>2.1000000000000001E-2</v>
      </c>
      <c r="V152" s="111">
        <f t="shared" si="61"/>
        <v>0.10500000000000001</v>
      </c>
    </row>
    <row r="153" spans="5:22" hidden="1" outlineLevel="1" x14ac:dyDescent="0.35">
      <c r="E153" s="10" t="str">
        <f>InpC!$E$29</f>
        <v>Severn Trent Water</v>
      </c>
      <c r="F153" s="10" t="str">
        <f>InpC!$F$29</f>
        <v>SVE</v>
      </c>
      <c r="G153" s="22" t="s">
        <v>34</v>
      </c>
      <c r="J153" s="111">
        <f t="shared" ref="J153:S153" si="65">IF(ISBLANK(J127),J101,J127)</f>
        <v>7.4637383177570099E-2</v>
      </c>
      <c r="K153" s="111">
        <f t="shared" si="65"/>
        <v>0.19240699815837942</v>
      </c>
      <c r="L153" s="111">
        <f t="shared" si="65"/>
        <v>5.1999999999999998E-2</v>
      </c>
      <c r="M153" s="111">
        <f t="shared" si="65"/>
        <v>0.21911625300000001</v>
      </c>
      <c r="N153" s="111">
        <f t="shared" si="65"/>
        <v>0.22045041800000001</v>
      </c>
      <c r="O153" s="111">
        <f t="shared" si="65"/>
        <v>0.22179270800000001</v>
      </c>
      <c r="P153" s="111">
        <f t="shared" si="65"/>
        <v>0.223143169</v>
      </c>
      <c r="Q153" s="111">
        <f t="shared" si="65"/>
        <v>0.224501856</v>
      </c>
      <c r="R153" s="111">
        <f t="shared" si="65"/>
        <v>0.225868813</v>
      </c>
      <c r="S153" s="111">
        <f t="shared" si="65"/>
        <v>0.22724409600000001</v>
      </c>
      <c r="U153" s="111">
        <f t="shared" si="60"/>
        <v>0.22451012840000001</v>
      </c>
      <c r="V153" s="111">
        <f t="shared" si="61"/>
        <v>1.122550642</v>
      </c>
    </row>
    <row r="154" spans="5:22" hidden="1" outlineLevel="1" x14ac:dyDescent="0.35">
      <c r="E154" s="10" t="str">
        <f>InpC!$E$30</f>
        <v>Southern Water</v>
      </c>
      <c r="F154" s="10" t="str">
        <f>InpC!$F$30</f>
        <v>SRN</v>
      </c>
      <c r="G154" s="22" t="s">
        <v>34</v>
      </c>
      <c r="J154" s="111">
        <f t="shared" ref="J154:S154" si="66">IF(ISBLANK(J128),J102,J128)</f>
        <v>0.13496074766355143</v>
      </c>
      <c r="K154" s="111">
        <f t="shared" si="66"/>
        <v>0.12491344383057093</v>
      </c>
      <c r="L154" s="111">
        <f t="shared" si="66"/>
        <v>0.16500000000000001</v>
      </c>
      <c r="M154" s="111">
        <f t="shared" si="66"/>
        <v>0.16900000000000001</v>
      </c>
      <c r="N154" s="111">
        <f t="shared" si="66"/>
        <v>0.25900000000000001</v>
      </c>
      <c r="O154" s="111">
        <f t="shared" si="66"/>
        <v>0.25952052086028288</v>
      </c>
      <c r="P154" s="111">
        <f t="shared" si="66"/>
        <v>0.25952052086028288</v>
      </c>
      <c r="Q154" s="111">
        <f t="shared" si="66"/>
        <v>0.25952052086028288</v>
      </c>
      <c r="R154" s="111">
        <f t="shared" si="66"/>
        <v>0.25952052086028288</v>
      </c>
      <c r="S154" s="111">
        <f t="shared" si="66"/>
        <v>0.25952052086028288</v>
      </c>
      <c r="U154" s="111">
        <f t="shared" si="60"/>
        <v>0.25952052086028288</v>
      </c>
      <c r="V154" s="111">
        <f t="shared" si="61"/>
        <v>1.2976026043014144</v>
      </c>
    </row>
    <row r="155" spans="5:22" hidden="1" outlineLevel="1" x14ac:dyDescent="0.35">
      <c r="E155" s="10" t="str">
        <f>InpC!$E$31</f>
        <v>Thames Water</v>
      </c>
      <c r="F155" s="10" t="str">
        <f>InpC!$F$31</f>
        <v>TMS</v>
      </c>
      <c r="G155" s="22" t="s">
        <v>34</v>
      </c>
      <c r="J155" s="111">
        <f t="shared" ref="J155:S155" si="67">IF(ISBLANK(J129),J103,J129)</f>
        <v>1.4477607476635515</v>
      </c>
      <c r="K155" s="111">
        <f t="shared" si="67"/>
        <v>2.3360828729281771</v>
      </c>
      <c r="L155" s="111">
        <f t="shared" si="67"/>
        <v>0.64900000000000002</v>
      </c>
      <c r="M155" s="111">
        <f t="shared" si="67"/>
        <v>0.96489563567362335</v>
      </c>
      <c r="N155" s="111">
        <f t="shared" si="67"/>
        <v>0.55000000000000004</v>
      </c>
      <c r="O155" s="111">
        <f t="shared" si="67"/>
        <v>0.56400000000000006</v>
      </c>
      <c r="P155" s="111">
        <f t="shared" si="67"/>
        <v>0.56400000000000006</v>
      </c>
      <c r="Q155" s="111">
        <f t="shared" si="67"/>
        <v>0.56400000000000006</v>
      </c>
      <c r="R155" s="111">
        <f t="shared" si="67"/>
        <v>0.55100000000000005</v>
      </c>
      <c r="S155" s="111">
        <f t="shared" si="67"/>
        <v>0.55100000000000005</v>
      </c>
      <c r="U155" s="111">
        <f t="shared" si="60"/>
        <v>0.55880000000000007</v>
      </c>
      <c r="V155" s="111">
        <f t="shared" si="61"/>
        <v>2.7940000000000005</v>
      </c>
    </row>
    <row r="156" spans="5:22" hidden="1" outlineLevel="1" x14ac:dyDescent="0.35">
      <c r="E156" s="10" t="str">
        <f>InpC!$E$32</f>
        <v>United Utilities</v>
      </c>
      <c r="F156" s="10" t="str">
        <f>InpC!$F$32</f>
        <v>NWT</v>
      </c>
      <c r="G156" s="22" t="s">
        <v>34</v>
      </c>
      <c r="J156" s="111">
        <f t="shared" ref="J156:S156" si="68">IF(ISBLANK(J130),J104,J130)</f>
        <v>0.2856021227092686</v>
      </c>
      <c r="K156" s="111">
        <f t="shared" si="68"/>
        <v>0.48528858277783932</v>
      </c>
      <c r="L156" s="111">
        <f t="shared" si="68"/>
        <v>0.64722937905458577</v>
      </c>
      <c r="M156" s="111">
        <f t="shared" si="68"/>
        <v>0.50096218745529963</v>
      </c>
      <c r="N156" s="111">
        <f t="shared" si="68"/>
        <v>0.36829385253366581</v>
      </c>
      <c r="O156" s="111">
        <f t="shared" si="68"/>
        <v>0.36827090730579631</v>
      </c>
      <c r="P156" s="111">
        <f t="shared" si="68"/>
        <v>0.36827090730579631</v>
      </c>
      <c r="Q156" s="111">
        <f t="shared" si="68"/>
        <v>0.36827090730579631</v>
      </c>
      <c r="R156" s="111">
        <f t="shared" si="68"/>
        <v>0.36827090730579631</v>
      </c>
      <c r="S156" s="111">
        <f t="shared" si="68"/>
        <v>0.36827090730579631</v>
      </c>
      <c r="U156" s="111">
        <f t="shared" si="60"/>
        <v>0.36827090730579631</v>
      </c>
      <c r="V156" s="111">
        <f t="shared" si="61"/>
        <v>1.8413545365289816</v>
      </c>
    </row>
    <row r="157" spans="5:22" hidden="1" outlineLevel="1" x14ac:dyDescent="0.35">
      <c r="E157" s="10" t="str">
        <f>InpC!$E$33</f>
        <v>Wessex Water</v>
      </c>
      <c r="F157" s="10" t="str">
        <f>InpC!$F$33</f>
        <v>WSX</v>
      </c>
      <c r="G157" s="22" t="s">
        <v>34</v>
      </c>
      <c r="J157" s="111">
        <f t="shared" ref="J157:S157" si="69">IF(ISBLANK(J131),J105,J131)</f>
        <v>9.8964057943925349E-3</v>
      </c>
      <c r="K157" s="111">
        <f t="shared" si="69"/>
        <v>1.9139963167587482E-2</v>
      </c>
      <c r="L157" s="111">
        <f t="shared" si="69"/>
        <v>2.5999999999999999E-2</v>
      </c>
      <c r="M157" s="111">
        <f t="shared" si="69"/>
        <v>1.9896368069815189E-2</v>
      </c>
      <c r="N157" s="111">
        <f t="shared" si="69"/>
        <v>2.5999999999999999E-2</v>
      </c>
      <c r="O157" s="111">
        <f t="shared" si="69"/>
        <v>2.5999999999999999E-2</v>
      </c>
      <c r="P157" s="111">
        <f t="shared" si="69"/>
        <v>2.5999999999999999E-2</v>
      </c>
      <c r="Q157" s="111">
        <f t="shared" si="69"/>
        <v>2.5999999999999999E-2</v>
      </c>
      <c r="R157" s="111">
        <f t="shared" si="69"/>
        <v>2.5999999999999999E-2</v>
      </c>
      <c r="S157" s="111">
        <f t="shared" si="69"/>
        <v>2.5999999999999999E-2</v>
      </c>
      <c r="U157" s="111">
        <f t="shared" si="60"/>
        <v>2.6000000000000002E-2</v>
      </c>
      <c r="V157" s="111">
        <f t="shared" si="61"/>
        <v>0.13</v>
      </c>
    </row>
    <row r="158" spans="5:22" hidden="1" outlineLevel="1" x14ac:dyDescent="0.35">
      <c r="E158" s="10" t="str">
        <f>InpC!$E$34</f>
        <v>Yorkshire Water</v>
      </c>
      <c r="F158" s="10" t="str">
        <f>InpC!$F$34</f>
        <v>YKY</v>
      </c>
      <c r="G158" s="22" t="s">
        <v>34</v>
      </c>
      <c r="J158" s="111">
        <f t="shared" ref="J158:S158" si="70">IF(ISBLANK(J132),J106,J132)</f>
        <v>0.30468411214953273</v>
      </c>
      <c r="K158" s="111">
        <f t="shared" si="70"/>
        <v>0.16722283609576433</v>
      </c>
      <c r="L158" s="111">
        <f t="shared" si="70"/>
        <v>0.13171905116610619</v>
      </c>
      <c r="M158" s="111">
        <f t="shared" si="70"/>
        <v>0.22518462756408841</v>
      </c>
      <c r="N158" s="111">
        <f t="shared" si="70"/>
        <v>0.20161124306834519</v>
      </c>
      <c r="O158" s="111">
        <f t="shared" si="70"/>
        <v>0.1437048424289008</v>
      </c>
      <c r="P158" s="111">
        <f t="shared" si="70"/>
        <v>0.1437048424289008</v>
      </c>
      <c r="Q158" s="111">
        <f t="shared" si="70"/>
        <v>0.1437048424289008</v>
      </c>
      <c r="R158" s="111">
        <f t="shared" si="70"/>
        <v>0.1437048424289008</v>
      </c>
      <c r="S158" s="111">
        <f t="shared" si="70"/>
        <v>0.1437048424289008</v>
      </c>
      <c r="U158" s="111">
        <f t="shared" si="60"/>
        <v>0.1437048424289008</v>
      </c>
      <c r="V158" s="111">
        <f t="shared" si="61"/>
        <v>0.71852421214450402</v>
      </c>
    </row>
    <row r="159" spans="5:22" hidden="1" outlineLevel="1" x14ac:dyDescent="0.35">
      <c r="E159" s="10" t="str">
        <f>InpC!$E$35</f>
        <v>Affinity Water</v>
      </c>
      <c r="F159" s="10" t="str">
        <f>InpC!$F$35</f>
        <v>AFW</v>
      </c>
      <c r="G159" s="22" t="s">
        <v>34</v>
      </c>
      <c r="J159" s="111">
        <f t="shared" ref="J159:S159" si="71">IF(ISBLANK(J133),J107,J133)</f>
        <v>0</v>
      </c>
      <c r="K159" s="111">
        <f t="shared" si="71"/>
        <v>0</v>
      </c>
      <c r="L159" s="111">
        <f t="shared" si="71"/>
        <v>0</v>
      </c>
      <c r="M159" s="111">
        <f t="shared" si="71"/>
        <v>0</v>
      </c>
      <c r="N159" s="111">
        <f t="shared" si="71"/>
        <v>0</v>
      </c>
      <c r="O159" s="111">
        <f t="shared" si="71"/>
        <v>0</v>
      </c>
      <c r="P159" s="111">
        <f t="shared" si="71"/>
        <v>0</v>
      </c>
      <c r="Q159" s="111">
        <f t="shared" si="71"/>
        <v>0</v>
      </c>
      <c r="R159" s="111">
        <f t="shared" si="71"/>
        <v>0</v>
      </c>
      <c r="S159" s="111">
        <f t="shared" si="71"/>
        <v>0</v>
      </c>
      <c r="U159" s="111">
        <f t="shared" si="60"/>
        <v>0</v>
      </c>
      <c r="V159" s="111">
        <f t="shared" si="61"/>
        <v>0</v>
      </c>
    </row>
    <row r="160" spans="5:22" hidden="1" outlineLevel="1" x14ac:dyDescent="0.35">
      <c r="E160" s="10" t="str">
        <f>InpC!$E$36</f>
        <v>Portsmouth Water</v>
      </c>
      <c r="F160" s="10" t="str">
        <f>InpC!$F$36</f>
        <v>PRT</v>
      </c>
      <c r="G160" s="22" t="s">
        <v>34</v>
      </c>
      <c r="J160" s="111">
        <f t="shared" ref="J160:S160" si="72">IF(ISBLANK(J134),J108,J134)</f>
        <v>0</v>
      </c>
      <c r="K160" s="111">
        <f t="shared" si="72"/>
        <v>0</v>
      </c>
      <c r="L160" s="111">
        <f t="shared" si="72"/>
        <v>0</v>
      </c>
      <c r="M160" s="111">
        <f t="shared" si="72"/>
        <v>0</v>
      </c>
      <c r="N160" s="111">
        <f t="shared" si="72"/>
        <v>0</v>
      </c>
      <c r="O160" s="111">
        <f t="shared" si="72"/>
        <v>0</v>
      </c>
      <c r="P160" s="111">
        <f t="shared" si="72"/>
        <v>0</v>
      </c>
      <c r="Q160" s="111">
        <f t="shared" si="72"/>
        <v>0</v>
      </c>
      <c r="R160" s="111">
        <f t="shared" si="72"/>
        <v>0</v>
      </c>
      <c r="S160" s="111">
        <f t="shared" si="72"/>
        <v>0</v>
      </c>
      <c r="U160" s="111">
        <f t="shared" si="60"/>
        <v>0</v>
      </c>
      <c r="V160" s="111">
        <f t="shared" si="61"/>
        <v>0</v>
      </c>
    </row>
    <row r="161" spans="1:27" hidden="1" outlineLevel="1" x14ac:dyDescent="0.35">
      <c r="E161" s="10" t="str">
        <f>InpC!$E$37</f>
        <v>South East Water</v>
      </c>
      <c r="F161" s="10" t="str">
        <f>InpC!$F$37</f>
        <v>SEW</v>
      </c>
      <c r="G161" s="22" t="s">
        <v>34</v>
      </c>
      <c r="J161" s="111">
        <f t="shared" ref="J161:S161" si="73">IF(ISBLANK(J135),J109,J135)</f>
        <v>0</v>
      </c>
      <c r="K161" s="111">
        <f t="shared" si="73"/>
        <v>0</v>
      </c>
      <c r="L161" s="111">
        <f t="shared" si="73"/>
        <v>0</v>
      </c>
      <c r="M161" s="111">
        <f t="shared" si="73"/>
        <v>0</v>
      </c>
      <c r="N161" s="111">
        <f t="shared" si="73"/>
        <v>0</v>
      </c>
      <c r="O161" s="111">
        <f t="shared" si="73"/>
        <v>0</v>
      </c>
      <c r="P161" s="111">
        <f t="shared" si="73"/>
        <v>0</v>
      </c>
      <c r="Q161" s="111">
        <f t="shared" si="73"/>
        <v>0</v>
      </c>
      <c r="R161" s="111">
        <f t="shared" si="73"/>
        <v>0</v>
      </c>
      <c r="S161" s="111">
        <f t="shared" si="73"/>
        <v>0</v>
      </c>
      <c r="U161" s="111">
        <f t="shared" si="60"/>
        <v>0</v>
      </c>
      <c r="V161" s="111">
        <f t="shared" si="61"/>
        <v>0</v>
      </c>
    </row>
    <row r="162" spans="1:27" hidden="1" outlineLevel="1" x14ac:dyDescent="0.35">
      <c r="E162" s="10" t="str">
        <f>InpC!$E$38</f>
        <v>South Staffs Water</v>
      </c>
      <c r="F162" s="10" t="str">
        <f>InpC!$F$38</f>
        <v>SSC</v>
      </c>
      <c r="G162" s="22" t="s">
        <v>34</v>
      </c>
      <c r="J162" s="111">
        <f t="shared" ref="J162:S162" si="74">IF(ISBLANK(J136),J110,J136)</f>
        <v>0</v>
      </c>
      <c r="K162" s="111">
        <f t="shared" si="74"/>
        <v>0</v>
      </c>
      <c r="L162" s="111">
        <f t="shared" si="74"/>
        <v>0</v>
      </c>
      <c r="M162" s="111">
        <f t="shared" si="74"/>
        <v>0</v>
      </c>
      <c r="N162" s="111">
        <f t="shared" si="74"/>
        <v>0</v>
      </c>
      <c r="O162" s="111">
        <f t="shared" si="74"/>
        <v>0</v>
      </c>
      <c r="P162" s="111">
        <f t="shared" si="74"/>
        <v>0</v>
      </c>
      <c r="Q162" s="111">
        <f t="shared" si="74"/>
        <v>0</v>
      </c>
      <c r="R162" s="111">
        <f t="shared" si="74"/>
        <v>0</v>
      </c>
      <c r="S162" s="111">
        <f t="shared" si="74"/>
        <v>0</v>
      </c>
      <c r="U162" s="111">
        <f t="shared" si="60"/>
        <v>0</v>
      </c>
      <c r="V162" s="111">
        <f t="shared" si="61"/>
        <v>0</v>
      </c>
    </row>
    <row r="163" spans="1:27" hidden="1" outlineLevel="1" x14ac:dyDescent="0.35">
      <c r="E163" s="10" t="str">
        <f>InpC!$E$39</f>
        <v>SES Water</v>
      </c>
      <c r="F163" s="10" t="str">
        <f>InpC!$F$39</f>
        <v>SES</v>
      </c>
      <c r="G163" s="22" t="s">
        <v>34</v>
      </c>
      <c r="J163" s="111">
        <f t="shared" ref="J163:S163" si="75">IF(ISBLANK(J137),J111,J137)</f>
        <v>0</v>
      </c>
      <c r="K163" s="111">
        <f t="shared" si="75"/>
        <v>0</v>
      </c>
      <c r="L163" s="111">
        <f t="shared" si="75"/>
        <v>0</v>
      </c>
      <c r="M163" s="111">
        <f t="shared" si="75"/>
        <v>0</v>
      </c>
      <c r="N163" s="111">
        <f t="shared" si="75"/>
        <v>0</v>
      </c>
      <c r="O163" s="111">
        <f t="shared" si="75"/>
        <v>0</v>
      </c>
      <c r="P163" s="111">
        <f t="shared" si="75"/>
        <v>0</v>
      </c>
      <c r="Q163" s="111">
        <f t="shared" si="75"/>
        <v>0</v>
      </c>
      <c r="R163" s="111">
        <f t="shared" si="75"/>
        <v>0</v>
      </c>
      <c r="S163" s="111">
        <f t="shared" si="75"/>
        <v>0</v>
      </c>
      <c r="U163" s="111">
        <f t="shared" si="60"/>
        <v>0</v>
      </c>
      <c r="V163" s="111">
        <f t="shared" si="61"/>
        <v>0</v>
      </c>
    </row>
    <row r="164" spans="1:27" hidden="1" outlineLevel="1" x14ac:dyDescent="0.35">
      <c r="E164" s="10" t="str">
        <f>InpC!$E$40</f>
        <v>South West Water</v>
      </c>
      <c r="F164" s="10" t="str">
        <f>InpC!$F$40</f>
        <v>SWB</v>
      </c>
      <c r="G164" s="22" t="s">
        <v>34</v>
      </c>
      <c r="J164" s="111">
        <f t="shared" ref="J164:S164" si="76">IF(ISBLANK(J138),J112,J138)</f>
        <v>0</v>
      </c>
      <c r="K164" s="111">
        <f t="shared" si="76"/>
        <v>8.0589318600368335E-3</v>
      </c>
      <c r="L164" s="111">
        <f t="shared" si="76"/>
        <v>3.0000000000000001E-3</v>
      </c>
      <c r="M164" s="111">
        <f t="shared" si="76"/>
        <v>0</v>
      </c>
      <c r="N164" s="111">
        <f t="shared" si="76"/>
        <v>3.0000000000000001E-3</v>
      </c>
      <c r="O164" s="111">
        <f t="shared" si="76"/>
        <v>0</v>
      </c>
      <c r="P164" s="111">
        <f t="shared" si="76"/>
        <v>0</v>
      </c>
      <c r="Q164" s="111">
        <f t="shared" si="76"/>
        <v>0</v>
      </c>
      <c r="R164" s="111">
        <f t="shared" si="76"/>
        <v>0</v>
      </c>
      <c r="S164" s="111">
        <f t="shared" si="76"/>
        <v>0</v>
      </c>
      <c r="U164" s="111">
        <f t="shared" si="60"/>
        <v>0</v>
      </c>
      <c r="V164" s="111">
        <f t="shared" si="61"/>
        <v>0</v>
      </c>
    </row>
    <row r="165" spans="1:27" hidden="1" outlineLevel="1" x14ac:dyDescent="0.35">
      <c r="E165" s="10" t="str">
        <f>InpC!$E$41</f>
        <v>Bristol Water</v>
      </c>
      <c r="F165" s="10" t="str">
        <f>InpC!$F$41</f>
        <v>BRL</v>
      </c>
      <c r="G165" s="22" t="s">
        <v>34</v>
      </c>
      <c r="J165" s="111">
        <f t="shared" ref="J165:S165" si="77">IF(ISBLANK(J139),J113,J139)</f>
        <v>0</v>
      </c>
      <c r="K165" s="111">
        <f t="shared" si="77"/>
        <v>0</v>
      </c>
      <c r="L165" s="111">
        <f t="shared" si="77"/>
        <v>0</v>
      </c>
      <c r="M165" s="111">
        <f t="shared" si="77"/>
        <v>0</v>
      </c>
      <c r="N165" s="111">
        <f t="shared" si="77"/>
        <v>0</v>
      </c>
      <c r="O165" s="111">
        <f t="shared" si="77"/>
        <v>0</v>
      </c>
      <c r="P165" s="111">
        <f t="shared" si="77"/>
        <v>0</v>
      </c>
      <c r="Q165" s="111">
        <f t="shared" si="77"/>
        <v>0</v>
      </c>
      <c r="R165" s="111">
        <f t="shared" si="77"/>
        <v>0</v>
      </c>
      <c r="S165" s="111">
        <f t="shared" si="77"/>
        <v>0</v>
      </c>
      <c r="U165" s="111">
        <f t="shared" si="60"/>
        <v>0</v>
      </c>
      <c r="V165" s="111">
        <f t="shared" si="61"/>
        <v>0</v>
      </c>
    </row>
    <row r="166" spans="1:27" hidden="1" outlineLevel="1" x14ac:dyDescent="0.35">
      <c r="E166" s="10" t="s">
        <v>147</v>
      </c>
      <c r="G166" s="22" t="s">
        <v>34</v>
      </c>
      <c r="J166" s="133">
        <f>SUM(J149:J165)</f>
        <v>2.6113022668214181</v>
      </c>
      <c r="K166" s="133">
        <f t="shared" ref="K166:S166" si="78">SUM(K149:K165)</f>
        <v>3.4103460864705135</v>
      </c>
      <c r="L166" s="133">
        <f t="shared" si="78"/>
        <v>1.8699484302206919</v>
      </c>
      <c r="M166" s="133">
        <f t="shared" si="78"/>
        <v>2.1911662346898999</v>
      </c>
      <c r="N166" s="133">
        <f t="shared" si="78"/>
        <v>1.7737750655649152</v>
      </c>
      <c r="O166" s="133">
        <f t="shared" si="78"/>
        <v>1.7149889785949801</v>
      </c>
      <c r="P166" s="133">
        <f t="shared" si="78"/>
        <v>1.7143394395949803</v>
      </c>
      <c r="Q166" s="133">
        <f t="shared" si="78"/>
        <v>1.71569812659498</v>
      </c>
      <c r="R166" s="133">
        <f t="shared" si="78"/>
        <v>1.7030650835949803</v>
      </c>
      <c r="S166" s="133">
        <f t="shared" si="78"/>
        <v>1.7044403665949801</v>
      </c>
      <c r="U166" s="133">
        <f t="shared" ref="U166:V166" si="79">SUM(U149:U165)</f>
        <v>1.7105063989949802</v>
      </c>
      <c r="V166" s="133">
        <f t="shared" si="79"/>
        <v>8.5525319949749008</v>
      </c>
    </row>
    <row r="168" spans="1:27" x14ac:dyDescent="0.35">
      <c r="A168" s="149"/>
      <c r="B168" s="149"/>
      <c r="C168" s="150"/>
      <c r="D168" s="151" t="str">
        <f>InpC!$H$48</f>
        <v>Traffic Management Act</v>
      </c>
      <c r="E168" s="152"/>
      <c r="F168" s="152"/>
      <c r="G168" s="22" t="s">
        <v>125</v>
      </c>
      <c r="H168" s="152"/>
      <c r="I168" s="153"/>
      <c r="J168" s="74">
        <f>J$2</f>
        <v>44286</v>
      </c>
      <c r="K168" s="74">
        <f t="shared" ref="K168:V168" si="80">K$2</f>
        <v>44651</v>
      </c>
      <c r="L168" s="74">
        <f t="shared" si="80"/>
        <v>45016</v>
      </c>
      <c r="M168" s="74">
        <f t="shared" si="80"/>
        <v>45382</v>
      </c>
      <c r="N168" s="74">
        <f t="shared" si="80"/>
        <v>45747</v>
      </c>
      <c r="O168" s="74">
        <f t="shared" si="80"/>
        <v>46112</v>
      </c>
      <c r="P168" s="74">
        <f t="shared" si="80"/>
        <v>46477</v>
      </c>
      <c r="Q168" s="74">
        <f t="shared" si="80"/>
        <v>46843</v>
      </c>
      <c r="R168" s="74">
        <f t="shared" si="80"/>
        <v>47208</v>
      </c>
      <c r="S168" s="74">
        <f t="shared" si="80"/>
        <v>47573</v>
      </c>
      <c r="T168" s="74"/>
      <c r="U168" s="74" t="str">
        <f t="shared" si="80"/>
        <v>PR24 Average</v>
      </c>
      <c r="V168" s="74" t="str">
        <f t="shared" si="80"/>
        <v>PR24 Total</v>
      </c>
      <c r="W168" s="74"/>
      <c r="X168" s="74"/>
      <c r="Z168" s="74"/>
      <c r="AA168" s="74"/>
    </row>
    <row r="169" spans="1:27" collapsed="1" x14ac:dyDescent="0.35">
      <c r="A169" s="149"/>
      <c r="B169" s="149"/>
      <c r="C169" s="150"/>
      <c r="D169" s="154"/>
      <c r="E169" s="151" t="s">
        <v>176</v>
      </c>
      <c r="F169" s="152"/>
      <c r="H169" s="152"/>
      <c r="I169" s="153"/>
      <c r="J169" s="152"/>
      <c r="K169" s="152"/>
      <c r="L169" s="152"/>
      <c r="M169" s="152"/>
      <c r="N169" s="152"/>
      <c r="O169" s="152"/>
      <c r="P169" s="152"/>
      <c r="Q169" s="152"/>
      <c r="R169" s="152"/>
      <c r="S169" s="152"/>
      <c r="T169" s="152"/>
      <c r="U169" s="152"/>
      <c r="V169" s="152"/>
      <c r="W169" s="152"/>
      <c r="X169" s="152"/>
      <c r="Z169" s="152"/>
      <c r="AA169" s="152"/>
    </row>
    <row r="170" spans="1:27" hidden="1" outlineLevel="1" x14ac:dyDescent="0.35">
      <c r="A170" s="149"/>
      <c r="B170" s="149"/>
      <c r="C170" s="150"/>
      <c r="D170" s="154"/>
      <c r="E170" s="152"/>
      <c r="F170" s="152"/>
      <c r="H170" s="152"/>
      <c r="I170" s="153"/>
      <c r="J170" s="152"/>
      <c r="K170" s="152"/>
      <c r="L170" s="152"/>
      <c r="M170" s="152"/>
      <c r="N170" s="152"/>
      <c r="O170" s="152"/>
      <c r="P170" s="152"/>
      <c r="Q170" s="152"/>
      <c r="R170" s="152"/>
      <c r="S170" s="152"/>
      <c r="T170" s="152"/>
      <c r="U170" s="152"/>
      <c r="V170" s="152"/>
      <c r="W170" s="152"/>
      <c r="X170" s="152"/>
      <c r="Z170" s="152"/>
      <c r="AA170" s="152"/>
    </row>
    <row r="171" spans="1:27" hidden="1" outlineLevel="1" x14ac:dyDescent="0.35">
      <c r="A171" s="149"/>
      <c r="B171" s="149"/>
      <c r="C171" s="150"/>
      <c r="D171" s="151"/>
      <c r="E171" s="152"/>
      <c r="F171" s="152"/>
      <c r="G171" s="22" t="s">
        <v>126</v>
      </c>
      <c r="H171" s="152"/>
      <c r="I171" s="153"/>
      <c r="J171" s="74"/>
      <c r="K171" s="74"/>
      <c r="L171" s="74"/>
      <c r="M171" s="74"/>
      <c r="N171" s="74"/>
      <c r="O171" s="74"/>
      <c r="P171" s="74"/>
      <c r="Q171" s="74"/>
      <c r="R171" s="74"/>
      <c r="S171" s="74"/>
      <c r="T171" s="74"/>
      <c r="U171" s="74"/>
      <c r="V171" s="74"/>
      <c r="W171" s="74"/>
      <c r="X171" s="74"/>
      <c r="Z171" s="74"/>
      <c r="AA171" s="74"/>
    </row>
    <row r="172" spans="1:27" hidden="1" outlineLevel="1" x14ac:dyDescent="0.35">
      <c r="A172" s="149"/>
      <c r="B172" s="149"/>
      <c r="C172" s="150"/>
      <c r="D172" s="154"/>
      <c r="E172" s="155" t="s">
        <v>177</v>
      </c>
      <c r="F172" s="152"/>
      <c r="H172" s="152"/>
      <c r="I172" s="153"/>
      <c r="J172" s="153"/>
      <c r="K172" s="153"/>
      <c r="L172" s="153"/>
      <c r="M172" s="153"/>
      <c r="N172" s="153"/>
      <c r="O172" s="153"/>
      <c r="P172" s="153"/>
      <c r="Q172" s="153"/>
      <c r="R172" s="153"/>
      <c r="S172" s="153"/>
      <c r="T172" s="153"/>
      <c r="U172" s="153"/>
      <c r="V172" s="153"/>
      <c r="W172" s="153"/>
      <c r="X172" s="153"/>
      <c r="Z172" s="153"/>
      <c r="AA172" s="153"/>
    </row>
    <row r="173" spans="1:27" hidden="1" outlineLevel="1" x14ac:dyDescent="0.35">
      <c r="A173" s="149"/>
      <c r="B173" s="149"/>
      <c r="C173" s="150"/>
      <c r="D173" s="154"/>
      <c r="E173" s="129">
        <f xml:space="preserve"> InpT!$F$8</f>
        <v>45016</v>
      </c>
      <c r="F173" s="152"/>
      <c r="G173" s="22" t="s">
        <v>178</v>
      </c>
      <c r="H173" s="152"/>
      <c r="I173" s="153"/>
      <c r="J173" s="153"/>
      <c r="K173" s="153"/>
      <c r="L173" s="153"/>
      <c r="M173" s="153"/>
      <c r="N173" s="153"/>
      <c r="O173" s="153"/>
      <c r="P173" s="153"/>
      <c r="Q173" s="153"/>
      <c r="R173" s="153"/>
      <c r="S173" s="153"/>
      <c r="T173" s="153"/>
      <c r="U173" s="153"/>
      <c r="V173" s="153"/>
      <c r="W173" s="153"/>
      <c r="X173" s="153"/>
      <c r="Z173" s="153"/>
      <c r="AA173" s="153"/>
    </row>
    <row r="174" spans="1:27" hidden="1" outlineLevel="1" x14ac:dyDescent="0.35">
      <c r="A174" s="149"/>
      <c r="B174" s="149"/>
      <c r="C174" s="150"/>
      <c r="D174" s="154"/>
      <c r="E174" s="129"/>
      <c r="F174" s="152"/>
      <c r="H174" s="152"/>
      <c r="I174" s="153"/>
      <c r="J174" s="153"/>
      <c r="K174" s="153"/>
      <c r="L174" s="153"/>
      <c r="M174" s="153"/>
      <c r="N174" s="153"/>
      <c r="O174" s="153"/>
      <c r="P174" s="153"/>
      <c r="Q174" s="153"/>
      <c r="R174" s="153"/>
      <c r="S174" s="153"/>
      <c r="T174" s="153"/>
      <c r="U174" s="153"/>
      <c r="V174" s="153"/>
      <c r="W174" s="153"/>
      <c r="X174" s="153"/>
      <c r="Z174" s="153"/>
      <c r="AA174" s="153"/>
    </row>
    <row r="175" spans="1:27" hidden="1" outlineLevel="1" x14ac:dyDescent="0.35">
      <c r="A175" s="149"/>
      <c r="B175" s="149"/>
      <c r="C175" s="150"/>
      <c r="D175" s="154"/>
      <c r="E175" s="10" t="str">
        <f>InpC!$E$25</f>
        <v>Anglian Water</v>
      </c>
      <c r="F175" s="10" t="str">
        <f>InpC!$F$25</f>
        <v>ANH</v>
      </c>
      <c r="G175" s="22" t="s">
        <v>34</v>
      </c>
      <c r="H175" s="152"/>
      <c r="I175" s="153"/>
      <c r="J175" s="156">
        <f t="shared" ref="J175:S175" si="81">J19+J97</f>
        <v>2.1184747663551402</v>
      </c>
      <c r="K175" s="156">
        <f t="shared" si="81"/>
        <v>1.864753912532453</v>
      </c>
      <c r="L175" s="156">
        <f t="shared" si="81"/>
        <v>1.026</v>
      </c>
      <c r="M175" s="156">
        <f t="shared" si="81"/>
        <v>0.75060957294147856</v>
      </c>
      <c r="N175" s="156">
        <f t="shared" si="81"/>
        <v>0.96754954556491579</v>
      </c>
      <c r="O175" s="156">
        <f t="shared" si="81"/>
        <v>1.5567689481860958</v>
      </c>
      <c r="P175" s="156">
        <f t="shared" si="81"/>
        <v>1.5567689481860958</v>
      </c>
      <c r="Q175" s="156">
        <f t="shared" si="81"/>
        <v>1.5567689481860958</v>
      </c>
      <c r="R175" s="156">
        <f t="shared" si="81"/>
        <v>1.5567689481860958</v>
      </c>
      <c r="S175" s="156">
        <f t="shared" si="81"/>
        <v>1.5567689481860958</v>
      </c>
      <c r="U175" s="156">
        <f t="shared" ref="U175:U191" si="82">IFERROR(AVERAGE(O175:S175),0)</f>
        <v>1.5567689481860958</v>
      </c>
      <c r="V175" s="156">
        <f t="shared" ref="V175:V191" si="83">SUM(O175:S175)</f>
        <v>7.783844740930479</v>
      </c>
      <c r="W175" s="156"/>
      <c r="X175" s="156"/>
    </row>
    <row r="176" spans="1:27" hidden="1" outlineLevel="1" x14ac:dyDescent="0.35">
      <c r="A176" s="149"/>
      <c r="B176" s="149"/>
      <c r="C176" s="150"/>
      <c r="D176" s="154"/>
      <c r="E176" s="10" t="str">
        <f>InpC!$E$26</f>
        <v>Dŵr Cymru</v>
      </c>
      <c r="F176" s="10" t="str">
        <f>InpC!$F$26</f>
        <v>WSH</v>
      </c>
      <c r="G176" s="22" t="s">
        <v>34</v>
      </c>
      <c r="H176" s="152"/>
      <c r="I176" s="153"/>
      <c r="J176" s="156">
        <f t="shared" ref="J176:S176" si="84">J20+J98</f>
        <v>3.8852336448598125E-2</v>
      </c>
      <c r="K176" s="156">
        <f t="shared" si="84"/>
        <v>6.0441988950276256E-3</v>
      </c>
      <c r="L176" s="156">
        <f t="shared" si="84"/>
        <v>0.186</v>
      </c>
      <c r="M176" s="156">
        <f t="shared" si="84"/>
        <v>0.20399999999999999</v>
      </c>
      <c r="N176" s="156">
        <f t="shared" si="84"/>
        <v>9.6000000000000002E-2</v>
      </c>
      <c r="O176" s="156">
        <f t="shared" si="84"/>
        <v>6.9000000000000006E-2</v>
      </c>
      <c r="P176" s="156">
        <f t="shared" si="84"/>
        <v>6.5000000000000002E-2</v>
      </c>
      <c r="Q176" s="156">
        <f t="shared" si="84"/>
        <v>6.4000000000000001E-2</v>
      </c>
      <c r="R176" s="156">
        <f t="shared" si="84"/>
        <v>6.3E-2</v>
      </c>
      <c r="S176" s="156">
        <f t="shared" si="84"/>
        <v>6.2E-2</v>
      </c>
      <c r="U176" s="156">
        <f t="shared" si="82"/>
        <v>6.4600000000000005E-2</v>
      </c>
      <c r="V176" s="156">
        <f t="shared" si="83"/>
        <v>0.32300000000000001</v>
      </c>
      <c r="W176" s="156"/>
      <c r="X176" s="156"/>
    </row>
    <row r="177" spans="1:24" hidden="1" outlineLevel="1" x14ac:dyDescent="0.35">
      <c r="A177" s="149"/>
      <c r="B177" s="149"/>
      <c r="C177" s="150"/>
      <c r="D177" s="154"/>
      <c r="E177" s="10" t="str">
        <f>InpC!$E$27</f>
        <v>Hafren Dyfrdwy</v>
      </c>
      <c r="F177" s="10" t="str">
        <f>InpC!$F$27</f>
        <v>HDD</v>
      </c>
      <c r="G177" s="22" t="s">
        <v>34</v>
      </c>
      <c r="H177" s="152"/>
      <c r="I177" s="153"/>
      <c r="J177" s="156">
        <f t="shared" ref="J177:S177" si="85">J21+J99</f>
        <v>0</v>
      </c>
      <c r="K177" s="156">
        <f t="shared" si="85"/>
        <v>0</v>
      </c>
      <c r="L177" s="156">
        <f t="shared" si="85"/>
        <v>0</v>
      </c>
      <c r="M177" s="156">
        <f t="shared" si="85"/>
        <v>0</v>
      </c>
      <c r="N177" s="156">
        <f t="shared" si="85"/>
        <v>0</v>
      </c>
      <c r="O177" s="156">
        <f t="shared" si="85"/>
        <v>0</v>
      </c>
      <c r="P177" s="156">
        <f t="shared" si="85"/>
        <v>0</v>
      </c>
      <c r="Q177" s="156">
        <f t="shared" si="85"/>
        <v>0</v>
      </c>
      <c r="R177" s="156">
        <f t="shared" si="85"/>
        <v>0</v>
      </c>
      <c r="S177" s="156">
        <f t="shared" si="85"/>
        <v>0</v>
      </c>
      <c r="U177" s="156">
        <f t="shared" si="82"/>
        <v>0</v>
      </c>
      <c r="V177" s="156">
        <f t="shared" si="83"/>
        <v>0</v>
      </c>
      <c r="W177" s="156"/>
      <c r="X177" s="156"/>
    </row>
    <row r="178" spans="1:24" hidden="1" outlineLevel="1" x14ac:dyDescent="0.35">
      <c r="A178" s="149"/>
      <c r="B178" s="149"/>
      <c r="C178" s="150"/>
      <c r="D178" s="154"/>
      <c r="E178" s="10" t="str">
        <f>InpC!$E$28</f>
        <v>Northumbrian Water</v>
      </c>
      <c r="F178" s="10" t="str">
        <f>InpC!$F$28</f>
        <v>NES</v>
      </c>
      <c r="G178" s="22" t="s">
        <v>34</v>
      </c>
      <c r="H178" s="152"/>
      <c r="I178" s="153"/>
      <c r="J178" s="156">
        <f t="shared" ref="J178:S178" si="86">J22+J100</f>
        <v>0.41306168224299067</v>
      </c>
      <c r="K178" s="156">
        <f t="shared" si="86"/>
        <v>0.40496132596685092</v>
      </c>
      <c r="L178" s="156">
        <f t="shared" si="86"/>
        <v>0.42899999999999999</v>
      </c>
      <c r="M178" s="156">
        <f t="shared" si="86"/>
        <v>0.44719456469114677</v>
      </c>
      <c r="N178" s="156">
        <f t="shared" si="86"/>
        <v>0.46700000000000003</v>
      </c>
      <c r="O178" s="156">
        <f t="shared" si="86"/>
        <v>0.49</v>
      </c>
      <c r="P178" s="156">
        <f t="shared" si="86"/>
        <v>0.51400000000000001</v>
      </c>
      <c r="Q178" s="156">
        <f t="shared" si="86"/>
        <v>0.53800000000000003</v>
      </c>
      <c r="R178" s="156">
        <f t="shared" si="86"/>
        <v>0.56100000000000005</v>
      </c>
      <c r="S178" s="156">
        <f t="shared" si="86"/>
        <v>0.58499999999999996</v>
      </c>
      <c r="U178" s="156">
        <f t="shared" si="82"/>
        <v>0.53760000000000008</v>
      </c>
      <c r="V178" s="156">
        <f t="shared" si="83"/>
        <v>2.6880000000000002</v>
      </c>
      <c r="W178" s="156"/>
      <c r="X178" s="156"/>
    </row>
    <row r="179" spans="1:24" hidden="1" outlineLevel="1" x14ac:dyDescent="0.35">
      <c r="A179" s="149"/>
      <c r="B179" s="149"/>
      <c r="C179" s="150"/>
      <c r="D179" s="154"/>
      <c r="E179" s="10" t="str">
        <f>InpC!$E$29</f>
        <v>Severn Trent Water</v>
      </c>
      <c r="F179" s="10" t="str">
        <f>InpC!$F$29</f>
        <v>SVE</v>
      </c>
      <c r="G179" s="22" t="s">
        <v>34</v>
      </c>
      <c r="H179" s="152"/>
      <c r="I179" s="153"/>
      <c r="J179" s="156">
        <f t="shared" ref="J179:S179" si="87">J23+J101</f>
        <v>2.4333831775700938</v>
      </c>
      <c r="K179" s="156">
        <f t="shared" si="87"/>
        <v>2.4418563535911608</v>
      </c>
      <c r="L179" s="156">
        <f t="shared" si="87"/>
        <v>2.7149999999999999</v>
      </c>
      <c r="M179" s="156">
        <f t="shared" si="87"/>
        <v>1.9631162529999999</v>
      </c>
      <c r="N179" s="156">
        <f t="shared" si="87"/>
        <v>1.9344504179999999</v>
      </c>
      <c r="O179" s="156">
        <f t="shared" si="87"/>
        <v>3.0647927080000001</v>
      </c>
      <c r="P179" s="156">
        <f t="shared" si="87"/>
        <v>3.0901431690000001</v>
      </c>
      <c r="Q179" s="156">
        <f t="shared" si="87"/>
        <v>3.1155018559999998</v>
      </c>
      <c r="R179" s="156">
        <f t="shared" si="87"/>
        <v>3.1418688129999999</v>
      </c>
      <c r="S179" s="156">
        <f t="shared" si="87"/>
        <v>3.1672440960000001</v>
      </c>
      <c r="U179" s="156">
        <f t="shared" si="82"/>
        <v>3.1159101284000004</v>
      </c>
      <c r="V179" s="156">
        <f t="shared" si="83"/>
        <v>15.579550642000001</v>
      </c>
      <c r="W179" s="156"/>
      <c r="X179" s="156"/>
    </row>
    <row r="180" spans="1:24" hidden="1" outlineLevel="1" x14ac:dyDescent="0.35">
      <c r="A180" s="149"/>
      <c r="B180" s="149"/>
      <c r="C180" s="150"/>
      <c r="D180" s="154"/>
      <c r="E180" s="10" t="str">
        <f>InpC!$E$30</f>
        <v>Southern Water</v>
      </c>
      <c r="F180" s="10" t="str">
        <f>InpC!$F$30</f>
        <v>SRN</v>
      </c>
      <c r="G180" s="22" t="s">
        <v>34</v>
      </c>
      <c r="H180" s="152"/>
      <c r="I180" s="153"/>
      <c r="J180" s="156">
        <f t="shared" ref="J180:S180" si="88">J24+J102</f>
        <v>1.3547196261682244</v>
      </c>
      <c r="K180" s="156">
        <f t="shared" si="88"/>
        <v>1.2461123388581956</v>
      </c>
      <c r="L180" s="156">
        <f t="shared" si="88"/>
        <v>1.6480000000000001</v>
      </c>
      <c r="M180" s="156">
        <f t="shared" si="88"/>
        <v>1.6819999999999999</v>
      </c>
      <c r="N180" s="156">
        <f t="shared" si="88"/>
        <v>2.5939999999999999</v>
      </c>
      <c r="O180" s="156">
        <f t="shared" si="88"/>
        <v>2.5945205208602831</v>
      </c>
      <c r="P180" s="156">
        <f t="shared" si="88"/>
        <v>2.5945205208602831</v>
      </c>
      <c r="Q180" s="156">
        <f t="shared" si="88"/>
        <v>2.5945205208602831</v>
      </c>
      <c r="R180" s="156">
        <f t="shared" si="88"/>
        <v>2.5945205208602831</v>
      </c>
      <c r="S180" s="156">
        <f t="shared" si="88"/>
        <v>2.5945205208602831</v>
      </c>
      <c r="U180" s="156">
        <f t="shared" si="82"/>
        <v>2.5945205208602831</v>
      </c>
      <c r="V180" s="156">
        <f t="shared" si="83"/>
        <v>12.972602604301414</v>
      </c>
      <c r="W180" s="156"/>
      <c r="X180" s="156"/>
    </row>
    <row r="181" spans="1:24" hidden="1" outlineLevel="1" x14ac:dyDescent="0.35">
      <c r="A181" s="149"/>
      <c r="B181" s="149"/>
      <c r="C181" s="150"/>
      <c r="D181" s="154"/>
      <c r="E181" s="10" t="str">
        <f>InpC!$E$31</f>
        <v>Thames Water</v>
      </c>
      <c r="F181" s="10" t="str">
        <f>InpC!$F$31</f>
        <v>TMS</v>
      </c>
      <c r="G181" s="22" t="s">
        <v>34</v>
      </c>
      <c r="H181" s="152"/>
      <c r="I181" s="153"/>
      <c r="J181" s="156">
        <f t="shared" ref="J181:S181" si="89">J25+J103</f>
        <v>23.221428037383177</v>
      </c>
      <c r="K181" s="156">
        <f t="shared" si="89"/>
        <v>27.636092081031311</v>
      </c>
      <c r="L181" s="156">
        <f t="shared" si="89"/>
        <v>33.1</v>
      </c>
      <c r="M181" s="156">
        <f t="shared" si="89"/>
        <v>27.184060721062593</v>
      </c>
      <c r="N181" s="156">
        <f t="shared" si="89"/>
        <v>34.036999999999999</v>
      </c>
      <c r="O181" s="156">
        <f t="shared" si="89"/>
        <v>34.917999999999999</v>
      </c>
      <c r="P181" s="156">
        <f t="shared" si="89"/>
        <v>34.917999999999999</v>
      </c>
      <c r="Q181" s="156">
        <f t="shared" si="89"/>
        <v>34.917999999999999</v>
      </c>
      <c r="R181" s="156">
        <f t="shared" si="89"/>
        <v>34.905000000000001</v>
      </c>
      <c r="S181" s="156">
        <f t="shared" si="89"/>
        <v>34.905000000000001</v>
      </c>
      <c r="U181" s="156">
        <f t="shared" si="82"/>
        <v>34.912799999999997</v>
      </c>
      <c r="V181" s="156">
        <f t="shared" si="83"/>
        <v>174.56399999999999</v>
      </c>
      <c r="W181" s="156"/>
      <c r="X181" s="156"/>
    </row>
    <row r="182" spans="1:24" hidden="1" outlineLevel="1" x14ac:dyDescent="0.35">
      <c r="A182" s="149"/>
      <c r="B182" s="149"/>
      <c r="C182" s="150"/>
      <c r="D182" s="154"/>
      <c r="E182" s="10" t="str">
        <f>InpC!$E$32</f>
        <v>United Utilities</v>
      </c>
      <c r="F182" s="10" t="str">
        <f>InpC!$F$32</f>
        <v>NWT</v>
      </c>
      <c r="G182" s="22" t="s">
        <v>34</v>
      </c>
      <c r="H182" s="152"/>
      <c r="I182" s="153"/>
      <c r="J182" s="156">
        <f t="shared" ref="J182:S182" si="90">J26+J104</f>
        <v>2.1315471624810454</v>
      </c>
      <c r="K182" s="156">
        <f t="shared" si="90"/>
        <v>2.620960095366704</v>
      </c>
      <c r="L182" s="156">
        <f t="shared" si="90"/>
        <v>2.6936995512436726</v>
      </c>
      <c r="M182" s="156">
        <f t="shared" si="90"/>
        <v>2.1826765196732794</v>
      </c>
      <c r="N182" s="156">
        <f t="shared" si="90"/>
        <v>2.2324326016411677</v>
      </c>
      <c r="O182" s="156">
        <f t="shared" si="90"/>
        <v>2.2322935179328853</v>
      </c>
      <c r="P182" s="156">
        <f t="shared" si="90"/>
        <v>2.2322935179328853</v>
      </c>
      <c r="Q182" s="156">
        <f t="shared" si="90"/>
        <v>2.2322935179328862</v>
      </c>
      <c r="R182" s="156">
        <f t="shared" si="90"/>
        <v>2.2322935179328862</v>
      </c>
      <c r="S182" s="156">
        <f t="shared" si="90"/>
        <v>2.2322935179328862</v>
      </c>
      <c r="U182" s="156">
        <f t="shared" si="82"/>
        <v>2.2322935179328858</v>
      </c>
      <c r="V182" s="156">
        <f t="shared" si="83"/>
        <v>11.161467589664429</v>
      </c>
      <c r="W182" s="156"/>
      <c r="X182" s="156"/>
    </row>
    <row r="183" spans="1:24" hidden="1" outlineLevel="1" x14ac:dyDescent="0.35">
      <c r="A183" s="149"/>
      <c r="B183" s="149"/>
      <c r="C183" s="150"/>
      <c r="D183" s="154"/>
      <c r="E183" s="10" t="str">
        <f>InpC!$E$33</f>
        <v>Wessex Water</v>
      </c>
      <c r="F183" s="10" t="str">
        <f>InpC!$F$33</f>
        <v>WSX</v>
      </c>
      <c r="G183" s="22" t="s">
        <v>34</v>
      </c>
      <c r="H183" s="152"/>
      <c r="I183" s="153"/>
      <c r="J183" s="156">
        <f t="shared" ref="J183:S183" si="91">J27+J105</f>
        <v>0.11057753252336451</v>
      </c>
      <c r="K183" s="156">
        <f t="shared" si="91"/>
        <v>0.14203867403314918</v>
      </c>
      <c r="L183" s="156">
        <f t="shared" si="91"/>
        <v>0.17899999999999999</v>
      </c>
      <c r="M183" s="156">
        <f t="shared" si="91"/>
        <v>0.13643223819301847</v>
      </c>
      <c r="N183" s="156">
        <f t="shared" si="91"/>
        <v>0.113737443673724</v>
      </c>
      <c r="O183" s="156">
        <f t="shared" si="91"/>
        <v>9.1269360515188233E-2</v>
      </c>
      <c r="P183" s="156">
        <f t="shared" si="91"/>
        <v>9.6837609957494603E-2</v>
      </c>
      <c r="Q183" s="156">
        <f t="shared" si="91"/>
        <v>9.6132890631344448E-2</v>
      </c>
      <c r="R183" s="156">
        <f t="shared" si="91"/>
        <v>9.5660761539398328E-2</v>
      </c>
      <c r="S183" s="156">
        <f t="shared" si="91"/>
        <v>0.100264359925965</v>
      </c>
      <c r="U183" s="156">
        <f t="shared" si="82"/>
        <v>9.6032996513878116E-2</v>
      </c>
      <c r="V183" s="156">
        <f t="shared" si="83"/>
        <v>0.48016498256939061</v>
      </c>
      <c r="W183" s="156"/>
      <c r="X183" s="156"/>
    </row>
    <row r="184" spans="1:24" hidden="1" outlineLevel="1" x14ac:dyDescent="0.35">
      <c r="A184" s="149"/>
      <c r="B184" s="149"/>
      <c r="C184" s="150"/>
      <c r="D184" s="154"/>
      <c r="E184" s="10" t="str">
        <f>InpC!$E$34</f>
        <v>Yorkshire Water</v>
      </c>
      <c r="F184" s="10" t="str">
        <f>InpC!$F$34</f>
        <v>YKY</v>
      </c>
      <c r="G184" s="22" t="s">
        <v>34</v>
      </c>
      <c r="H184" s="152"/>
      <c r="I184" s="153"/>
      <c r="J184" s="156">
        <f t="shared" ref="J184:S184" si="92">J28+J106</f>
        <v>4.5978672897196269</v>
      </c>
      <c r="K184" s="156">
        <f t="shared" si="92"/>
        <v>3.6411817705007015</v>
      </c>
      <c r="L184" s="156">
        <f t="shared" si="92"/>
        <v>3.8377190511661063</v>
      </c>
      <c r="M184" s="156">
        <f t="shared" si="92"/>
        <v>3.2565324710202734</v>
      </c>
      <c r="N184" s="156">
        <f t="shared" si="92"/>
        <v>3.5966580219158613</v>
      </c>
      <c r="O184" s="156">
        <f t="shared" si="92"/>
        <v>4.1693312836279786</v>
      </c>
      <c r="P184" s="156">
        <f t="shared" si="92"/>
        <v>4.1693312836279786</v>
      </c>
      <c r="Q184" s="156">
        <f t="shared" si="92"/>
        <v>4.1693312836279786</v>
      </c>
      <c r="R184" s="156">
        <f t="shared" si="92"/>
        <v>4.1693312836279786</v>
      </c>
      <c r="S184" s="156">
        <f t="shared" si="92"/>
        <v>4.1693312836279786</v>
      </c>
      <c r="U184" s="156">
        <f t="shared" si="82"/>
        <v>4.1693312836279786</v>
      </c>
      <c r="V184" s="156">
        <f t="shared" si="83"/>
        <v>20.846656418139894</v>
      </c>
      <c r="W184" s="156"/>
      <c r="X184" s="156"/>
    </row>
    <row r="185" spans="1:24" hidden="1" outlineLevel="1" x14ac:dyDescent="0.35">
      <c r="A185" s="149"/>
      <c r="B185" s="149"/>
      <c r="C185" s="150"/>
      <c r="D185" s="154"/>
      <c r="E185" s="10" t="str">
        <f>InpC!$E$35</f>
        <v>Affinity Water</v>
      </c>
      <c r="F185" s="10" t="str">
        <f>InpC!$F$35</f>
        <v>AFW</v>
      </c>
      <c r="G185" s="22" t="s">
        <v>34</v>
      </c>
      <c r="H185" s="152"/>
      <c r="I185" s="153"/>
      <c r="J185" s="156">
        <f t="shared" ref="J185:S185" si="93">J29+J107</f>
        <v>1.9078542056074768</v>
      </c>
      <c r="K185" s="156">
        <f t="shared" si="93"/>
        <v>1.058742173112339</v>
      </c>
      <c r="L185" s="156">
        <f t="shared" si="93"/>
        <v>0.61699999999999999</v>
      </c>
      <c r="M185" s="156">
        <f t="shared" si="93"/>
        <v>0.48099999999999998</v>
      </c>
      <c r="N185" s="156">
        <f t="shared" si="93"/>
        <v>0.623</v>
      </c>
      <c r="O185" s="156">
        <f t="shared" si="93"/>
        <v>0.65</v>
      </c>
      <c r="P185" s="156">
        <f t="shared" si="93"/>
        <v>0.65</v>
      </c>
      <c r="Q185" s="156">
        <f t="shared" si="93"/>
        <v>0.65100000000000002</v>
      </c>
      <c r="R185" s="156">
        <f t="shared" si="93"/>
        <v>0.65100000000000002</v>
      </c>
      <c r="S185" s="156">
        <f t="shared" si="93"/>
        <v>0.65100000000000002</v>
      </c>
      <c r="U185" s="156">
        <f t="shared" si="82"/>
        <v>0.65060000000000007</v>
      </c>
      <c r="V185" s="156">
        <f t="shared" si="83"/>
        <v>3.2530000000000001</v>
      </c>
      <c r="W185" s="156"/>
      <c r="X185" s="156"/>
    </row>
    <row r="186" spans="1:24" hidden="1" outlineLevel="1" x14ac:dyDescent="0.35">
      <c r="A186" s="149"/>
      <c r="B186" s="149"/>
      <c r="C186" s="150"/>
      <c r="D186" s="154"/>
      <c r="E186" s="10" t="str">
        <f>InpC!$E$36</f>
        <v>Portsmouth Water</v>
      </c>
      <c r="F186" s="10" t="str">
        <f>InpC!$F$36</f>
        <v>PRT</v>
      </c>
      <c r="G186" s="22" t="s">
        <v>34</v>
      </c>
      <c r="H186" s="152"/>
      <c r="I186" s="153"/>
      <c r="J186" s="156">
        <f t="shared" ref="J186:S186" si="94">J30+J108</f>
        <v>0.25049532710280376</v>
      </c>
      <c r="K186" s="156">
        <f t="shared" si="94"/>
        <v>0.28306998158379382</v>
      </c>
      <c r="L186" s="156">
        <f t="shared" si="94"/>
        <v>0.22900000000000001</v>
      </c>
      <c r="M186" s="156">
        <f t="shared" si="94"/>
        <v>0.1212731006160164</v>
      </c>
      <c r="N186" s="156">
        <f t="shared" si="94"/>
        <v>0.41</v>
      </c>
      <c r="O186" s="156">
        <f t="shared" si="94"/>
        <v>0.48699999999999999</v>
      </c>
      <c r="P186" s="156">
        <f t="shared" si="94"/>
        <v>0.49164000000000002</v>
      </c>
      <c r="Q186" s="156">
        <f t="shared" si="94"/>
        <v>0.48681999999999997</v>
      </c>
      <c r="R186" s="156">
        <f t="shared" si="94"/>
        <v>0.48681999999999997</v>
      </c>
      <c r="S186" s="156">
        <f t="shared" si="94"/>
        <v>0.48681999999999997</v>
      </c>
      <c r="U186" s="156">
        <f t="shared" si="82"/>
        <v>0.48781999999999998</v>
      </c>
      <c r="V186" s="156">
        <f t="shared" si="83"/>
        <v>2.4390999999999998</v>
      </c>
      <c r="W186" s="156"/>
      <c r="X186" s="156"/>
    </row>
    <row r="187" spans="1:24" hidden="1" outlineLevel="1" x14ac:dyDescent="0.35">
      <c r="A187" s="149"/>
      <c r="B187" s="149"/>
      <c r="C187" s="150"/>
      <c r="D187" s="154"/>
      <c r="E187" s="10" t="str">
        <f>InpC!$E$37</f>
        <v>South East Water</v>
      </c>
      <c r="F187" s="10" t="str">
        <f>InpC!$F$37</f>
        <v>SEW</v>
      </c>
      <c r="G187" s="22" t="s">
        <v>34</v>
      </c>
      <c r="H187" s="152"/>
      <c r="I187" s="153"/>
      <c r="J187" s="156">
        <f t="shared" ref="J187:S187" si="95">J31+J109</f>
        <v>0.65742242990654209</v>
      </c>
      <c r="K187" s="156">
        <f t="shared" si="95"/>
        <v>0.72530386740331498</v>
      </c>
      <c r="L187" s="156">
        <f t="shared" si="95"/>
        <v>0.57299999999999995</v>
      </c>
      <c r="M187" s="156">
        <f t="shared" si="95"/>
        <v>1.0507178729007369</v>
      </c>
      <c r="N187" s="156">
        <f t="shared" si="95"/>
        <v>1.366560737738022</v>
      </c>
      <c r="O187" s="156">
        <f t="shared" si="95"/>
        <v>1.367</v>
      </c>
      <c r="P187" s="156">
        <f t="shared" si="95"/>
        <v>1.367</v>
      </c>
      <c r="Q187" s="156">
        <f t="shared" si="95"/>
        <v>1.367</v>
      </c>
      <c r="R187" s="156">
        <f t="shared" si="95"/>
        <v>1.367</v>
      </c>
      <c r="S187" s="156">
        <f t="shared" si="95"/>
        <v>1.367</v>
      </c>
      <c r="U187" s="156">
        <f t="shared" si="82"/>
        <v>1.367</v>
      </c>
      <c r="V187" s="156">
        <f t="shared" si="83"/>
        <v>6.835</v>
      </c>
      <c r="W187" s="156"/>
      <c r="X187" s="156"/>
    </row>
    <row r="188" spans="1:24" hidden="1" outlineLevel="1" x14ac:dyDescent="0.35">
      <c r="A188" s="149"/>
      <c r="B188" s="149"/>
      <c r="C188" s="150"/>
      <c r="D188" s="154"/>
      <c r="E188" s="10" t="str">
        <f>InpC!$E$38</f>
        <v>South Staffs Water</v>
      </c>
      <c r="F188" s="10" t="str">
        <f>InpC!$F$38</f>
        <v>SSC</v>
      </c>
      <c r="G188" s="22" t="s">
        <v>34</v>
      </c>
      <c r="H188" s="152"/>
      <c r="I188" s="153"/>
      <c r="J188" s="156">
        <f t="shared" ref="J188:S188" si="96">J32+J110</f>
        <v>0.33228971962616827</v>
      </c>
      <c r="K188" s="156">
        <f t="shared" si="96"/>
        <v>0.46238121546961336</v>
      </c>
      <c r="L188" s="156">
        <f t="shared" si="96"/>
        <v>0.48899999999999999</v>
      </c>
      <c r="M188" s="156">
        <f t="shared" si="96"/>
        <v>0.48899999999999999</v>
      </c>
      <c r="N188" s="156">
        <f t="shared" si="96"/>
        <v>0.48899999999999999</v>
      </c>
      <c r="O188" s="156">
        <f t="shared" si="96"/>
        <v>0.48899999999999999</v>
      </c>
      <c r="P188" s="156">
        <f t="shared" si="96"/>
        <v>0.48899999999999999</v>
      </c>
      <c r="Q188" s="156">
        <f t="shared" si="96"/>
        <v>0.48899999999999999</v>
      </c>
      <c r="R188" s="156">
        <f t="shared" si="96"/>
        <v>0.48899999999999999</v>
      </c>
      <c r="S188" s="156">
        <f t="shared" si="96"/>
        <v>0.48899999999999999</v>
      </c>
      <c r="U188" s="156">
        <f t="shared" si="82"/>
        <v>0.48899999999999999</v>
      </c>
      <c r="V188" s="156">
        <f t="shared" si="83"/>
        <v>2.4449999999999998</v>
      </c>
      <c r="W188" s="156"/>
      <c r="X188" s="156"/>
    </row>
    <row r="189" spans="1:24" hidden="1" outlineLevel="1" x14ac:dyDescent="0.35">
      <c r="A189" s="149"/>
      <c r="B189" s="149"/>
      <c r="C189" s="150"/>
      <c r="D189" s="154"/>
      <c r="E189" s="10" t="str">
        <f>InpC!$E$39</f>
        <v>SES Water</v>
      </c>
      <c r="F189" s="10" t="str">
        <f>InpC!$F$39</f>
        <v>SES</v>
      </c>
      <c r="G189" s="22" t="s">
        <v>34</v>
      </c>
      <c r="H189" s="152"/>
      <c r="I189" s="153"/>
      <c r="J189" s="156">
        <f t="shared" ref="J189:S189" si="97">J33+J111</f>
        <v>0.18237078153271027</v>
      </c>
      <c r="K189" s="156">
        <f t="shared" si="97"/>
        <v>0.12717755036832415</v>
      </c>
      <c r="L189" s="156">
        <f t="shared" si="97"/>
        <v>0.31</v>
      </c>
      <c r="M189" s="156">
        <f t="shared" si="97"/>
        <v>0.34269271435338688</v>
      </c>
      <c r="N189" s="156">
        <f t="shared" si="97"/>
        <v>0.33700000000000002</v>
      </c>
      <c r="O189" s="156">
        <f t="shared" si="97"/>
        <v>0.34399999999999997</v>
      </c>
      <c r="P189" s="156">
        <f t="shared" si="97"/>
        <v>0.34699999999999998</v>
      </c>
      <c r="Q189" s="156">
        <f t="shared" si="97"/>
        <v>0.34799999999999998</v>
      </c>
      <c r="R189" s="156">
        <f t="shared" si="97"/>
        <v>0.35399999999999998</v>
      </c>
      <c r="S189" s="156">
        <f t="shared" si="97"/>
        <v>0.35699999999999998</v>
      </c>
      <c r="U189" s="156">
        <f t="shared" si="82"/>
        <v>0.35</v>
      </c>
      <c r="V189" s="156">
        <f t="shared" si="83"/>
        <v>1.7499999999999998</v>
      </c>
      <c r="W189" s="156"/>
      <c r="X189" s="156"/>
    </row>
    <row r="190" spans="1:24" hidden="1" outlineLevel="1" x14ac:dyDescent="0.35">
      <c r="A190" s="149"/>
      <c r="B190" s="149"/>
      <c r="C190" s="150"/>
      <c r="D190" s="154"/>
      <c r="E190" s="10" t="str">
        <f>InpC!$E$40</f>
        <v>South West Water</v>
      </c>
      <c r="F190" s="10" t="str">
        <f>InpC!$F$40</f>
        <v>SWB</v>
      </c>
      <c r="G190" s="22" t="s">
        <v>34</v>
      </c>
      <c r="H190" s="152"/>
      <c r="I190" s="153"/>
      <c r="J190" s="156">
        <f t="shared" ref="J190:S190" si="98">J34+J112</f>
        <v>0</v>
      </c>
      <c r="K190" s="156">
        <f t="shared" si="98"/>
        <v>5.5405156537753235E-2</v>
      </c>
      <c r="L190" s="156">
        <f t="shared" si="98"/>
        <v>0.21199999999999999</v>
      </c>
      <c r="M190" s="156">
        <f t="shared" si="98"/>
        <v>0.79</v>
      </c>
      <c r="N190" s="156">
        <f t="shared" si="98"/>
        <v>0.21199999999999999</v>
      </c>
      <c r="O190" s="156">
        <f t="shared" si="98"/>
        <v>0.14199529599999999</v>
      </c>
      <c r="P190" s="156">
        <f t="shared" si="98"/>
        <v>0.133004648</v>
      </c>
      <c r="Q190" s="156">
        <f t="shared" si="98"/>
        <v>0.123995114</v>
      </c>
      <c r="R190" s="156">
        <f t="shared" si="98"/>
        <v>0.114998539</v>
      </c>
      <c r="S190" s="156">
        <f t="shared" si="98"/>
        <v>0.107004223</v>
      </c>
      <c r="U190" s="156">
        <f t="shared" si="82"/>
        <v>0.12419956400000001</v>
      </c>
      <c r="V190" s="156">
        <f t="shared" si="83"/>
        <v>0.62099782000000003</v>
      </c>
      <c r="W190" s="156"/>
      <c r="X190" s="156"/>
    </row>
    <row r="191" spans="1:24" hidden="1" outlineLevel="1" x14ac:dyDescent="0.35">
      <c r="A191" s="149"/>
      <c r="B191" s="149"/>
      <c r="C191" s="150"/>
      <c r="D191" s="154"/>
      <c r="E191" s="10" t="str">
        <f>InpC!$E$41</f>
        <v>Bristol Water</v>
      </c>
      <c r="F191" s="10" t="str">
        <f>InpC!$F$41</f>
        <v>BRL</v>
      </c>
      <c r="G191" s="22" t="s">
        <v>34</v>
      </c>
      <c r="H191" s="152"/>
      <c r="I191" s="153"/>
      <c r="J191" s="156">
        <f t="shared" ref="J191:S191" si="99">J35+J113</f>
        <v>0.34353644859813087</v>
      </c>
      <c r="K191" s="156">
        <f t="shared" si="99"/>
        <v>0.37171823204419896</v>
      </c>
      <c r="L191" s="156">
        <f t="shared" si="99"/>
        <v>0.20599999999999999</v>
      </c>
      <c r="M191" s="156">
        <f t="shared" si="99"/>
        <v>0.44719455852156048</v>
      </c>
      <c r="N191" s="156">
        <f t="shared" si="99"/>
        <v>0.47199999999999998</v>
      </c>
      <c r="O191" s="156">
        <f t="shared" si="99"/>
        <v>0.18539385899999999</v>
      </c>
      <c r="P191" s="156">
        <f t="shared" si="99"/>
        <v>0.18540647900000001</v>
      </c>
      <c r="Q191" s="156">
        <f t="shared" si="99"/>
        <v>0.185392694</v>
      </c>
      <c r="R191" s="156">
        <f t="shared" si="99"/>
        <v>0.185397645</v>
      </c>
      <c r="S191" s="156">
        <f t="shared" si="99"/>
        <v>0.18540731699999999</v>
      </c>
      <c r="U191" s="156">
        <f t="shared" si="82"/>
        <v>0.18539959880000001</v>
      </c>
      <c r="V191" s="156">
        <f t="shared" si="83"/>
        <v>0.92699799400000005</v>
      </c>
      <c r="W191" s="156"/>
      <c r="X191" s="156"/>
    </row>
    <row r="192" spans="1:24" hidden="1" outlineLevel="1" x14ac:dyDescent="0.35">
      <c r="A192" s="149"/>
      <c r="B192" s="149"/>
      <c r="C192" s="150"/>
      <c r="D192" s="154"/>
      <c r="E192" s="10" t="s">
        <v>147</v>
      </c>
      <c r="G192" s="22" t="s">
        <v>34</v>
      </c>
      <c r="H192" s="152"/>
      <c r="I192" s="153"/>
      <c r="J192" s="157">
        <f>SUM(J175:J191)</f>
        <v>40.093880523266087</v>
      </c>
      <c r="K192" s="157">
        <f t="shared" ref="K192:S192" si="100">SUM(K175:K191)</f>
        <v>43.087798927294891</v>
      </c>
      <c r="L192" s="157">
        <f t="shared" si="100"/>
        <v>48.450418602409783</v>
      </c>
      <c r="M192" s="157">
        <f t="shared" si="100"/>
        <v>41.528500586973479</v>
      </c>
      <c r="N192" s="157">
        <f t="shared" si="100"/>
        <v>49.94838876853369</v>
      </c>
      <c r="O192" s="157">
        <f t="shared" si="100"/>
        <v>52.850365494122428</v>
      </c>
      <c r="P192" s="157">
        <f t="shared" si="100"/>
        <v>52.899946176564733</v>
      </c>
      <c r="Q192" s="157">
        <f t="shared" si="100"/>
        <v>52.935756825238592</v>
      </c>
      <c r="R192" s="157">
        <f t="shared" si="100"/>
        <v>52.967660029146643</v>
      </c>
      <c r="S192" s="157">
        <f t="shared" si="100"/>
        <v>53.015654266533204</v>
      </c>
      <c r="U192" s="157">
        <f t="shared" ref="U192:V192" si="101">SUM(U175:U191)</f>
        <v>52.93387655832111</v>
      </c>
      <c r="V192" s="157">
        <f t="shared" si="101"/>
        <v>264.66938279160559</v>
      </c>
      <c r="W192" s="156"/>
      <c r="X192" s="156"/>
    </row>
    <row r="193" spans="1:27" x14ac:dyDescent="0.35">
      <c r="A193" s="149"/>
      <c r="B193" s="149"/>
      <c r="C193" s="150"/>
      <c r="D193" s="154"/>
      <c r="E193" s="152"/>
      <c r="F193" s="152"/>
      <c r="H193" s="152"/>
      <c r="I193" s="153"/>
      <c r="J193" s="152"/>
      <c r="K193" s="152"/>
      <c r="L193" s="152"/>
      <c r="M193" s="152"/>
      <c r="N193" s="152"/>
      <c r="O193" s="152"/>
      <c r="P193" s="152"/>
      <c r="Q193" s="152"/>
      <c r="R193" s="152"/>
      <c r="S193" s="152"/>
      <c r="T193" s="152"/>
      <c r="U193" s="152"/>
      <c r="V193" s="152"/>
      <c r="W193" s="152"/>
      <c r="X193" s="152"/>
      <c r="Z193" s="152"/>
      <c r="AA193" s="152"/>
    </row>
    <row r="194" spans="1:27" x14ac:dyDescent="0.35">
      <c r="A194" s="149"/>
      <c r="B194" s="149"/>
      <c r="C194" s="150"/>
      <c r="D194" s="151" t="str">
        <f>D168</f>
        <v>Traffic Management Act</v>
      </c>
      <c r="E194" s="152"/>
      <c r="F194" s="152"/>
      <c r="G194" s="22" t="s">
        <v>125</v>
      </c>
      <c r="H194" s="152"/>
      <c r="I194" s="153"/>
      <c r="J194" s="74">
        <f>J$2</f>
        <v>44286</v>
      </c>
      <c r="K194" s="74">
        <f t="shared" ref="K194:V194" si="102">K$2</f>
        <v>44651</v>
      </c>
      <c r="L194" s="74">
        <f t="shared" si="102"/>
        <v>45016</v>
      </c>
      <c r="M194" s="74">
        <f t="shared" si="102"/>
        <v>45382</v>
      </c>
      <c r="N194" s="74">
        <f t="shared" si="102"/>
        <v>45747</v>
      </c>
      <c r="O194" s="74">
        <f t="shared" si="102"/>
        <v>46112</v>
      </c>
      <c r="P194" s="74">
        <f t="shared" si="102"/>
        <v>46477</v>
      </c>
      <c r="Q194" s="74">
        <f t="shared" si="102"/>
        <v>46843</v>
      </c>
      <c r="R194" s="74">
        <f t="shared" si="102"/>
        <v>47208</v>
      </c>
      <c r="S194" s="74">
        <f t="shared" si="102"/>
        <v>47573</v>
      </c>
      <c r="T194" s="74"/>
      <c r="U194" s="74" t="str">
        <f t="shared" si="102"/>
        <v>PR24 Average</v>
      </c>
      <c r="V194" s="74" t="str">
        <f t="shared" si="102"/>
        <v>PR24 Total</v>
      </c>
      <c r="W194" s="74"/>
      <c r="X194" s="74"/>
      <c r="Z194" s="74"/>
      <c r="AA194" s="74"/>
    </row>
    <row r="195" spans="1:27" collapsed="1" x14ac:dyDescent="0.35">
      <c r="A195" s="149"/>
      <c r="B195" s="149"/>
      <c r="C195" s="150"/>
      <c r="D195" s="154"/>
      <c r="E195" s="151" t="s">
        <v>179</v>
      </c>
      <c r="F195" s="152"/>
      <c r="H195" s="152"/>
      <c r="I195" s="153"/>
      <c r="J195" s="152"/>
      <c r="K195" s="152"/>
      <c r="L195" s="152"/>
      <c r="M195" s="152"/>
      <c r="N195" s="152"/>
      <c r="O195" s="152"/>
      <c r="P195" s="152"/>
      <c r="Q195" s="152"/>
      <c r="R195" s="152"/>
      <c r="S195" s="152"/>
      <c r="T195" s="152"/>
      <c r="U195" s="152"/>
      <c r="V195" s="152"/>
      <c r="W195" s="152"/>
      <c r="X195" s="152"/>
      <c r="Z195" s="152"/>
      <c r="AA195" s="152"/>
    </row>
    <row r="196" spans="1:27" hidden="1" outlineLevel="1" x14ac:dyDescent="0.35">
      <c r="A196" s="149"/>
      <c r="B196" s="149"/>
      <c r="C196" s="150"/>
      <c r="D196" s="154"/>
      <c r="E196" s="152"/>
      <c r="F196" s="152"/>
      <c r="H196" s="152"/>
      <c r="I196" s="153"/>
      <c r="J196" s="152"/>
      <c r="K196" s="152"/>
      <c r="L196" s="152"/>
      <c r="M196" s="152"/>
      <c r="N196" s="152"/>
      <c r="O196" s="152"/>
      <c r="P196" s="152"/>
      <c r="Q196" s="152"/>
      <c r="R196" s="152"/>
      <c r="S196" s="152"/>
      <c r="T196" s="152"/>
      <c r="U196" s="152"/>
      <c r="V196" s="152"/>
      <c r="W196" s="152"/>
      <c r="X196" s="152"/>
      <c r="Z196" s="152"/>
      <c r="AA196" s="152"/>
    </row>
    <row r="197" spans="1:27" hidden="1" outlineLevel="1" x14ac:dyDescent="0.35">
      <c r="A197" s="149"/>
      <c r="B197" s="149"/>
      <c r="C197" s="150"/>
      <c r="D197" s="151"/>
      <c r="E197" s="152"/>
      <c r="F197" s="152"/>
      <c r="G197" s="22" t="s">
        <v>126</v>
      </c>
      <c r="H197" s="152"/>
      <c r="I197" s="153"/>
      <c r="J197" s="74"/>
      <c r="K197" s="74"/>
      <c r="L197" s="74"/>
      <c r="M197" s="74"/>
      <c r="N197" s="74"/>
      <c r="O197" s="74"/>
      <c r="P197" s="74"/>
      <c r="Q197" s="74"/>
      <c r="R197" s="74"/>
      <c r="S197" s="74"/>
      <c r="T197" s="74"/>
      <c r="U197" s="74"/>
      <c r="V197" s="74"/>
      <c r="W197" s="74"/>
      <c r="X197" s="74"/>
      <c r="Z197" s="74"/>
      <c r="AA197" s="74"/>
    </row>
    <row r="198" spans="1:27" hidden="1" outlineLevel="1" x14ac:dyDescent="0.35">
      <c r="A198" s="149"/>
      <c r="B198" s="149"/>
      <c r="C198" s="150"/>
      <c r="D198" s="154"/>
      <c r="E198" s="155" t="s">
        <v>177</v>
      </c>
      <c r="F198" s="152"/>
      <c r="H198" s="152"/>
      <c r="I198" s="153"/>
      <c r="J198" s="153"/>
      <c r="K198" s="153"/>
      <c r="L198" s="153"/>
      <c r="M198" s="153"/>
      <c r="N198" s="153"/>
      <c r="O198" s="153"/>
      <c r="P198" s="153"/>
      <c r="Q198" s="153"/>
      <c r="R198" s="153"/>
      <c r="S198" s="153"/>
      <c r="T198" s="153"/>
      <c r="U198" s="153"/>
      <c r="V198" s="153"/>
      <c r="W198" s="153"/>
      <c r="X198" s="153"/>
      <c r="Z198" s="153"/>
      <c r="AA198" s="153"/>
    </row>
    <row r="199" spans="1:27" hidden="1" outlineLevel="1" x14ac:dyDescent="0.35">
      <c r="A199" s="149"/>
      <c r="B199" s="149"/>
      <c r="C199" s="150"/>
      <c r="D199" s="154"/>
      <c r="E199" s="129">
        <f xml:space="preserve"> InpT!$F$8</f>
        <v>45016</v>
      </c>
      <c r="F199" s="152"/>
      <c r="G199" s="22" t="s">
        <v>178</v>
      </c>
      <c r="H199" s="152"/>
      <c r="I199" s="153"/>
      <c r="J199" s="153"/>
      <c r="K199" s="153"/>
      <c r="L199" s="153"/>
      <c r="M199" s="153"/>
      <c r="N199" s="153"/>
      <c r="O199" s="153"/>
      <c r="P199" s="153"/>
      <c r="Q199" s="153"/>
      <c r="R199" s="153"/>
      <c r="S199" s="153"/>
      <c r="T199" s="153"/>
      <c r="U199" s="153"/>
      <c r="V199" s="153"/>
      <c r="W199" s="153"/>
      <c r="X199" s="153"/>
      <c r="Z199" s="153"/>
      <c r="AA199" s="153"/>
    </row>
    <row r="200" spans="1:27" hidden="1" outlineLevel="1" x14ac:dyDescent="0.35">
      <c r="A200" s="149"/>
      <c r="B200" s="149"/>
      <c r="C200" s="150"/>
      <c r="D200" s="154"/>
      <c r="E200" s="129"/>
      <c r="F200" s="152"/>
      <c r="H200" s="152"/>
      <c r="I200" s="153"/>
      <c r="J200" s="153"/>
      <c r="K200" s="153"/>
      <c r="L200" s="153"/>
      <c r="M200" s="153"/>
      <c r="N200" s="153"/>
      <c r="O200" s="153"/>
      <c r="P200" s="153"/>
      <c r="Q200" s="153"/>
      <c r="R200" s="153"/>
      <c r="S200" s="153"/>
      <c r="T200" s="153"/>
      <c r="U200" s="153"/>
      <c r="V200" s="153"/>
      <c r="W200" s="153"/>
      <c r="X200" s="153"/>
      <c r="Z200" s="153"/>
      <c r="AA200" s="153"/>
    </row>
    <row r="201" spans="1:27" hidden="1" outlineLevel="1" x14ac:dyDescent="0.35">
      <c r="A201" s="149"/>
      <c r="B201" s="149"/>
      <c r="C201" s="150"/>
      <c r="D201" s="154"/>
      <c r="E201" s="10" t="str">
        <f>InpC!$E$25</f>
        <v>Anglian Water</v>
      </c>
      <c r="F201" s="10" t="str">
        <f>InpC!$F$25</f>
        <v>ANH</v>
      </c>
      <c r="G201" s="22" t="s">
        <v>34</v>
      </c>
      <c r="H201" s="152"/>
      <c r="I201" s="153"/>
      <c r="J201" s="156">
        <f t="shared" ref="J201:S201" si="103">J45+J123</f>
        <v>0</v>
      </c>
      <c r="K201" s="156">
        <f t="shared" si="103"/>
        <v>0</v>
      </c>
      <c r="L201" s="156">
        <f t="shared" si="103"/>
        <v>0</v>
      </c>
      <c r="M201" s="156">
        <f t="shared" si="103"/>
        <v>0</v>
      </c>
      <c r="N201" s="156">
        <f t="shared" si="103"/>
        <v>0</v>
      </c>
      <c r="O201" s="156">
        <f t="shared" si="103"/>
        <v>0</v>
      </c>
      <c r="P201" s="156">
        <f t="shared" si="103"/>
        <v>0</v>
      </c>
      <c r="Q201" s="156">
        <f t="shared" si="103"/>
        <v>0</v>
      </c>
      <c r="R201" s="156">
        <f t="shared" si="103"/>
        <v>0</v>
      </c>
      <c r="S201" s="156">
        <f t="shared" si="103"/>
        <v>0</v>
      </c>
      <c r="U201" s="156">
        <f t="shared" ref="U201:U217" si="104">IFERROR(AVERAGE(O201:S201),0)</f>
        <v>0</v>
      </c>
      <c r="V201" s="156">
        <f t="shared" ref="V201:V217" si="105">SUM(O201:S201)</f>
        <v>0</v>
      </c>
      <c r="W201" s="156"/>
      <c r="X201" s="156"/>
    </row>
    <row r="202" spans="1:27" hidden="1" outlineLevel="1" x14ac:dyDescent="0.35">
      <c r="A202" s="149"/>
      <c r="B202" s="149"/>
      <c r="C202" s="150"/>
      <c r="D202" s="154"/>
      <c r="E202" s="10" t="str">
        <f>InpC!$E$26</f>
        <v>Dŵr Cymru</v>
      </c>
      <c r="F202" s="10" t="str">
        <f>InpC!$F$26</f>
        <v>WSH</v>
      </c>
      <c r="G202" s="22" t="s">
        <v>34</v>
      </c>
      <c r="H202" s="152"/>
      <c r="I202" s="153"/>
      <c r="J202" s="156">
        <f t="shared" ref="J202:S202" si="106">J46+J124</f>
        <v>0</v>
      </c>
      <c r="K202" s="156">
        <f t="shared" si="106"/>
        <v>0</v>
      </c>
      <c r="L202" s="156">
        <f t="shared" si="106"/>
        <v>0</v>
      </c>
      <c r="M202" s="156">
        <f t="shared" si="106"/>
        <v>0</v>
      </c>
      <c r="N202" s="156">
        <f t="shared" si="106"/>
        <v>0</v>
      </c>
      <c r="O202" s="156">
        <f t="shared" si="106"/>
        <v>0</v>
      </c>
      <c r="P202" s="156">
        <f t="shared" si="106"/>
        <v>0</v>
      </c>
      <c r="Q202" s="156">
        <f t="shared" si="106"/>
        <v>0</v>
      </c>
      <c r="R202" s="156">
        <f t="shared" si="106"/>
        <v>0</v>
      </c>
      <c r="S202" s="156">
        <f t="shared" si="106"/>
        <v>0</v>
      </c>
      <c r="U202" s="156">
        <f t="shared" si="104"/>
        <v>0</v>
      </c>
      <c r="V202" s="156">
        <f t="shared" si="105"/>
        <v>0</v>
      </c>
      <c r="W202" s="156"/>
      <c r="X202" s="156"/>
    </row>
    <row r="203" spans="1:27" hidden="1" outlineLevel="1" x14ac:dyDescent="0.35">
      <c r="A203" s="149"/>
      <c r="B203" s="149"/>
      <c r="C203" s="150"/>
      <c r="D203" s="154"/>
      <c r="E203" s="10" t="str">
        <f>InpC!$E$27</f>
        <v>Hafren Dyfrdwy</v>
      </c>
      <c r="F203" s="10" t="str">
        <f>InpC!$F$27</f>
        <v>HDD</v>
      </c>
      <c r="G203" s="22" t="s">
        <v>34</v>
      </c>
      <c r="H203" s="152"/>
      <c r="I203" s="153"/>
      <c r="J203" s="156">
        <f t="shared" ref="J203:S203" si="107">J47+J125</f>
        <v>0</v>
      </c>
      <c r="K203" s="156">
        <f t="shared" si="107"/>
        <v>0</v>
      </c>
      <c r="L203" s="156">
        <f t="shared" si="107"/>
        <v>0</v>
      </c>
      <c r="M203" s="156">
        <f t="shared" si="107"/>
        <v>0</v>
      </c>
      <c r="N203" s="156">
        <f t="shared" si="107"/>
        <v>0</v>
      </c>
      <c r="O203" s="156">
        <f t="shared" si="107"/>
        <v>0</v>
      </c>
      <c r="P203" s="156">
        <f t="shared" si="107"/>
        <v>0</v>
      </c>
      <c r="Q203" s="156">
        <f t="shared" si="107"/>
        <v>0</v>
      </c>
      <c r="R203" s="156">
        <f t="shared" si="107"/>
        <v>0</v>
      </c>
      <c r="S203" s="156">
        <f t="shared" si="107"/>
        <v>0</v>
      </c>
      <c r="U203" s="156">
        <f t="shared" si="104"/>
        <v>0</v>
      </c>
      <c r="V203" s="156">
        <f t="shared" si="105"/>
        <v>0</v>
      </c>
      <c r="W203" s="156"/>
      <c r="X203" s="156"/>
    </row>
    <row r="204" spans="1:27" hidden="1" outlineLevel="1" x14ac:dyDescent="0.35">
      <c r="A204" s="149"/>
      <c r="B204" s="149"/>
      <c r="C204" s="150"/>
      <c r="D204" s="154"/>
      <c r="E204" s="10" t="str">
        <f>InpC!$E$28</f>
        <v>Northumbrian Water</v>
      </c>
      <c r="F204" s="10" t="str">
        <f>InpC!$F$28</f>
        <v>NES</v>
      </c>
      <c r="G204" s="22" t="s">
        <v>34</v>
      </c>
      <c r="H204" s="152"/>
      <c r="I204" s="153"/>
      <c r="J204" s="156">
        <f t="shared" ref="J204:S204" si="108">J48+J126</f>
        <v>0</v>
      </c>
      <c r="K204" s="156">
        <f t="shared" si="108"/>
        <v>0</v>
      </c>
      <c r="L204" s="156">
        <f t="shared" si="108"/>
        <v>0</v>
      </c>
      <c r="M204" s="156">
        <f t="shared" si="108"/>
        <v>0</v>
      </c>
      <c r="N204" s="156">
        <f t="shared" si="108"/>
        <v>0</v>
      </c>
      <c r="O204" s="156">
        <f t="shared" si="108"/>
        <v>0</v>
      </c>
      <c r="P204" s="156">
        <f t="shared" si="108"/>
        <v>0</v>
      </c>
      <c r="Q204" s="156">
        <f t="shared" si="108"/>
        <v>0</v>
      </c>
      <c r="R204" s="156">
        <f t="shared" si="108"/>
        <v>0</v>
      </c>
      <c r="S204" s="156">
        <f t="shared" si="108"/>
        <v>0</v>
      </c>
      <c r="U204" s="156">
        <f t="shared" si="104"/>
        <v>0</v>
      </c>
      <c r="V204" s="156">
        <f t="shared" si="105"/>
        <v>0</v>
      </c>
      <c r="W204" s="156"/>
      <c r="X204" s="156"/>
    </row>
    <row r="205" spans="1:27" hidden="1" outlineLevel="1" x14ac:dyDescent="0.35">
      <c r="A205" s="149"/>
      <c r="B205" s="149"/>
      <c r="C205" s="150"/>
      <c r="D205" s="154"/>
      <c r="E205" s="10" t="str">
        <f>InpC!$E$29</f>
        <v>Severn Trent Water</v>
      </c>
      <c r="F205" s="10" t="str">
        <f>InpC!$F$29</f>
        <v>SVE</v>
      </c>
      <c r="G205" s="22" t="s">
        <v>34</v>
      </c>
      <c r="H205" s="152"/>
      <c r="I205" s="153"/>
      <c r="J205" s="156">
        <f t="shared" ref="J205:S205" si="109">J49+J127</f>
        <v>0</v>
      </c>
      <c r="K205" s="156">
        <f t="shared" si="109"/>
        <v>0</v>
      </c>
      <c r="L205" s="156">
        <f t="shared" si="109"/>
        <v>0</v>
      </c>
      <c r="M205" s="156">
        <f t="shared" si="109"/>
        <v>0</v>
      </c>
      <c r="N205" s="156">
        <f t="shared" si="109"/>
        <v>0</v>
      </c>
      <c r="O205" s="156">
        <f t="shared" si="109"/>
        <v>0</v>
      </c>
      <c r="P205" s="156">
        <f t="shared" si="109"/>
        <v>0</v>
      </c>
      <c r="Q205" s="156">
        <f t="shared" si="109"/>
        <v>0</v>
      </c>
      <c r="R205" s="156">
        <f t="shared" si="109"/>
        <v>0</v>
      </c>
      <c r="S205" s="156">
        <f t="shared" si="109"/>
        <v>0</v>
      </c>
      <c r="U205" s="156">
        <f t="shared" si="104"/>
        <v>0</v>
      </c>
      <c r="V205" s="156">
        <f t="shared" si="105"/>
        <v>0</v>
      </c>
      <c r="W205" s="156"/>
      <c r="X205" s="156"/>
    </row>
    <row r="206" spans="1:27" hidden="1" outlineLevel="1" x14ac:dyDescent="0.35">
      <c r="A206" s="149"/>
      <c r="B206" s="149"/>
      <c r="C206" s="150"/>
      <c r="D206" s="154"/>
      <c r="E206" s="10" t="str">
        <f>InpC!$E$30</f>
        <v>Southern Water</v>
      </c>
      <c r="F206" s="10" t="str">
        <f>InpC!$F$30</f>
        <v>SRN</v>
      </c>
      <c r="G206" s="22" t="s">
        <v>34</v>
      </c>
      <c r="H206" s="152"/>
      <c r="I206" s="153"/>
      <c r="J206" s="156">
        <f t="shared" ref="J206:S206" si="110">J50+J128</f>
        <v>0</v>
      </c>
      <c r="K206" s="156">
        <f t="shared" si="110"/>
        <v>0</v>
      </c>
      <c r="L206" s="156">
        <f t="shared" si="110"/>
        <v>0</v>
      </c>
      <c r="M206" s="156">
        <f t="shared" si="110"/>
        <v>0</v>
      </c>
      <c r="N206" s="156">
        <f t="shared" si="110"/>
        <v>0</v>
      </c>
      <c r="O206" s="156">
        <f t="shared" si="110"/>
        <v>0</v>
      </c>
      <c r="P206" s="156">
        <f t="shared" si="110"/>
        <v>0</v>
      </c>
      <c r="Q206" s="156">
        <f t="shared" si="110"/>
        <v>0</v>
      </c>
      <c r="R206" s="156">
        <f t="shared" si="110"/>
        <v>0</v>
      </c>
      <c r="S206" s="156">
        <f t="shared" si="110"/>
        <v>0</v>
      </c>
      <c r="U206" s="156">
        <f t="shared" si="104"/>
        <v>0</v>
      </c>
      <c r="V206" s="156">
        <f t="shared" si="105"/>
        <v>0</v>
      </c>
      <c r="W206" s="156"/>
      <c r="X206" s="156"/>
    </row>
    <row r="207" spans="1:27" hidden="1" outlineLevel="1" x14ac:dyDescent="0.35">
      <c r="A207" s="149"/>
      <c r="B207" s="149"/>
      <c r="C207" s="150"/>
      <c r="D207" s="154"/>
      <c r="E207" s="10" t="str">
        <f>InpC!$E$31</f>
        <v>Thames Water</v>
      </c>
      <c r="F207" s="10" t="str">
        <f>InpC!$F$31</f>
        <v>TMS</v>
      </c>
      <c r="G207" s="22" t="s">
        <v>34</v>
      </c>
      <c r="H207" s="152"/>
      <c r="I207" s="153"/>
      <c r="J207" s="156">
        <f t="shared" ref="J207:S207" si="111">J51+J129</f>
        <v>0</v>
      </c>
      <c r="K207" s="156">
        <f t="shared" si="111"/>
        <v>0</v>
      </c>
      <c r="L207" s="156">
        <f t="shared" si="111"/>
        <v>0</v>
      </c>
      <c r="M207" s="156">
        <f t="shared" si="111"/>
        <v>0</v>
      </c>
      <c r="N207" s="156">
        <f t="shared" si="111"/>
        <v>0</v>
      </c>
      <c r="O207" s="156">
        <f t="shared" si="111"/>
        <v>0</v>
      </c>
      <c r="P207" s="156">
        <f t="shared" si="111"/>
        <v>0</v>
      </c>
      <c r="Q207" s="156">
        <f t="shared" si="111"/>
        <v>0</v>
      </c>
      <c r="R207" s="156">
        <f t="shared" si="111"/>
        <v>0</v>
      </c>
      <c r="S207" s="156">
        <f t="shared" si="111"/>
        <v>0</v>
      </c>
      <c r="U207" s="156">
        <f t="shared" si="104"/>
        <v>0</v>
      </c>
      <c r="V207" s="156">
        <f t="shared" si="105"/>
        <v>0</v>
      </c>
      <c r="W207" s="156"/>
      <c r="X207" s="156"/>
    </row>
    <row r="208" spans="1:27" hidden="1" outlineLevel="1" x14ac:dyDescent="0.35">
      <c r="A208" s="149"/>
      <c r="B208" s="149"/>
      <c r="C208" s="150"/>
      <c r="D208" s="154"/>
      <c r="E208" s="10" t="str">
        <f>InpC!$E$32</f>
        <v>United Utilities</v>
      </c>
      <c r="F208" s="10" t="str">
        <f>InpC!$F$32</f>
        <v>NWT</v>
      </c>
      <c r="G208" s="22" t="s">
        <v>34</v>
      </c>
      <c r="H208" s="152"/>
      <c r="I208" s="153"/>
      <c r="J208" s="156">
        <f t="shared" ref="J208:S208" si="112">J52+J130</f>
        <v>0</v>
      </c>
      <c r="K208" s="156">
        <f t="shared" si="112"/>
        <v>0</v>
      </c>
      <c r="L208" s="156">
        <f t="shared" si="112"/>
        <v>0</v>
      </c>
      <c r="M208" s="156">
        <f t="shared" si="112"/>
        <v>0</v>
      </c>
      <c r="N208" s="156">
        <f t="shared" si="112"/>
        <v>0</v>
      </c>
      <c r="O208" s="156">
        <f t="shared" si="112"/>
        <v>0</v>
      </c>
      <c r="P208" s="156">
        <f t="shared" si="112"/>
        <v>0</v>
      </c>
      <c r="Q208" s="156">
        <f t="shared" si="112"/>
        <v>0</v>
      </c>
      <c r="R208" s="156">
        <f t="shared" si="112"/>
        <v>0</v>
      </c>
      <c r="S208" s="156">
        <f t="shared" si="112"/>
        <v>0</v>
      </c>
      <c r="U208" s="156">
        <f t="shared" si="104"/>
        <v>0</v>
      </c>
      <c r="V208" s="156">
        <f t="shared" si="105"/>
        <v>0</v>
      </c>
      <c r="W208" s="156"/>
      <c r="X208" s="156"/>
    </row>
    <row r="209" spans="1:27" hidden="1" outlineLevel="1" x14ac:dyDescent="0.35">
      <c r="A209" s="149"/>
      <c r="B209" s="149"/>
      <c r="C209" s="150"/>
      <c r="D209" s="154"/>
      <c r="E209" s="10" t="str">
        <f>InpC!$E$33</f>
        <v>Wessex Water</v>
      </c>
      <c r="F209" s="10" t="str">
        <f>InpC!$F$33</f>
        <v>WSX</v>
      </c>
      <c r="G209" s="22" t="s">
        <v>34</v>
      </c>
      <c r="H209" s="152"/>
      <c r="I209" s="153"/>
      <c r="J209" s="156">
        <f t="shared" ref="J209:S209" si="113">J53+J131</f>
        <v>0</v>
      </c>
      <c r="K209" s="156">
        <f t="shared" si="113"/>
        <v>0</v>
      </c>
      <c r="L209" s="156">
        <f t="shared" si="113"/>
        <v>0</v>
      </c>
      <c r="M209" s="156">
        <f t="shared" si="113"/>
        <v>0</v>
      </c>
      <c r="N209" s="156">
        <f t="shared" si="113"/>
        <v>2.5999999999999999E-2</v>
      </c>
      <c r="O209" s="156">
        <f t="shared" si="113"/>
        <v>2.5999999999999999E-2</v>
      </c>
      <c r="P209" s="156">
        <f t="shared" si="113"/>
        <v>2.5999999999999999E-2</v>
      </c>
      <c r="Q209" s="156">
        <f t="shared" si="113"/>
        <v>2.5999999999999999E-2</v>
      </c>
      <c r="R209" s="156">
        <f t="shared" si="113"/>
        <v>2.5999999999999999E-2</v>
      </c>
      <c r="S209" s="156">
        <f t="shared" si="113"/>
        <v>2.5999999999999999E-2</v>
      </c>
      <c r="U209" s="156">
        <f t="shared" si="104"/>
        <v>2.6000000000000002E-2</v>
      </c>
      <c r="V209" s="156">
        <f t="shared" si="105"/>
        <v>0.13</v>
      </c>
      <c r="W209" s="156"/>
      <c r="X209" s="156"/>
    </row>
    <row r="210" spans="1:27" hidden="1" outlineLevel="1" x14ac:dyDescent="0.35">
      <c r="A210" s="149"/>
      <c r="B210" s="149"/>
      <c r="C210" s="150"/>
      <c r="D210" s="154"/>
      <c r="E210" s="10" t="str">
        <f>InpC!$E$34</f>
        <v>Yorkshire Water</v>
      </c>
      <c r="F210" s="10" t="str">
        <f>InpC!$F$34</f>
        <v>YKY</v>
      </c>
      <c r="G210" s="22" t="s">
        <v>34</v>
      </c>
      <c r="H210" s="152"/>
      <c r="I210" s="153"/>
      <c r="J210" s="156">
        <f t="shared" ref="J210:S210" si="114">J54+J132</f>
        <v>0</v>
      </c>
      <c r="K210" s="156">
        <f t="shared" si="114"/>
        <v>0</v>
      </c>
      <c r="L210" s="156">
        <f t="shared" si="114"/>
        <v>0</v>
      </c>
      <c r="M210" s="156">
        <f t="shared" si="114"/>
        <v>0</v>
      </c>
      <c r="N210" s="156">
        <f t="shared" si="114"/>
        <v>0</v>
      </c>
      <c r="O210" s="156">
        <f t="shared" si="114"/>
        <v>0</v>
      </c>
      <c r="P210" s="156">
        <f t="shared" si="114"/>
        <v>0</v>
      </c>
      <c r="Q210" s="156">
        <f t="shared" si="114"/>
        <v>0</v>
      </c>
      <c r="R210" s="156">
        <f t="shared" si="114"/>
        <v>0</v>
      </c>
      <c r="S210" s="156">
        <f t="shared" si="114"/>
        <v>0</v>
      </c>
      <c r="U210" s="156">
        <f t="shared" si="104"/>
        <v>0</v>
      </c>
      <c r="V210" s="156">
        <f t="shared" si="105"/>
        <v>0</v>
      </c>
      <c r="W210" s="156"/>
      <c r="X210" s="156"/>
    </row>
    <row r="211" spans="1:27" hidden="1" outlineLevel="1" x14ac:dyDescent="0.35">
      <c r="A211" s="149"/>
      <c r="B211" s="149"/>
      <c r="C211" s="150"/>
      <c r="D211" s="154"/>
      <c r="E211" s="10" t="str">
        <f>InpC!$E$35</f>
        <v>Affinity Water</v>
      </c>
      <c r="F211" s="10" t="str">
        <f>InpC!$F$35</f>
        <v>AFW</v>
      </c>
      <c r="G211" s="22" t="s">
        <v>34</v>
      </c>
      <c r="H211" s="152"/>
      <c r="I211" s="153"/>
      <c r="J211" s="156">
        <f t="shared" ref="J211:S211" si="115">J55+J133</f>
        <v>0</v>
      </c>
      <c r="K211" s="156">
        <f t="shared" si="115"/>
        <v>0</v>
      </c>
      <c r="L211" s="156">
        <f t="shared" si="115"/>
        <v>0</v>
      </c>
      <c r="M211" s="156">
        <f t="shared" si="115"/>
        <v>0</v>
      </c>
      <c r="N211" s="156">
        <f t="shared" si="115"/>
        <v>0</v>
      </c>
      <c r="O211" s="156">
        <f t="shared" si="115"/>
        <v>0</v>
      </c>
      <c r="P211" s="156">
        <f t="shared" si="115"/>
        <v>0</v>
      </c>
      <c r="Q211" s="156">
        <f t="shared" si="115"/>
        <v>0</v>
      </c>
      <c r="R211" s="156">
        <f t="shared" si="115"/>
        <v>0</v>
      </c>
      <c r="S211" s="156">
        <f t="shared" si="115"/>
        <v>0</v>
      </c>
      <c r="U211" s="156">
        <f t="shared" si="104"/>
        <v>0</v>
      </c>
      <c r="V211" s="156">
        <f t="shared" si="105"/>
        <v>0</v>
      </c>
      <c r="W211" s="156"/>
      <c r="X211" s="156"/>
    </row>
    <row r="212" spans="1:27" hidden="1" outlineLevel="1" x14ac:dyDescent="0.35">
      <c r="A212" s="149"/>
      <c r="B212" s="149"/>
      <c r="C212" s="150"/>
      <c r="D212" s="154"/>
      <c r="E212" s="10" t="str">
        <f>InpC!$E$36</f>
        <v>Portsmouth Water</v>
      </c>
      <c r="F212" s="10" t="str">
        <f>InpC!$F$36</f>
        <v>PRT</v>
      </c>
      <c r="G212" s="22" t="s">
        <v>34</v>
      </c>
      <c r="H212" s="152"/>
      <c r="I212" s="153"/>
      <c r="J212" s="156">
        <f t="shared" ref="J212:S212" si="116">J56+J134</f>
        <v>0</v>
      </c>
      <c r="K212" s="156">
        <f t="shared" si="116"/>
        <v>0</v>
      </c>
      <c r="L212" s="156">
        <f t="shared" si="116"/>
        <v>0</v>
      </c>
      <c r="M212" s="156">
        <f t="shared" si="116"/>
        <v>0</v>
      </c>
      <c r="N212" s="156">
        <f t="shared" si="116"/>
        <v>0</v>
      </c>
      <c r="O212" s="156">
        <f t="shared" si="116"/>
        <v>0</v>
      </c>
      <c r="P212" s="156">
        <f t="shared" si="116"/>
        <v>0</v>
      </c>
      <c r="Q212" s="156">
        <f t="shared" si="116"/>
        <v>0</v>
      </c>
      <c r="R212" s="156">
        <f t="shared" si="116"/>
        <v>0</v>
      </c>
      <c r="S212" s="156">
        <f t="shared" si="116"/>
        <v>0</v>
      </c>
      <c r="U212" s="156">
        <f t="shared" si="104"/>
        <v>0</v>
      </c>
      <c r="V212" s="156">
        <f t="shared" si="105"/>
        <v>0</v>
      </c>
      <c r="W212" s="156"/>
      <c r="X212" s="156"/>
    </row>
    <row r="213" spans="1:27" hidden="1" outlineLevel="1" x14ac:dyDescent="0.35">
      <c r="A213" s="149"/>
      <c r="B213" s="149"/>
      <c r="C213" s="150"/>
      <c r="D213" s="154"/>
      <c r="E213" s="10" t="str">
        <f>InpC!$E$37</f>
        <v>South East Water</v>
      </c>
      <c r="F213" s="10" t="str">
        <f>InpC!$F$37</f>
        <v>SEW</v>
      </c>
      <c r="G213" s="22" t="s">
        <v>34</v>
      </c>
      <c r="H213" s="152"/>
      <c r="I213" s="153"/>
      <c r="J213" s="156">
        <f t="shared" ref="J213:S213" si="117">J57+J135</f>
        <v>0</v>
      </c>
      <c r="K213" s="156">
        <f t="shared" si="117"/>
        <v>0</v>
      </c>
      <c r="L213" s="156">
        <f t="shared" si="117"/>
        <v>0</v>
      </c>
      <c r="M213" s="156">
        <f t="shared" si="117"/>
        <v>0</v>
      </c>
      <c r="N213" s="156">
        <f t="shared" si="117"/>
        <v>0</v>
      </c>
      <c r="O213" s="156">
        <f t="shared" si="117"/>
        <v>0</v>
      </c>
      <c r="P213" s="156">
        <f t="shared" si="117"/>
        <v>0</v>
      </c>
      <c r="Q213" s="156">
        <f t="shared" si="117"/>
        <v>0</v>
      </c>
      <c r="R213" s="156">
        <f t="shared" si="117"/>
        <v>0</v>
      </c>
      <c r="S213" s="156">
        <f t="shared" si="117"/>
        <v>0</v>
      </c>
      <c r="U213" s="156">
        <f t="shared" si="104"/>
        <v>0</v>
      </c>
      <c r="V213" s="156">
        <f t="shared" si="105"/>
        <v>0</v>
      </c>
      <c r="W213" s="156"/>
      <c r="X213" s="156"/>
    </row>
    <row r="214" spans="1:27" hidden="1" outlineLevel="1" x14ac:dyDescent="0.35">
      <c r="A214" s="149"/>
      <c r="B214" s="149"/>
      <c r="C214" s="150"/>
      <c r="D214" s="154"/>
      <c r="E214" s="10" t="str">
        <f>InpC!$E$38</f>
        <v>South Staffs Water</v>
      </c>
      <c r="F214" s="10" t="str">
        <f>InpC!$F$38</f>
        <v>SSC</v>
      </c>
      <c r="G214" s="22" t="s">
        <v>34</v>
      </c>
      <c r="H214" s="152"/>
      <c r="I214" s="153"/>
      <c r="J214" s="156">
        <f t="shared" ref="J214:S214" si="118">J58+J136</f>
        <v>0</v>
      </c>
      <c r="K214" s="156">
        <f t="shared" si="118"/>
        <v>0</v>
      </c>
      <c r="L214" s="156">
        <f t="shared" si="118"/>
        <v>0</v>
      </c>
      <c r="M214" s="156">
        <f t="shared" si="118"/>
        <v>0</v>
      </c>
      <c r="N214" s="156">
        <f t="shared" si="118"/>
        <v>0</v>
      </c>
      <c r="O214" s="156">
        <f t="shared" si="118"/>
        <v>0</v>
      </c>
      <c r="P214" s="156">
        <f t="shared" si="118"/>
        <v>0</v>
      </c>
      <c r="Q214" s="156">
        <f t="shared" si="118"/>
        <v>0</v>
      </c>
      <c r="R214" s="156">
        <f t="shared" si="118"/>
        <v>0</v>
      </c>
      <c r="S214" s="156">
        <f t="shared" si="118"/>
        <v>0</v>
      </c>
      <c r="U214" s="156">
        <f t="shared" si="104"/>
        <v>0</v>
      </c>
      <c r="V214" s="156">
        <f t="shared" si="105"/>
        <v>0</v>
      </c>
      <c r="W214" s="156"/>
      <c r="X214" s="156"/>
    </row>
    <row r="215" spans="1:27" hidden="1" outlineLevel="1" x14ac:dyDescent="0.35">
      <c r="A215" s="149"/>
      <c r="B215" s="149"/>
      <c r="C215" s="150"/>
      <c r="D215" s="154"/>
      <c r="E215" s="10" t="str">
        <f>InpC!$E$39</f>
        <v>SES Water</v>
      </c>
      <c r="F215" s="10" t="str">
        <f>InpC!$F$39</f>
        <v>SES</v>
      </c>
      <c r="G215" s="22" t="s">
        <v>34</v>
      </c>
      <c r="H215" s="152"/>
      <c r="I215" s="153"/>
      <c r="J215" s="156">
        <f t="shared" ref="J215:S215" si="119">J59+J137</f>
        <v>0</v>
      </c>
      <c r="K215" s="156">
        <f t="shared" si="119"/>
        <v>0</v>
      </c>
      <c r="L215" s="156">
        <f t="shared" si="119"/>
        <v>0</v>
      </c>
      <c r="M215" s="156">
        <f t="shared" si="119"/>
        <v>0</v>
      </c>
      <c r="N215" s="156">
        <f t="shared" si="119"/>
        <v>0</v>
      </c>
      <c r="O215" s="156">
        <f t="shared" si="119"/>
        <v>0</v>
      </c>
      <c r="P215" s="156">
        <f t="shared" si="119"/>
        <v>0</v>
      </c>
      <c r="Q215" s="156">
        <f t="shared" si="119"/>
        <v>0</v>
      </c>
      <c r="R215" s="156">
        <f t="shared" si="119"/>
        <v>0</v>
      </c>
      <c r="S215" s="156">
        <f t="shared" si="119"/>
        <v>0</v>
      </c>
      <c r="U215" s="156">
        <f t="shared" si="104"/>
        <v>0</v>
      </c>
      <c r="V215" s="156">
        <f t="shared" si="105"/>
        <v>0</v>
      </c>
      <c r="W215" s="156"/>
      <c r="X215" s="156"/>
    </row>
    <row r="216" spans="1:27" hidden="1" outlineLevel="1" x14ac:dyDescent="0.35">
      <c r="A216" s="149"/>
      <c r="B216" s="149"/>
      <c r="C216" s="150"/>
      <c r="D216" s="154"/>
      <c r="E216" s="10" t="str">
        <f>InpC!$E$40</f>
        <v>South West Water</v>
      </c>
      <c r="F216" s="10" t="str">
        <f>InpC!$F$40</f>
        <v>SWB</v>
      </c>
      <c r="G216" s="22" t="s">
        <v>34</v>
      </c>
      <c r="H216" s="152"/>
      <c r="I216" s="153"/>
      <c r="J216" s="156">
        <f t="shared" ref="J216:S216" si="120">J60+J138</f>
        <v>0</v>
      </c>
      <c r="K216" s="156">
        <f t="shared" si="120"/>
        <v>0</v>
      </c>
      <c r="L216" s="156">
        <f t="shared" si="120"/>
        <v>0</v>
      </c>
      <c r="M216" s="156">
        <f t="shared" si="120"/>
        <v>0</v>
      </c>
      <c r="N216" s="156">
        <f t="shared" si="120"/>
        <v>0</v>
      </c>
      <c r="O216" s="156">
        <f t="shared" si="120"/>
        <v>0</v>
      </c>
      <c r="P216" s="156">
        <f t="shared" si="120"/>
        <v>0</v>
      </c>
      <c r="Q216" s="156">
        <f t="shared" si="120"/>
        <v>0</v>
      </c>
      <c r="R216" s="156">
        <f t="shared" si="120"/>
        <v>0</v>
      </c>
      <c r="S216" s="156">
        <f t="shared" si="120"/>
        <v>0</v>
      </c>
      <c r="U216" s="156">
        <f t="shared" si="104"/>
        <v>0</v>
      </c>
      <c r="V216" s="156">
        <f t="shared" si="105"/>
        <v>0</v>
      </c>
      <c r="W216" s="156"/>
      <c r="X216" s="156"/>
    </row>
    <row r="217" spans="1:27" hidden="1" outlineLevel="1" x14ac:dyDescent="0.35">
      <c r="A217" s="149"/>
      <c r="B217" s="149"/>
      <c r="C217" s="150"/>
      <c r="D217" s="154"/>
      <c r="E217" s="10" t="str">
        <f>InpC!$E$41</f>
        <v>Bristol Water</v>
      </c>
      <c r="F217" s="10" t="str">
        <f>InpC!$F$41</f>
        <v>BRL</v>
      </c>
      <c r="G217" s="22" t="s">
        <v>34</v>
      </c>
      <c r="H217" s="152"/>
      <c r="I217" s="153"/>
      <c r="J217" s="156">
        <f t="shared" ref="J217:S217" si="121">J61+J139</f>
        <v>0</v>
      </c>
      <c r="K217" s="156">
        <f t="shared" si="121"/>
        <v>0</v>
      </c>
      <c r="L217" s="156">
        <f t="shared" si="121"/>
        <v>0</v>
      </c>
      <c r="M217" s="156">
        <f t="shared" si="121"/>
        <v>0</v>
      </c>
      <c r="N217" s="156">
        <f t="shared" si="121"/>
        <v>0</v>
      </c>
      <c r="O217" s="156">
        <f t="shared" si="121"/>
        <v>0</v>
      </c>
      <c r="P217" s="156">
        <f t="shared" si="121"/>
        <v>0</v>
      </c>
      <c r="Q217" s="156">
        <f t="shared" si="121"/>
        <v>0</v>
      </c>
      <c r="R217" s="156">
        <f t="shared" si="121"/>
        <v>0</v>
      </c>
      <c r="S217" s="156">
        <f t="shared" si="121"/>
        <v>0</v>
      </c>
      <c r="U217" s="156">
        <f t="shared" si="104"/>
        <v>0</v>
      </c>
      <c r="V217" s="156">
        <f t="shared" si="105"/>
        <v>0</v>
      </c>
      <c r="W217" s="156"/>
      <c r="X217" s="156"/>
    </row>
    <row r="218" spans="1:27" hidden="1" outlineLevel="1" x14ac:dyDescent="0.35">
      <c r="A218" s="149"/>
      <c r="B218" s="149"/>
      <c r="C218" s="150"/>
      <c r="D218" s="154"/>
      <c r="E218" s="10" t="s">
        <v>147</v>
      </c>
      <c r="G218" s="22" t="s">
        <v>34</v>
      </c>
      <c r="H218" s="152"/>
      <c r="I218" s="153"/>
      <c r="J218" s="157">
        <f>SUM(J201:J217)</f>
        <v>0</v>
      </c>
      <c r="K218" s="157">
        <f t="shared" ref="K218:S218" si="122">SUM(K201:K217)</f>
        <v>0</v>
      </c>
      <c r="L218" s="157">
        <f t="shared" si="122"/>
        <v>0</v>
      </c>
      <c r="M218" s="157">
        <f t="shared" si="122"/>
        <v>0</v>
      </c>
      <c r="N218" s="157">
        <f t="shared" si="122"/>
        <v>2.5999999999999999E-2</v>
      </c>
      <c r="O218" s="157">
        <f t="shared" si="122"/>
        <v>2.5999999999999999E-2</v>
      </c>
      <c r="P218" s="157">
        <f t="shared" si="122"/>
        <v>2.5999999999999999E-2</v>
      </c>
      <c r="Q218" s="157">
        <f t="shared" si="122"/>
        <v>2.5999999999999999E-2</v>
      </c>
      <c r="R218" s="157">
        <f t="shared" si="122"/>
        <v>2.5999999999999999E-2</v>
      </c>
      <c r="S218" s="157">
        <f t="shared" si="122"/>
        <v>2.5999999999999999E-2</v>
      </c>
      <c r="U218" s="157">
        <f t="shared" ref="U218:V218" si="123">SUM(U201:U217)</f>
        <v>2.6000000000000002E-2</v>
      </c>
      <c r="V218" s="157">
        <f t="shared" si="123"/>
        <v>0.13</v>
      </c>
      <c r="W218" s="156"/>
      <c r="X218" s="156"/>
    </row>
    <row r="219" spans="1:27" x14ac:dyDescent="0.35">
      <c r="A219" s="149"/>
      <c r="B219" s="149"/>
      <c r="C219" s="150"/>
      <c r="D219" s="154"/>
      <c r="E219" s="152"/>
      <c r="F219" s="152"/>
      <c r="H219" s="152"/>
      <c r="I219" s="153"/>
      <c r="J219" s="152"/>
      <c r="K219" s="152"/>
      <c r="L219" s="152"/>
      <c r="M219" s="152"/>
      <c r="N219" s="152"/>
      <c r="O219" s="152"/>
      <c r="P219" s="152"/>
      <c r="Q219" s="152"/>
      <c r="R219" s="152"/>
      <c r="S219" s="152"/>
      <c r="T219" s="152"/>
      <c r="U219" s="152"/>
      <c r="V219" s="152"/>
      <c r="W219" s="152"/>
      <c r="X219" s="152"/>
      <c r="Z219" s="152"/>
      <c r="AA219" s="152"/>
    </row>
    <row r="220" spans="1:27" x14ac:dyDescent="0.35">
      <c r="A220" s="149"/>
      <c r="B220" s="149"/>
      <c r="C220" s="150"/>
      <c r="D220" s="151" t="str">
        <f>D168</f>
        <v>Traffic Management Act</v>
      </c>
      <c r="E220" s="152"/>
      <c r="F220" s="152"/>
      <c r="G220" s="22" t="s">
        <v>125</v>
      </c>
      <c r="H220" s="152"/>
      <c r="I220" s="153"/>
      <c r="J220" s="74">
        <f>J$2</f>
        <v>44286</v>
      </c>
      <c r="K220" s="74">
        <f t="shared" ref="K220:V220" si="124">K$2</f>
        <v>44651</v>
      </c>
      <c r="L220" s="74">
        <f t="shared" si="124"/>
        <v>45016</v>
      </c>
      <c r="M220" s="74">
        <f t="shared" si="124"/>
        <v>45382</v>
      </c>
      <c r="N220" s="74">
        <f t="shared" si="124"/>
        <v>45747</v>
      </c>
      <c r="O220" s="74">
        <f t="shared" si="124"/>
        <v>46112</v>
      </c>
      <c r="P220" s="74">
        <f t="shared" si="124"/>
        <v>46477</v>
      </c>
      <c r="Q220" s="74">
        <f t="shared" si="124"/>
        <v>46843</v>
      </c>
      <c r="R220" s="74">
        <f t="shared" si="124"/>
        <v>47208</v>
      </c>
      <c r="S220" s="74">
        <f t="shared" si="124"/>
        <v>47573</v>
      </c>
      <c r="T220" s="74"/>
      <c r="U220" s="74" t="str">
        <f t="shared" si="124"/>
        <v>PR24 Average</v>
      </c>
      <c r="V220" s="74" t="str">
        <f t="shared" si="124"/>
        <v>PR24 Total</v>
      </c>
      <c r="W220" s="74"/>
      <c r="X220" s="74"/>
      <c r="Z220" s="74"/>
      <c r="AA220" s="74"/>
    </row>
    <row r="221" spans="1:27" collapsed="1" x14ac:dyDescent="0.35">
      <c r="A221" s="149"/>
      <c r="B221" s="149"/>
      <c r="C221" s="150"/>
      <c r="D221" s="154"/>
      <c r="E221" s="151" t="s">
        <v>180</v>
      </c>
      <c r="F221" s="152"/>
      <c r="H221" s="152"/>
      <c r="I221" s="153"/>
      <c r="J221" s="152"/>
      <c r="K221" s="152"/>
      <c r="L221" s="152"/>
      <c r="M221" s="152"/>
      <c r="N221" s="152"/>
      <c r="O221" s="152"/>
      <c r="P221" s="152"/>
      <c r="Q221" s="152"/>
      <c r="R221" s="152"/>
      <c r="S221" s="152"/>
      <c r="T221" s="152"/>
      <c r="U221" s="152"/>
      <c r="V221" s="152"/>
      <c r="W221" s="152"/>
      <c r="X221" s="152"/>
      <c r="Z221" s="152"/>
      <c r="AA221" s="152"/>
    </row>
    <row r="222" spans="1:27" hidden="1" outlineLevel="1" x14ac:dyDescent="0.35">
      <c r="A222" s="149"/>
      <c r="B222" s="149"/>
      <c r="C222" s="150"/>
      <c r="D222" s="154"/>
      <c r="E222" s="152"/>
      <c r="F222" s="152"/>
      <c r="H222" s="152"/>
      <c r="I222" s="153"/>
      <c r="J222" s="152"/>
      <c r="K222" s="152"/>
      <c r="L222" s="152"/>
      <c r="M222" s="152"/>
      <c r="N222" s="152"/>
      <c r="O222" s="152"/>
      <c r="P222" s="152"/>
      <c r="Q222" s="152"/>
      <c r="R222" s="152"/>
      <c r="S222" s="152"/>
      <c r="T222" s="152"/>
      <c r="U222" s="152"/>
      <c r="V222" s="152"/>
      <c r="W222" s="152"/>
      <c r="X222" s="152"/>
      <c r="Z222" s="152"/>
      <c r="AA222" s="152"/>
    </row>
    <row r="223" spans="1:27" hidden="1" outlineLevel="1" x14ac:dyDescent="0.35">
      <c r="A223" s="149"/>
      <c r="B223" s="149"/>
      <c r="C223" s="150"/>
      <c r="D223" s="151"/>
      <c r="E223" s="152"/>
      <c r="F223" s="152"/>
      <c r="G223" s="22" t="s">
        <v>126</v>
      </c>
      <c r="H223" s="152"/>
      <c r="I223" s="153"/>
      <c r="J223" s="74"/>
      <c r="K223" s="74"/>
      <c r="L223" s="74"/>
      <c r="M223" s="74"/>
      <c r="N223" s="74"/>
      <c r="O223" s="74"/>
      <c r="P223" s="74"/>
      <c r="Q223" s="74"/>
      <c r="R223" s="74"/>
      <c r="S223" s="74"/>
      <c r="T223" s="74"/>
      <c r="U223" s="74"/>
      <c r="V223" s="74"/>
      <c r="W223" s="74"/>
      <c r="X223" s="74"/>
      <c r="Z223" s="74"/>
      <c r="AA223" s="74"/>
    </row>
    <row r="224" spans="1:27" hidden="1" outlineLevel="1" x14ac:dyDescent="0.35">
      <c r="A224" s="149"/>
      <c r="B224" s="149"/>
      <c r="C224" s="150"/>
      <c r="D224" s="154"/>
      <c r="E224" s="155" t="s">
        <v>177</v>
      </c>
      <c r="F224" s="152"/>
      <c r="H224" s="152"/>
      <c r="I224" s="153"/>
      <c r="J224" s="153"/>
      <c r="K224" s="153"/>
      <c r="L224" s="153"/>
      <c r="M224" s="153"/>
      <c r="N224" s="153"/>
      <c r="O224" s="153"/>
      <c r="P224" s="153"/>
      <c r="Q224" s="153"/>
      <c r="R224" s="153"/>
      <c r="S224" s="153"/>
      <c r="T224" s="153"/>
      <c r="U224" s="153"/>
      <c r="V224" s="153"/>
      <c r="W224" s="153"/>
      <c r="X224" s="153"/>
      <c r="Z224" s="153"/>
      <c r="AA224" s="153"/>
    </row>
    <row r="225" spans="1:27" hidden="1" outlineLevel="1" x14ac:dyDescent="0.35">
      <c r="A225" s="149"/>
      <c r="B225" s="149"/>
      <c r="C225" s="150"/>
      <c r="D225" s="154"/>
      <c r="E225" s="129">
        <f xml:space="preserve"> InpT!$F$8</f>
        <v>45016</v>
      </c>
      <c r="F225" s="152"/>
      <c r="G225" s="22" t="s">
        <v>178</v>
      </c>
      <c r="H225" s="152"/>
      <c r="I225" s="153"/>
      <c r="J225" s="153"/>
      <c r="K225" s="153"/>
      <c r="L225" s="153"/>
      <c r="M225" s="153"/>
      <c r="N225" s="153"/>
      <c r="O225" s="153"/>
      <c r="P225" s="153"/>
      <c r="Q225" s="153"/>
      <c r="R225" s="153"/>
      <c r="S225" s="153"/>
      <c r="T225" s="153"/>
      <c r="U225" s="153"/>
      <c r="V225" s="153"/>
      <c r="W225" s="153"/>
      <c r="X225" s="153"/>
      <c r="Z225" s="153"/>
      <c r="AA225" s="153"/>
    </row>
    <row r="226" spans="1:27" hidden="1" outlineLevel="1" x14ac:dyDescent="0.35">
      <c r="A226" s="149"/>
      <c r="B226" s="149"/>
      <c r="C226" s="150"/>
      <c r="D226" s="154"/>
      <c r="E226" s="129"/>
      <c r="F226" s="152"/>
      <c r="H226" s="152"/>
      <c r="I226" s="153"/>
      <c r="J226" s="153"/>
      <c r="K226" s="153"/>
      <c r="L226" s="153"/>
      <c r="M226" s="153"/>
      <c r="N226" s="153"/>
      <c r="O226" s="153"/>
      <c r="P226" s="153"/>
      <c r="Q226" s="153"/>
      <c r="R226" s="153"/>
      <c r="S226" s="153"/>
      <c r="T226" s="153"/>
      <c r="U226" s="153"/>
      <c r="V226" s="153"/>
      <c r="W226" s="153"/>
      <c r="X226" s="153"/>
      <c r="Z226" s="153"/>
      <c r="AA226" s="153"/>
    </row>
    <row r="227" spans="1:27" hidden="1" outlineLevel="1" x14ac:dyDescent="0.35">
      <c r="A227" s="149"/>
      <c r="B227" s="149"/>
      <c r="C227" s="150"/>
      <c r="D227" s="154"/>
      <c r="E227" s="10" t="str">
        <f>InpC!$E$25</f>
        <v>Anglian Water</v>
      </c>
      <c r="F227" s="10" t="str">
        <f>InpC!$F$25</f>
        <v>ANH</v>
      </c>
      <c r="G227" s="22" t="s">
        <v>34</v>
      </c>
      <c r="H227" s="152"/>
      <c r="I227" s="153"/>
      <c r="J227" s="156">
        <f t="shared" ref="J227:S227" si="125">J71+J149</f>
        <v>2.1184747663551402</v>
      </c>
      <c r="K227" s="156">
        <f t="shared" si="125"/>
        <v>1.864753912532453</v>
      </c>
      <c r="L227" s="156">
        <f t="shared" si="125"/>
        <v>1.026</v>
      </c>
      <c r="M227" s="156">
        <f t="shared" si="125"/>
        <v>0.75060957294147856</v>
      </c>
      <c r="N227" s="156">
        <f t="shared" si="125"/>
        <v>0.96754954556491579</v>
      </c>
      <c r="O227" s="156">
        <f t="shared" si="125"/>
        <v>1.5567689481860958</v>
      </c>
      <c r="P227" s="156">
        <f t="shared" si="125"/>
        <v>1.5567689481860958</v>
      </c>
      <c r="Q227" s="156">
        <f t="shared" si="125"/>
        <v>1.5567689481860958</v>
      </c>
      <c r="R227" s="156">
        <f t="shared" si="125"/>
        <v>1.5567689481860958</v>
      </c>
      <c r="S227" s="156">
        <f t="shared" si="125"/>
        <v>1.5567689481860958</v>
      </c>
      <c r="U227" s="156">
        <f t="shared" ref="U227:U243" si="126">IFERROR(AVERAGE(O227:S227),0)</f>
        <v>1.5567689481860958</v>
      </c>
      <c r="V227" s="156">
        <f t="shared" ref="V227:V243" si="127">SUM(O227:S227)</f>
        <v>7.783844740930479</v>
      </c>
      <c r="W227" s="156"/>
      <c r="X227" s="156"/>
    </row>
    <row r="228" spans="1:27" hidden="1" outlineLevel="1" x14ac:dyDescent="0.35">
      <c r="A228" s="149"/>
      <c r="B228" s="149"/>
      <c r="C228" s="150"/>
      <c r="D228" s="154"/>
      <c r="E228" s="10" t="str">
        <f>InpC!$E$26</f>
        <v>Dŵr Cymru</v>
      </c>
      <c r="F228" s="10" t="str">
        <f>InpC!$F$26</f>
        <v>WSH</v>
      </c>
      <c r="G228" s="22" t="s">
        <v>34</v>
      </c>
      <c r="H228" s="152"/>
      <c r="I228" s="153"/>
      <c r="J228" s="156">
        <f t="shared" ref="J228:S228" si="128">J72+J150</f>
        <v>3.8852336448598125E-2</v>
      </c>
      <c r="K228" s="156">
        <f t="shared" si="128"/>
        <v>6.0441988950276256E-3</v>
      </c>
      <c r="L228" s="156">
        <f t="shared" si="128"/>
        <v>0.186</v>
      </c>
      <c r="M228" s="156">
        <f t="shared" si="128"/>
        <v>0.20399999999999999</v>
      </c>
      <c r="N228" s="156">
        <f t="shared" si="128"/>
        <v>9.6000000000000002E-2</v>
      </c>
      <c r="O228" s="156">
        <f t="shared" si="128"/>
        <v>6.9000000000000006E-2</v>
      </c>
      <c r="P228" s="156">
        <f t="shared" si="128"/>
        <v>6.5000000000000002E-2</v>
      </c>
      <c r="Q228" s="156">
        <f t="shared" si="128"/>
        <v>6.4000000000000001E-2</v>
      </c>
      <c r="R228" s="156">
        <f t="shared" si="128"/>
        <v>6.3E-2</v>
      </c>
      <c r="S228" s="156">
        <f t="shared" si="128"/>
        <v>6.2E-2</v>
      </c>
      <c r="U228" s="156">
        <f t="shared" si="126"/>
        <v>6.4600000000000005E-2</v>
      </c>
      <c r="V228" s="156">
        <f t="shared" si="127"/>
        <v>0.32300000000000001</v>
      </c>
      <c r="W228" s="156"/>
      <c r="X228" s="156"/>
    </row>
    <row r="229" spans="1:27" hidden="1" outlineLevel="1" x14ac:dyDescent="0.35">
      <c r="A229" s="149"/>
      <c r="B229" s="149"/>
      <c r="C229" s="150"/>
      <c r="D229" s="154"/>
      <c r="E229" s="10" t="str">
        <f>InpC!$E$27</f>
        <v>Hafren Dyfrdwy</v>
      </c>
      <c r="F229" s="10" t="str">
        <f>InpC!$F$27</f>
        <v>HDD</v>
      </c>
      <c r="G229" s="22" t="s">
        <v>34</v>
      </c>
      <c r="H229" s="152"/>
      <c r="I229" s="153"/>
      <c r="J229" s="156">
        <f t="shared" ref="J229:S229" si="129">J73+J151</f>
        <v>0</v>
      </c>
      <c r="K229" s="156">
        <f t="shared" si="129"/>
        <v>0</v>
      </c>
      <c r="L229" s="156">
        <f t="shared" si="129"/>
        <v>0</v>
      </c>
      <c r="M229" s="156">
        <f t="shared" si="129"/>
        <v>0</v>
      </c>
      <c r="N229" s="156">
        <f t="shared" si="129"/>
        <v>0</v>
      </c>
      <c r="O229" s="156">
        <f t="shared" si="129"/>
        <v>0</v>
      </c>
      <c r="P229" s="156">
        <f t="shared" si="129"/>
        <v>0</v>
      </c>
      <c r="Q229" s="156">
        <f t="shared" si="129"/>
        <v>0</v>
      </c>
      <c r="R229" s="156">
        <f t="shared" si="129"/>
        <v>0</v>
      </c>
      <c r="S229" s="156">
        <f t="shared" si="129"/>
        <v>0</v>
      </c>
      <c r="U229" s="156">
        <f t="shared" si="126"/>
        <v>0</v>
      </c>
      <c r="V229" s="156">
        <f t="shared" si="127"/>
        <v>0</v>
      </c>
      <c r="W229" s="156"/>
      <c r="X229" s="156"/>
    </row>
    <row r="230" spans="1:27" hidden="1" outlineLevel="1" x14ac:dyDescent="0.35">
      <c r="A230" s="149"/>
      <c r="B230" s="149"/>
      <c r="C230" s="150"/>
      <c r="D230" s="154"/>
      <c r="E230" s="10" t="str">
        <f>InpC!$E$28</f>
        <v>Northumbrian Water</v>
      </c>
      <c r="F230" s="10" t="str">
        <f>InpC!$F$28</f>
        <v>NES</v>
      </c>
      <c r="G230" s="22" t="s">
        <v>34</v>
      </c>
      <c r="H230" s="152"/>
      <c r="I230" s="153"/>
      <c r="J230" s="156">
        <f t="shared" ref="J230:S230" si="130">J74+J152</f>
        <v>0.41306168224299067</v>
      </c>
      <c r="K230" s="156">
        <f t="shared" si="130"/>
        <v>0.40496132596685092</v>
      </c>
      <c r="L230" s="156">
        <f t="shared" si="130"/>
        <v>0.42899999999999999</v>
      </c>
      <c r="M230" s="156">
        <f t="shared" si="130"/>
        <v>0.44719456469114677</v>
      </c>
      <c r="N230" s="156">
        <f t="shared" si="130"/>
        <v>0.46700000000000003</v>
      </c>
      <c r="O230" s="156">
        <f t="shared" si="130"/>
        <v>0.49</v>
      </c>
      <c r="P230" s="156">
        <f t="shared" si="130"/>
        <v>0.51400000000000001</v>
      </c>
      <c r="Q230" s="156">
        <f t="shared" si="130"/>
        <v>0.53800000000000003</v>
      </c>
      <c r="R230" s="156">
        <f t="shared" si="130"/>
        <v>0.56100000000000005</v>
      </c>
      <c r="S230" s="156">
        <f t="shared" si="130"/>
        <v>0.58499999999999996</v>
      </c>
      <c r="U230" s="156">
        <f t="shared" si="126"/>
        <v>0.53760000000000008</v>
      </c>
      <c r="V230" s="156">
        <f t="shared" si="127"/>
        <v>2.6880000000000002</v>
      </c>
      <c r="W230" s="156"/>
      <c r="X230" s="156"/>
    </row>
    <row r="231" spans="1:27" hidden="1" outlineLevel="1" x14ac:dyDescent="0.35">
      <c r="A231" s="149"/>
      <c r="B231" s="149"/>
      <c r="C231" s="150"/>
      <c r="D231" s="154"/>
      <c r="E231" s="10" t="str">
        <f>InpC!$E$29</f>
        <v>Severn Trent Water</v>
      </c>
      <c r="F231" s="10" t="str">
        <f>InpC!$F$29</f>
        <v>SVE</v>
      </c>
      <c r="G231" s="22" t="s">
        <v>34</v>
      </c>
      <c r="H231" s="152"/>
      <c r="I231" s="153"/>
      <c r="J231" s="156">
        <f t="shared" ref="J231:S231" si="131">J75+J153</f>
        <v>2.4333831775700938</v>
      </c>
      <c r="K231" s="156">
        <f t="shared" si="131"/>
        <v>2.4418563535911608</v>
      </c>
      <c r="L231" s="156">
        <f t="shared" si="131"/>
        <v>2.7149999999999999</v>
      </c>
      <c r="M231" s="156">
        <f t="shared" si="131"/>
        <v>1.9631162529999999</v>
      </c>
      <c r="N231" s="156">
        <f t="shared" si="131"/>
        <v>1.9344504179999999</v>
      </c>
      <c r="O231" s="156">
        <f t="shared" si="131"/>
        <v>3.0647927080000001</v>
      </c>
      <c r="P231" s="156">
        <f t="shared" si="131"/>
        <v>3.0901431690000001</v>
      </c>
      <c r="Q231" s="156">
        <f t="shared" si="131"/>
        <v>3.1155018559999998</v>
      </c>
      <c r="R231" s="156">
        <f t="shared" si="131"/>
        <v>3.1418688129999999</v>
      </c>
      <c r="S231" s="156">
        <f t="shared" si="131"/>
        <v>3.1672440960000001</v>
      </c>
      <c r="U231" s="156">
        <f t="shared" si="126"/>
        <v>3.1159101284000004</v>
      </c>
      <c r="V231" s="156">
        <f t="shared" si="127"/>
        <v>15.579550642000001</v>
      </c>
      <c r="W231" s="156"/>
      <c r="X231" s="156"/>
    </row>
    <row r="232" spans="1:27" hidden="1" outlineLevel="1" x14ac:dyDescent="0.35">
      <c r="A232" s="149"/>
      <c r="B232" s="149"/>
      <c r="C232" s="150"/>
      <c r="D232" s="154"/>
      <c r="E232" s="10" t="str">
        <f>InpC!$E$30</f>
        <v>Southern Water</v>
      </c>
      <c r="F232" s="10" t="str">
        <f>InpC!$F$30</f>
        <v>SRN</v>
      </c>
      <c r="G232" s="22" t="s">
        <v>34</v>
      </c>
      <c r="H232" s="152"/>
      <c r="I232" s="153"/>
      <c r="J232" s="156">
        <f t="shared" ref="J232:S232" si="132">J76+J154</f>
        <v>1.3547196261682244</v>
      </c>
      <c r="K232" s="156">
        <f t="shared" si="132"/>
        <v>1.2461123388581956</v>
      </c>
      <c r="L232" s="156">
        <f t="shared" si="132"/>
        <v>1.6480000000000001</v>
      </c>
      <c r="M232" s="156">
        <f t="shared" si="132"/>
        <v>1.6819999999999999</v>
      </c>
      <c r="N232" s="156">
        <f t="shared" si="132"/>
        <v>2.5939999999999999</v>
      </c>
      <c r="O232" s="156">
        <f t="shared" si="132"/>
        <v>2.5945205208602831</v>
      </c>
      <c r="P232" s="156">
        <f t="shared" si="132"/>
        <v>2.5945205208602831</v>
      </c>
      <c r="Q232" s="156">
        <f t="shared" si="132"/>
        <v>2.5945205208602831</v>
      </c>
      <c r="R232" s="156">
        <f t="shared" si="132"/>
        <v>2.5945205208602831</v>
      </c>
      <c r="S232" s="156">
        <f t="shared" si="132"/>
        <v>2.5945205208602831</v>
      </c>
      <c r="U232" s="156">
        <f t="shared" si="126"/>
        <v>2.5945205208602831</v>
      </c>
      <c r="V232" s="156">
        <f t="shared" si="127"/>
        <v>12.972602604301414</v>
      </c>
      <c r="W232" s="156"/>
      <c r="X232" s="156"/>
    </row>
    <row r="233" spans="1:27" hidden="1" outlineLevel="1" x14ac:dyDescent="0.35">
      <c r="A233" s="149"/>
      <c r="B233" s="149"/>
      <c r="C233" s="150"/>
      <c r="D233" s="154"/>
      <c r="E233" s="10" t="str">
        <f>InpC!$E$31</f>
        <v>Thames Water</v>
      </c>
      <c r="F233" s="10" t="str">
        <f>InpC!$F$31</f>
        <v>TMS</v>
      </c>
      <c r="G233" s="22" t="s">
        <v>34</v>
      </c>
      <c r="H233" s="152"/>
      <c r="I233" s="153"/>
      <c r="J233" s="156">
        <f t="shared" ref="J233:S233" si="133">J77+J155</f>
        <v>23.221428037383177</v>
      </c>
      <c r="K233" s="156">
        <f t="shared" si="133"/>
        <v>27.636092081031311</v>
      </c>
      <c r="L233" s="156">
        <f t="shared" si="133"/>
        <v>33.1</v>
      </c>
      <c r="M233" s="156">
        <f t="shared" si="133"/>
        <v>27.184060721062593</v>
      </c>
      <c r="N233" s="156">
        <f t="shared" si="133"/>
        <v>34.036999999999999</v>
      </c>
      <c r="O233" s="156">
        <f t="shared" si="133"/>
        <v>34.917999999999999</v>
      </c>
      <c r="P233" s="156">
        <f t="shared" si="133"/>
        <v>34.917999999999999</v>
      </c>
      <c r="Q233" s="156">
        <f t="shared" si="133"/>
        <v>34.917999999999999</v>
      </c>
      <c r="R233" s="156">
        <f t="shared" si="133"/>
        <v>34.905000000000001</v>
      </c>
      <c r="S233" s="156">
        <f t="shared" si="133"/>
        <v>34.905000000000001</v>
      </c>
      <c r="U233" s="156">
        <f t="shared" si="126"/>
        <v>34.912799999999997</v>
      </c>
      <c r="V233" s="156">
        <f t="shared" si="127"/>
        <v>174.56399999999999</v>
      </c>
      <c r="W233" s="156"/>
      <c r="X233" s="156"/>
    </row>
    <row r="234" spans="1:27" hidden="1" outlineLevel="1" x14ac:dyDescent="0.35">
      <c r="A234" s="149"/>
      <c r="B234" s="149"/>
      <c r="C234" s="150"/>
      <c r="D234" s="154"/>
      <c r="E234" s="10" t="str">
        <f>InpC!$E$32</f>
        <v>United Utilities</v>
      </c>
      <c r="F234" s="10" t="str">
        <f>InpC!$F$32</f>
        <v>NWT</v>
      </c>
      <c r="G234" s="22" t="s">
        <v>34</v>
      </c>
      <c r="H234" s="152"/>
      <c r="I234" s="153"/>
      <c r="J234" s="156">
        <f t="shared" ref="J234:S234" si="134">J78+J156</f>
        <v>2.1315471624810454</v>
      </c>
      <c r="K234" s="156">
        <f t="shared" si="134"/>
        <v>2.620960095366704</v>
      </c>
      <c r="L234" s="156">
        <f t="shared" si="134"/>
        <v>2.6936995512436726</v>
      </c>
      <c r="M234" s="156">
        <f t="shared" si="134"/>
        <v>2.1826765196732794</v>
      </c>
      <c r="N234" s="156">
        <f t="shared" si="134"/>
        <v>2.2324326016411677</v>
      </c>
      <c r="O234" s="156">
        <f t="shared" si="134"/>
        <v>2.2322935179328853</v>
      </c>
      <c r="P234" s="156">
        <f t="shared" si="134"/>
        <v>2.2322935179328853</v>
      </c>
      <c r="Q234" s="156">
        <f t="shared" si="134"/>
        <v>2.2322935179328862</v>
      </c>
      <c r="R234" s="156">
        <f t="shared" si="134"/>
        <v>2.2322935179328862</v>
      </c>
      <c r="S234" s="156">
        <f t="shared" si="134"/>
        <v>2.2322935179328862</v>
      </c>
      <c r="U234" s="156">
        <f t="shared" si="126"/>
        <v>2.2322935179328858</v>
      </c>
      <c r="V234" s="156">
        <f t="shared" si="127"/>
        <v>11.161467589664429</v>
      </c>
      <c r="W234" s="156"/>
      <c r="X234" s="156"/>
    </row>
    <row r="235" spans="1:27" hidden="1" outlineLevel="1" x14ac:dyDescent="0.35">
      <c r="A235" s="149"/>
      <c r="B235" s="149"/>
      <c r="C235" s="150"/>
      <c r="D235" s="154"/>
      <c r="E235" s="10" t="str">
        <f>InpC!$E$33</f>
        <v>Wessex Water</v>
      </c>
      <c r="F235" s="10" t="str">
        <f>InpC!$F$33</f>
        <v>WSX</v>
      </c>
      <c r="G235" s="22" t="s">
        <v>34</v>
      </c>
      <c r="H235" s="152"/>
      <c r="I235" s="153"/>
      <c r="J235" s="156">
        <f t="shared" ref="J235:S235" si="135">J79+J157</f>
        <v>0.11057753252336451</v>
      </c>
      <c r="K235" s="156">
        <f t="shared" si="135"/>
        <v>0.14203867403314918</v>
      </c>
      <c r="L235" s="156">
        <f t="shared" si="135"/>
        <v>0.17899999999999999</v>
      </c>
      <c r="M235" s="156">
        <f t="shared" si="135"/>
        <v>0.13643223819301847</v>
      </c>
      <c r="N235" s="156">
        <f t="shared" si="135"/>
        <v>0.13973744367372401</v>
      </c>
      <c r="O235" s="156">
        <f t="shared" si="135"/>
        <v>0.11726936051518823</v>
      </c>
      <c r="P235" s="156">
        <f t="shared" si="135"/>
        <v>0.1228376099574946</v>
      </c>
      <c r="Q235" s="156">
        <f t="shared" si="135"/>
        <v>0.12213289063134444</v>
      </c>
      <c r="R235" s="156">
        <f t="shared" si="135"/>
        <v>0.12166076153939832</v>
      </c>
      <c r="S235" s="156">
        <f t="shared" si="135"/>
        <v>0.12626435992596499</v>
      </c>
      <c r="U235" s="156">
        <f t="shared" si="126"/>
        <v>0.12203299651387811</v>
      </c>
      <c r="V235" s="156">
        <f t="shared" si="127"/>
        <v>0.61016498256939056</v>
      </c>
      <c r="W235" s="156"/>
      <c r="X235" s="156"/>
    </row>
    <row r="236" spans="1:27" hidden="1" outlineLevel="1" x14ac:dyDescent="0.35">
      <c r="A236" s="149"/>
      <c r="B236" s="149"/>
      <c r="C236" s="150"/>
      <c r="D236" s="154"/>
      <c r="E236" s="10" t="str">
        <f>InpC!$E$34</f>
        <v>Yorkshire Water</v>
      </c>
      <c r="F236" s="10" t="str">
        <f>InpC!$F$34</f>
        <v>YKY</v>
      </c>
      <c r="G236" s="22" t="s">
        <v>34</v>
      </c>
      <c r="H236" s="152"/>
      <c r="I236" s="153"/>
      <c r="J236" s="156">
        <f t="shared" ref="J236:S236" si="136">J80+J158</f>
        <v>4.5978672897196269</v>
      </c>
      <c r="K236" s="156">
        <f t="shared" si="136"/>
        <v>3.6411817705007015</v>
      </c>
      <c r="L236" s="156">
        <f t="shared" si="136"/>
        <v>3.8377190511661063</v>
      </c>
      <c r="M236" s="156">
        <f t="shared" si="136"/>
        <v>3.2565324710202734</v>
      </c>
      <c r="N236" s="156">
        <f t="shared" si="136"/>
        <v>3.5966580219158613</v>
      </c>
      <c r="O236" s="156">
        <f t="shared" si="136"/>
        <v>4.1693312836279786</v>
      </c>
      <c r="P236" s="156">
        <f t="shared" si="136"/>
        <v>4.1693312836279786</v>
      </c>
      <c r="Q236" s="156">
        <f t="shared" si="136"/>
        <v>4.1693312836279786</v>
      </c>
      <c r="R236" s="156">
        <f t="shared" si="136"/>
        <v>4.1693312836279786</v>
      </c>
      <c r="S236" s="156">
        <f t="shared" si="136"/>
        <v>4.1693312836279786</v>
      </c>
      <c r="U236" s="156">
        <f t="shared" si="126"/>
        <v>4.1693312836279786</v>
      </c>
      <c r="V236" s="156">
        <f t="shared" si="127"/>
        <v>20.846656418139894</v>
      </c>
      <c r="W236" s="156"/>
      <c r="X236" s="156"/>
    </row>
    <row r="237" spans="1:27" hidden="1" outlineLevel="1" x14ac:dyDescent="0.35">
      <c r="A237" s="149"/>
      <c r="B237" s="149"/>
      <c r="C237" s="150"/>
      <c r="D237" s="154"/>
      <c r="E237" s="10" t="str">
        <f>InpC!$E$35</f>
        <v>Affinity Water</v>
      </c>
      <c r="F237" s="10" t="str">
        <f>InpC!$F$35</f>
        <v>AFW</v>
      </c>
      <c r="G237" s="22" t="s">
        <v>34</v>
      </c>
      <c r="H237" s="152"/>
      <c r="I237" s="153"/>
      <c r="J237" s="156">
        <f t="shared" ref="J237:S237" si="137">J81+J159</f>
        <v>1.9078542056074768</v>
      </c>
      <c r="K237" s="156">
        <f t="shared" si="137"/>
        <v>1.058742173112339</v>
      </c>
      <c r="L237" s="156">
        <f t="shared" si="137"/>
        <v>0.61699999999999999</v>
      </c>
      <c r="M237" s="156">
        <f t="shared" si="137"/>
        <v>0.48099999999999998</v>
      </c>
      <c r="N237" s="156">
        <f t="shared" si="137"/>
        <v>0.623</v>
      </c>
      <c r="O237" s="156">
        <f t="shared" si="137"/>
        <v>0.65</v>
      </c>
      <c r="P237" s="156">
        <f t="shared" si="137"/>
        <v>0.65</v>
      </c>
      <c r="Q237" s="156">
        <f t="shared" si="137"/>
        <v>0.65100000000000002</v>
      </c>
      <c r="R237" s="156">
        <f t="shared" si="137"/>
        <v>0.65100000000000002</v>
      </c>
      <c r="S237" s="156">
        <f t="shared" si="137"/>
        <v>0.65100000000000002</v>
      </c>
      <c r="U237" s="156">
        <f t="shared" si="126"/>
        <v>0.65060000000000007</v>
      </c>
      <c r="V237" s="156">
        <f t="shared" si="127"/>
        <v>3.2530000000000001</v>
      </c>
      <c r="W237" s="156"/>
      <c r="X237" s="156"/>
    </row>
    <row r="238" spans="1:27" hidden="1" outlineLevel="1" x14ac:dyDescent="0.35">
      <c r="A238" s="149"/>
      <c r="B238" s="149"/>
      <c r="C238" s="150"/>
      <c r="D238" s="154"/>
      <c r="E238" s="10" t="str">
        <f>InpC!$E$36</f>
        <v>Portsmouth Water</v>
      </c>
      <c r="F238" s="10" t="str">
        <f>InpC!$F$36</f>
        <v>PRT</v>
      </c>
      <c r="G238" s="22" t="s">
        <v>34</v>
      </c>
      <c r="H238" s="152"/>
      <c r="I238" s="153"/>
      <c r="J238" s="156">
        <f t="shared" ref="J238:S238" si="138">J82+J160</f>
        <v>0.25049532710280376</v>
      </c>
      <c r="K238" s="156">
        <f t="shared" si="138"/>
        <v>0.28306998158379382</v>
      </c>
      <c r="L238" s="156">
        <f t="shared" si="138"/>
        <v>0.22900000000000001</v>
      </c>
      <c r="M238" s="156">
        <f t="shared" si="138"/>
        <v>0.1212731006160164</v>
      </c>
      <c r="N238" s="156">
        <f t="shared" si="138"/>
        <v>0.41</v>
      </c>
      <c r="O238" s="156">
        <f t="shared" si="138"/>
        <v>0.48699999999999999</v>
      </c>
      <c r="P238" s="156">
        <f t="shared" si="138"/>
        <v>0.49164000000000002</v>
      </c>
      <c r="Q238" s="156">
        <f t="shared" si="138"/>
        <v>0.48681999999999997</v>
      </c>
      <c r="R238" s="156">
        <f t="shared" si="138"/>
        <v>0.48681999999999997</v>
      </c>
      <c r="S238" s="156">
        <f t="shared" si="138"/>
        <v>0.48681999999999997</v>
      </c>
      <c r="U238" s="156">
        <f t="shared" si="126"/>
        <v>0.48781999999999998</v>
      </c>
      <c r="V238" s="156">
        <f t="shared" si="127"/>
        <v>2.4390999999999998</v>
      </c>
      <c r="W238" s="156"/>
      <c r="X238" s="156"/>
    </row>
    <row r="239" spans="1:27" hidden="1" outlineLevel="1" x14ac:dyDescent="0.35">
      <c r="A239" s="149"/>
      <c r="B239" s="149"/>
      <c r="C239" s="150"/>
      <c r="D239" s="154"/>
      <c r="E239" s="10" t="str">
        <f>InpC!$E$37</f>
        <v>South East Water</v>
      </c>
      <c r="F239" s="10" t="str">
        <f>InpC!$F$37</f>
        <v>SEW</v>
      </c>
      <c r="G239" s="22" t="s">
        <v>34</v>
      </c>
      <c r="H239" s="152"/>
      <c r="I239" s="153"/>
      <c r="J239" s="156">
        <f t="shared" ref="J239:S239" si="139">J83+J161</f>
        <v>0.65742242990654209</v>
      </c>
      <c r="K239" s="156">
        <f t="shared" si="139"/>
        <v>0.72530386740331498</v>
      </c>
      <c r="L239" s="156">
        <f t="shared" si="139"/>
        <v>0.57299999999999995</v>
      </c>
      <c r="M239" s="156">
        <f t="shared" si="139"/>
        <v>1.0507178729007369</v>
      </c>
      <c r="N239" s="156">
        <f t="shared" si="139"/>
        <v>1.366560737738022</v>
      </c>
      <c r="O239" s="156">
        <f t="shared" si="139"/>
        <v>1.367</v>
      </c>
      <c r="P239" s="156">
        <f t="shared" si="139"/>
        <v>1.367</v>
      </c>
      <c r="Q239" s="156">
        <f t="shared" si="139"/>
        <v>1.367</v>
      </c>
      <c r="R239" s="156">
        <f t="shared" si="139"/>
        <v>1.367</v>
      </c>
      <c r="S239" s="156">
        <f t="shared" si="139"/>
        <v>1.367</v>
      </c>
      <c r="U239" s="156">
        <f t="shared" si="126"/>
        <v>1.367</v>
      </c>
      <c r="V239" s="156">
        <f t="shared" si="127"/>
        <v>6.835</v>
      </c>
      <c r="W239" s="156"/>
      <c r="X239" s="156"/>
    </row>
    <row r="240" spans="1:27" hidden="1" outlineLevel="1" x14ac:dyDescent="0.35">
      <c r="A240" s="149"/>
      <c r="B240" s="149"/>
      <c r="C240" s="150"/>
      <c r="D240" s="154"/>
      <c r="E240" s="10" t="str">
        <f>InpC!$E$38</f>
        <v>South Staffs Water</v>
      </c>
      <c r="F240" s="10" t="str">
        <f>InpC!$F$38</f>
        <v>SSC</v>
      </c>
      <c r="G240" s="22" t="s">
        <v>34</v>
      </c>
      <c r="H240" s="152"/>
      <c r="I240" s="153"/>
      <c r="J240" s="156">
        <f t="shared" ref="J240:S240" si="140">J84+J162</f>
        <v>0.33228971962616827</v>
      </c>
      <c r="K240" s="156">
        <f t="shared" si="140"/>
        <v>0.46238121546961336</v>
      </c>
      <c r="L240" s="156">
        <f t="shared" si="140"/>
        <v>0.48899999999999999</v>
      </c>
      <c r="M240" s="156">
        <f t="shared" si="140"/>
        <v>0.48899999999999999</v>
      </c>
      <c r="N240" s="156">
        <f t="shared" si="140"/>
        <v>0.48899999999999999</v>
      </c>
      <c r="O240" s="156">
        <f t="shared" si="140"/>
        <v>0.48899999999999999</v>
      </c>
      <c r="P240" s="156">
        <f t="shared" si="140"/>
        <v>0.48899999999999999</v>
      </c>
      <c r="Q240" s="156">
        <f t="shared" si="140"/>
        <v>0.48899999999999999</v>
      </c>
      <c r="R240" s="156">
        <f t="shared" si="140"/>
        <v>0.48899999999999999</v>
      </c>
      <c r="S240" s="156">
        <f t="shared" si="140"/>
        <v>0.48899999999999999</v>
      </c>
      <c r="U240" s="156">
        <f t="shared" si="126"/>
        <v>0.48899999999999999</v>
      </c>
      <c r="V240" s="156">
        <f t="shared" si="127"/>
        <v>2.4449999999999998</v>
      </c>
      <c r="W240" s="156"/>
      <c r="X240" s="156"/>
    </row>
    <row r="241" spans="1:27" hidden="1" outlineLevel="1" x14ac:dyDescent="0.35">
      <c r="A241" s="149"/>
      <c r="B241" s="149"/>
      <c r="C241" s="150"/>
      <c r="D241" s="154"/>
      <c r="E241" s="10" t="str">
        <f>InpC!$E$39</f>
        <v>SES Water</v>
      </c>
      <c r="F241" s="10" t="str">
        <f>InpC!$F$39</f>
        <v>SES</v>
      </c>
      <c r="G241" s="22" t="s">
        <v>34</v>
      </c>
      <c r="H241" s="152"/>
      <c r="I241" s="153"/>
      <c r="J241" s="156">
        <f t="shared" ref="J241:S241" si="141">J85+J163</f>
        <v>0.18237078153271027</v>
      </c>
      <c r="K241" s="156">
        <f t="shared" si="141"/>
        <v>0.12717755036832415</v>
      </c>
      <c r="L241" s="156">
        <f t="shared" si="141"/>
        <v>0.31</v>
      </c>
      <c r="M241" s="156">
        <f t="shared" si="141"/>
        <v>0.34269271435338688</v>
      </c>
      <c r="N241" s="156">
        <f t="shared" si="141"/>
        <v>0.33700000000000002</v>
      </c>
      <c r="O241" s="156">
        <f t="shared" si="141"/>
        <v>0.34399999999999997</v>
      </c>
      <c r="P241" s="156">
        <f t="shared" si="141"/>
        <v>0.34699999999999998</v>
      </c>
      <c r="Q241" s="156">
        <f t="shared" si="141"/>
        <v>0.34799999999999998</v>
      </c>
      <c r="R241" s="156">
        <f t="shared" si="141"/>
        <v>0.35399999999999998</v>
      </c>
      <c r="S241" s="156">
        <f t="shared" si="141"/>
        <v>0.35699999999999998</v>
      </c>
      <c r="U241" s="156">
        <f t="shared" si="126"/>
        <v>0.35</v>
      </c>
      <c r="V241" s="156">
        <f t="shared" si="127"/>
        <v>1.7499999999999998</v>
      </c>
      <c r="W241" s="156"/>
      <c r="X241" s="156"/>
    </row>
    <row r="242" spans="1:27" hidden="1" outlineLevel="1" x14ac:dyDescent="0.35">
      <c r="A242" s="149"/>
      <c r="B242" s="149"/>
      <c r="C242" s="150"/>
      <c r="D242" s="154"/>
      <c r="E242" s="10" t="str">
        <f>InpC!$E$40</f>
        <v>South West Water</v>
      </c>
      <c r="F242" s="10" t="str">
        <f>InpC!$F$40</f>
        <v>SWB</v>
      </c>
      <c r="G242" s="22" t="s">
        <v>34</v>
      </c>
      <c r="H242" s="152"/>
      <c r="I242" s="153"/>
      <c r="J242" s="156">
        <f t="shared" ref="J242:S242" si="142">J86+J164</f>
        <v>0</v>
      </c>
      <c r="K242" s="156">
        <f t="shared" si="142"/>
        <v>5.5405156537753235E-2</v>
      </c>
      <c r="L242" s="156">
        <f t="shared" si="142"/>
        <v>0.21199999999999999</v>
      </c>
      <c r="M242" s="156">
        <f t="shared" si="142"/>
        <v>0.79</v>
      </c>
      <c r="N242" s="156">
        <f t="shared" si="142"/>
        <v>0.21199999999999999</v>
      </c>
      <c r="O242" s="156">
        <f t="shared" si="142"/>
        <v>0.14199529599999999</v>
      </c>
      <c r="P242" s="156">
        <f t="shared" si="142"/>
        <v>0.133004648</v>
      </c>
      <c r="Q242" s="156">
        <f t="shared" si="142"/>
        <v>0.123995114</v>
      </c>
      <c r="R242" s="156">
        <f t="shared" si="142"/>
        <v>0.114998539</v>
      </c>
      <c r="S242" s="156">
        <f t="shared" si="142"/>
        <v>0.107004223</v>
      </c>
      <c r="U242" s="156">
        <f t="shared" si="126"/>
        <v>0.12419956400000001</v>
      </c>
      <c r="V242" s="156">
        <f t="shared" si="127"/>
        <v>0.62099782000000003</v>
      </c>
      <c r="W242" s="156"/>
      <c r="X242" s="156"/>
    </row>
    <row r="243" spans="1:27" hidden="1" outlineLevel="1" x14ac:dyDescent="0.35">
      <c r="A243" s="149"/>
      <c r="B243" s="149"/>
      <c r="C243" s="150"/>
      <c r="D243" s="154"/>
      <c r="E243" s="10" t="str">
        <f>InpC!$E$41</f>
        <v>Bristol Water</v>
      </c>
      <c r="F243" s="10" t="str">
        <f>InpC!$F$41</f>
        <v>BRL</v>
      </c>
      <c r="G243" s="22" t="s">
        <v>34</v>
      </c>
      <c r="H243" s="152"/>
      <c r="I243" s="153"/>
      <c r="J243" s="156">
        <f t="shared" ref="J243:S243" si="143">J87+J165</f>
        <v>0.34353644859813087</v>
      </c>
      <c r="K243" s="156">
        <f t="shared" si="143"/>
        <v>0.37171823204419896</v>
      </c>
      <c r="L243" s="156">
        <f t="shared" si="143"/>
        <v>0.20599999999999999</v>
      </c>
      <c r="M243" s="156">
        <f t="shared" si="143"/>
        <v>0.44719455852156048</v>
      </c>
      <c r="N243" s="156">
        <f t="shared" si="143"/>
        <v>0.47199999999999998</v>
      </c>
      <c r="O243" s="156">
        <f t="shared" si="143"/>
        <v>0.18539385899999999</v>
      </c>
      <c r="P243" s="156">
        <f t="shared" si="143"/>
        <v>0.18540647900000001</v>
      </c>
      <c r="Q243" s="156">
        <f t="shared" si="143"/>
        <v>0.185392694</v>
      </c>
      <c r="R243" s="156">
        <f t="shared" si="143"/>
        <v>0.185397645</v>
      </c>
      <c r="S243" s="156">
        <f t="shared" si="143"/>
        <v>0.18540731699999999</v>
      </c>
      <c r="U243" s="156">
        <f t="shared" si="126"/>
        <v>0.18539959880000001</v>
      </c>
      <c r="V243" s="156">
        <f t="shared" si="127"/>
        <v>0.92699799400000005</v>
      </c>
      <c r="W243" s="156"/>
      <c r="X243" s="156"/>
    </row>
    <row r="244" spans="1:27" hidden="1" outlineLevel="1" x14ac:dyDescent="0.35">
      <c r="A244" s="149"/>
      <c r="B244" s="149"/>
      <c r="C244" s="150"/>
      <c r="D244" s="154"/>
      <c r="E244" s="10" t="s">
        <v>147</v>
      </c>
      <c r="G244" s="22" t="s">
        <v>34</v>
      </c>
      <c r="H244" s="152"/>
      <c r="I244" s="153"/>
      <c r="J244" s="157">
        <f>SUM(J227:J243)</f>
        <v>40.093880523266087</v>
      </c>
      <c r="K244" s="157">
        <f t="shared" ref="K244:S244" si="144">SUM(K227:K243)</f>
        <v>43.087798927294891</v>
      </c>
      <c r="L244" s="157">
        <f t="shared" si="144"/>
        <v>48.450418602409783</v>
      </c>
      <c r="M244" s="157">
        <f t="shared" si="144"/>
        <v>41.528500586973479</v>
      </c>
      <c r="N244" s="157">
        <f t="shared" si="144"/>
        <v>49.974388768533686</v>
      </c>
      <c r="O244" s="157">
        <f t="shared" si="144"/>
        <v>52.876365494122425</v>
      </c>
      <c r="P244" s="157">
        <f t="shared" si="144"/>
        <v>52.925946176564729</v>
      </c>
      <c r="Q244" s="157">
        <f t="shared" si="144"/>
        <v>52.961756825238588</v>
      </c>
      <c r="R244" s="157">
        <f t="shared" si="144"/>
        <v>52.993660029146639</v>
      </c>
      <c r="S244" s="157">
        <f t="shared" si="144"/>
        <v>53.0416542665332</v>
      </c>
      <c r="U244" s="157">
        <f t="shared" ref="U244:V244" si="145">SUM(U227:U243)</f>
        <v>52.959876558321113</v>
      </c>
      <c r="V244" s="157">
        <f t="shared" si="145"/>
        <v>264.79938279160558</v>
      </c>
      <c r="W244" s="156"/>
      <c r="X244" s="156"/>
    </row>
    <row r="245" spans="1:27" x14ac:dyDescent="0.35">
      <c r="A245" s="149"/>
      <c r="B245" s="149"/>
      <c r="C245" s="150"/>
      <c r="D245" s="154"/>
      <c r="E245" s="152"/>
      <c r="F245" s="152"/>
      <c r="H245" s="152"/>
      <c r="I245" s="153"/>
      <c r="J245" s="152"/>
      <c r="K245" s="152"/>
      <c r="L245" s="152"/>
      <c r="M245" s="152"/>
      <c r="N245" s="152"/>
      <c r="O245" s="152"/>
      <c r="P245" s="152"/>
      <c r="Q245" s="152"/>
      <c r="R245" s="152"/>
      <c r="S245" s="152"/>
      <c r="T245" s="152"/>
      <c r="U245" s="152"/>
      <c r="V245" s="152"/>
      <c r="W245" s="152"/>
      <c r="X245" s="152"/>
      <c r="Z245" s="152"/>
      <c r="AA245" s="152"/>
    </row>
  </sheetData>
  <conditionalFormatting sqref="H2">
    <cfRule type="cellIs" dxfId="200" priority="25" stopIfTrue="1" operator="notEqual">
      <formula>0</formula>
    </cfRule>
    <cfRule type="cellIs" dxfId="199" priority="26" stopIfTrue="1" operator="equal">
      <formula>""</formula>
    </cfRule>
    <cfRule type="cellIs" dxfId="198" priority="27" stopIfTrue="1" operator="notEqual">
      <formula>0</formula>
    </cfRule>
    <cfRule type="cellIs" dxfId="197" priority="28" stopIfTrue="1" operator="equal">
      <formula>""</formula>
    </cfRule>
  </conditionalFormatting>
  <conditionalFormatting sqref="J228:J243">
    <cfRule type="expression" dxfId="196" priority="12">
      <formula>(J228&lt;&gt;J176)</formula>
    </cfRule>
  </conditionalFormatting>
  <conditionalFormatting sqref="J3:S3">
    <cfRule type="cellIs" dxfId="195" priority="123" operator="equal">
      <formula>"PPA ext."</formula>
    </cfRule>
    <cfRule type="cellIs" dxfId="194" priority="124" operator="equal">
      <formula>"Delay"</formula>
    </cfRule>
    <cfRule type="cellIs" dxfId="193" priority="129" operator="equal">
      <formula>"Fin Close"</formula>
    </cfRule>
    <cfRule type="cellIs" dxfId="192" priority="130" stopIfTrue="1" operator="equal">
      <formula>"Construction"</formula>
    </cfRule>
    <cfRule type="cellIs" dxfId="191" priority="131" stopIfTrue="1" operator="equal">
      <formula>"Operations"</formula>
    </cfRule>
  </conditionalFormatting>
  <conditionalFormatting sqref="J19:S35 U19:V35">
    <cfRule type="expression" dxfId="190" priority="57">
      <formula>(J71&lt;&gt;J19)</formula>
    </cfRule>
  </conditionalFormatting>
  <conditionalFormatting sqref="J71:S87">
    <cfRule type="expression" dxfId="189" priority="431">
      <formula>(J71&lt;&gt;J19)</formula>
    </cfRule>
  </conditionalFormatting>
  <conditionalFormatting sqref="J97:S113">
    <cfRule type="expression" dxfId="188" priority="21">
      <formula>(J149&lt;&gt;J97)</formula>
    </cfRule>
  </conditionalFormatting>
  <conditionalFormatting sqref="J149:S165">
    <cfRule type="expression" dxfId="187" priority="22">
      <formula>(J149&lt;&gt;J97)</formula>
    </cfRule>
  </conditionalFormatting>
  <conditionalFormatting sqref="J175:S191">
    <cfRule type="expression" dxfId="186" priority="10">
      <formula>(J227&lt;&gt;J175)</formula>
    </cfRule>
  </conditionalFormatting>
  <conditionalFormatting sqref="J201:S217">
    <cfRule type="expression" dxfId="185" priority="8">
      <formula>(J253&lt;&gt;J201)</formula>
    </cfRule>
  </conditionalFormatting>
  <conditionalFormatting sqref="J227:S243">
    <cfRule type="expression" dxfId="184" priority="84">
      <formula>(J227&lt;&gt;J175)</formula>
    </cfRule>
  </conditionalFormatting>
  <conditionalFormatting sqref="U3:V3">
    <cfRule type="cellIs" dxfId="183" priority="60" operator="equal">
      <formula>"PPA ext."</formula>
    </cfRule>
    <cfRule type="cellIs" dxfId="182" priority="61" operator="equal">
      <formula>"Delay"</formula>
    </cfRule>
    <cfRule type="cellIs" dxfId="181" priority="62" operator="equal">
      <formula>"Fin Close"</formula>
    </cfRule>
    <cfRule type="cellIs" dxfId="180" priority="63" stopIfTrue="1" operator="equal">
      <formula>"Construction"</formula>
    </cfRule>
    <cfRule type="cellIs" dxfId="179" priority="64" stopIfTrue="1" operator="equal">
      <formula>"Operations"</formula>
    </cfRule>
  </conditionalFormatting>
  <conditionalFormatting sqref="U45:V61 U71:V87">
    <cfRule type="expression" dxfId="178" priority="140">
      <formula>(#REF!&lt;&gt;U45)</formula>
    </cfRule>
  </conditionalFormatting>
  <conditionalFormatting sqref="U97:V113">
    <cfRule type="expression" dxfId="177" priority="20">
      <formula>(U149&lt;&gt;U97)</formula>
    </cfRule>
  </conditionalFormatting>
  <conditionalFormatting sqref="U123:V139 U149:V165">
    <cfRule type="expression" dxfId="176" priority="23">
      <formula>(#REF!&lt;&gt;U123)</formula>
    </cfRule>
  </conditionalFormatting>
  <conditionalFormatting sqref="U175:V191">
    <cfRule type="expression" dxfId="175" priority="82">
      <formula>(U227&lt;&gt;U175)</formula>
    </cfRule>
  </conditionalFormatting>
  <conditionalFormatting sqref="U201:V217">
    <cfRule type="expression" dxfId="174" priority="4">
      <formula>(Z253&lt;&gt;U201)</formula>
    </cfRule>
  </conditionalFormatting>
  <conditionalFormatting sqref="U227:V243">
    <cfRule type="expression" dxfId="173" priority="2">
      <formula>(Z284&lt;&gt;U227)</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0E29C-EABD-4C04-ADB3-2914760FE6F5}">
  <sheetPr>
    <tabColor rgb="FFCCCCCE"/>
    <outlinePr summaryBelow="0" summaryRight="0"/>
  </sheetPr>
  <dimension ref="A1:AA215"/>
  <sheetViews>
    <sheetView zoomScale="80" zoomScaleNormal="80" workbookViewId="0"/>
  </sheetViews>
  <sheetFormatPr defaultColWidth="11.73046875" defaultRowHeight="13.15" outlineLevelRow="1" x14ac:dyDescent="0.35"/>
  <cols>
    <col min="1" max="2" width="1.265625" style="11" customWidth="1"/>
    <col min="3" max="3" width="22.1328125" style="16" bestFit="1" customWidth="1"/>
    <col min="4" max="4" width="1.265625" style="35" customWidth="1"/>
    <col min="5" max="5" width="91.265625" style="10"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s>
  <sheetData>
    <row r="1" spans="1:22" ht="25.15" x14ac:dyDescent="0.35">
      <c r="A1" s="19" t="str">
        <f ca="1">RIGHT(CELL("filename", A1), LEN(CELL("filename", A1)) - SEARCH("]", CELL("filename", A1)))</f>
        <v>TMA Projects</v>
      </c>
    </row>
    <row r="2" spans="1:22" x14ac:dyDescent="0.35">
      <c r="A2" s="38"/>
      <c r="B2" s="38"/>
      <c r="C2" s="39"/>
      <c r="D2" s="40"/>
      <c r="E2" s="73"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t="s">
        <v>172</v>
      </c>
      <c r="V2" s="74" t="s">
        <v>173</v>
      </c>
    </row>
    <row r="3" spans="1:22" x14ac:dyDescent="0.35">
      <c r="E3" s="73"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f>Time!U3</f>
        <v>0</v>
      </c>
      <c r="V3" s="27">
        <f>Time!V3</f>
        <v>0</v>
      </c>
    </row>
    <row r="4" spans="1:22" x14ac:dyDescent="0.35">
      <c r="E4" s="73"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row>
    <row r="5" spans="1:22"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2"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2"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8" spans="1:22" x14ac:dyDescent="0.35">
      <c r="J8" s="112"/>
      <c r="K8" s="112"/>
      <c r="L8" s="112"/>
      <c r="M8" s="112"/>
      <c r="N8" s="112"/>
      <c r="O8" s="112"/>
      <c r="P8" s="112"/>
      <c r="Q8" s="112"/>
      <c r="R8" s="112"/>
      <c r="S8" s="112"/>
      <c r="U8" s="112"/>
      <c r="V8" s="112"/>
    </row>
    <row r="9" spans="1:22" x14ac:dyDescent="0.35">
      <c r="C9" s="5" t="str">
        <f>InpC!$F$50</f>
        <v>W3040TOT</v>
      </c>
      <c r="D9" s="5" t="str">
        <f>InpC!$E$50</f>
        <v>Traffic Management Act - Projects incurring costs associated with Traffic Management Act - Total</v>
      </c>
      <c r="F9" s="131">
        <f>MATCH(D9,APRChoices,0)</f>
        <v>3</v>
      </c>
      <c r="G9" s="22" t="s">
        <v>125</v>
      </c>
      <c r="J9" s="74">
        <f>J$2</f>
        <v>44286</v>
      </c>
      <c r="K9" s="74">
        <f t="shared" ref="K9:V9" si="0">K$2</f>
        <v>44651</v>
      </c>
      <c r="L9" s="74">
        <f t="shared" si="0"/>
        <v>45016</v>
      </c>
      <c r="M9" s="74">
        <f t="shared" si="0"/>
        <v>45382</v>
      </c>
      <c r="N9" s="74">
        <f t="shared" si="0"/>
        <v>45747</v>
      </c>
      <c r="O9" s="74">
        <f t="shared" si="0"/>
        <v>46112</v>
      </c>
      <c r="P9" s="74">
        <f t="shared" si="0"/>
        <v>46477</v>
      </c>
      <c r="Q9" s="74">
        <f t="shared" si="0"/>
        <v>46843</v>
      </c>
      <c r="R9" s="74">
        <f t="shared" si="0"/>
        <v>47208</v>
      </c>
      <c r="S9" s="74">
        <f t="shared" si="0"/>
        <v>47573</v>
      </c>
      <c r="U9" s="74" t="str">
        <f t="shared" si="0"/>
        <v>PR24 Average</v>
      </c>
      <c r="V9" s="74" t="str">
        <f t="shared" si="0"/>
        <v>PR24 Total</v>
      </c>
    </row>
    <row r="10" spans="1:22" x14ac:dyDescent="0.35">
      <c r="C10" s="5" t="str">
        <f>INDEX(InpC!$G$57:$G$62,'TMA Projects'!F9,)</f>
        <v>CW2_018TOT_PR24</v>
      </c>
      <c r="D10" s="5" t="str">
        <f>INDEX(InpC!$G$48:$G$53,'TMA Projects'!F9,)</f>
        <v>Traffic Management Act - Projects incurring costs associated with Traffic Management Act - Total</v>
      </c>
      <c r="G10" s="22" t="s">
        <v>126</v>
      </c>
      <c r="J10" s="74"/>
      <c r="K10" s="74"/>
      <c r="L10" s="74"/>
      <c r="M10" s="74"/>
      <c r="N10" s="74"/>
      <c r="O10" s="74"/>
      <c r="P10" s="74"/>
      <c r="Q10" s="74"/>
      <c r="R10" s="74"/>
      <c r="S10" s="74"/>
      <c r="U10" s="74"/>
      <c r="V10" s="74"/>
    </row>
    <row r="11" spans="1:22" collapsed="1" x14ac:dyDescent="0.35">
      <c r="E11" s="5" t="s">
        <v>182</v>
      </c>
    </row>
    <row r="12" spans="1:22" hidden="1" outlineLevel="1" x14ac:dyDescent="0.35"/>
    <row r="13" spans="1:22" hidden="1" outlineLevel="1" x14ac:dyDescent="0.35">
      <c r="E13" s="10" t="str">
        <f>InpC!$E$25</f>
        <v>Anglian Water</v>
      </c>
      <c r="F13" s="10" t="str">
        <f>InpC!$F$25</f>
        <v>ANH</v>
      </c>
      <c r="G13" s="22" t="s">
        <v>39</v>
      </c>
      <c r="J13" s="10">
        <f>SUMIFS('Consolidated Input'!F$6:F$209,'Consolidated Input'!$A$6:$A$209,$F13,'Consolidated Input'!$B$6:$B$209,$C$9)</f>
        <v>32514</v>
      </c>
      <c r="K13" s="10">
        <f>SUMIFS('Consolidated Input'!G$6:G$209,'Consolidated Input'!$A$6:$A$209,$F13,'Consolidated Input'!$B$6:$B$209,$C$9)</f>
        <v>32516</v>
      </c>
      <c r="L13" s="10">
        <f>SUMIFS('Consolidated Input'!H$6:H$209,'Consolidated Input'!$A$6:$A$209,$F13,'Consolidated Input'!$B$6:$B$209,$C$9)</f>
        <v>18002</v>
      </c>
      <c r="M13" s="10">
        <f>SUMIFS('Consolidated Input'!S$6:S$209,'Consolidated Input'!$A$6:$A$209,$F13,'Consolidated Input'!$B$6:$B$209,$C$10)</f>
        <v>12342</v>
      </c>
      <c r="N13" s="10">
        <f>SUMIFS('Consolidated Input'!T$6:T$209,'Consolidated Input'!$A$6:$A$209,$F13,'Consolidated Input'!$B$6:$B$209,$C$10)</f>
        <v>19000</v>
      </c>
      <c r="O13" s="10">
        <f>SUMIFS('Consolidated Input'!U$6:U$209,'Consolidated Input'!$A$6:$A$209,$F13,'Consolidated Input'!$B$6:$B$209,$C$10)</f>
        <v>19000</v>
      </c>
      <c r="P13" s="10">
        <f>SUMIFS('Consolidated Input'!V$6:V$209,'Consolidated Input'!$A$6:$A$209,$F13,'Consolidated Input'!$B$6:$B$209,$C$10)</f>
        <v>19000</v>
      </c>
      <c r="Q13" s="10">
        <f>SUMIFS('Consolidated Input'!W$6:W$209,'Consolidated Input'!$A$6:$A$209,$F13,'Consolidated Input'!$B$6:$B$209,$C$10)</f>
        <v>19000</v>
      </c>
      <c r="R13" s="10">
        <f>SUMIFS('Consolidated Input'!X$6:X$209,'Consolidated Input'!$A$6:$A$209,$F13,'Consolidated Input'!$B$6:$B$209,$C$10)</f>
        <v>19000</v>
      </c>
      <c r="S13" s="10">
        <f>SUMIFS('Consolidated Input'!Y$6:Y$209,'Consolidated Input'!$A$6:$A$209,$F13,'Consolidated Input'!$B$6:$B$209,$C$10)</f>
        <v>19000</v>
      </c>
      <c r="U13" s="10">
        <f t="shared" ref="U13:U29" si="1">IFERROR(AVERAGE(O13:S13),0)</f>
        <v>19000</v>
      </c>
      <c r="V13" s="10">
        <f t="shared" ref="V13:V29" si="2">SUM(O13:S13)</f>
        <v>95000</v>
      </c>
    </row>
    <row r="14" spans="1:22" hidden="1" outlineLevel="1" x14ac:dyDescent="0.35">
      <c r="E14" s="10" t="str">
        <f>InpC!$E$26</f>
        <v>Dŵr Cymru</v>
      </c>
      <c r="F14" s="10" t="str">
        <f>InpC!$F$26</f>
        <v>WSH</v>
      </c>
      <c r="G14" s="22" t="s">
        <v>39</v>
      </c>
      <c r="J14" s="10">
        <f>SUMIFS('Consolidated Input'!F$6:F$209,'Consolidated Input'!$A$6:$A$209,$F14,'Consolidated Input'!$B$6:$B$209,$C$9)</f>
        <v>45</v>
      </c>
      <c r="K14" s="10">
        <f>SUMIFS('Consolidated Input'!G$6:G$209,'Consolidated Input'!$A$6:$A$209,$F14,'Consolidated Input'!$B$6:$B$209,$C$9)</f>
        <v>0</v>
      </c>
      <c r="L14" s="10">
        <f>SUMIFS('Consolidated Input'!H$6:H$209,'Consolidated Input'!$A$6:$A$209,$F14,'Consolidated Input'!$B$6:$B$209,$C$9)</f>
        <v>1815</v>
      </c>
      <c r="M14" s="10">
        <f>SUMIFS('Consolidated Input'!S$6:S$209,'Consolidated Input'!$A$6:$A$209,$F14,'Consolidated Input'!$B$6:$B$209,$C$10)</f>
        <v>3630</v>
      </c>
      <c r="N14" s="10">
        <f>SUMIFS('Consolidated Input'!T$6:T$209,'Consolidated Input'!$A$6:$A$209,$F14,'Consolidated Input'!$B$6:$B$209,$C$10)</f>
        <v>1034</v>
      </c>
      <c r="O14" s="10">
        <f>SUMIFS('Consolidated Input'!U$6:U$209,'Consolidated Input'!$A$6:$A$209,$F14,'Consolidated Input'!$B$6:$B$209,$C$10)</f>
        <v>839.19399999999996</v>
      </c>
      <c r="P14" s="10">
        <f>SUMIFS('Consolidated Input'!V$6:V$209,'Consolidated Input'!$A$6:$A$209,$F14,'Consolidated Input'!$B$6:$B$209,$C$10)</f>
        <v>800.16099999999994</v>
      </c>
      <c r="Q14" s="10">
        <f>SUMIFS('Consolidated Input'!W$6:W$209,'Consolidated Input'!$A$6:$A$209,$F14,'Consolidated Input'!$B$6:$B$209,$C$10)</f>
        <v>780.64499999999998</v>
      </c>
      <c r="R14" s="10">
        <f>SUMIFS('Consolidated Input'!X$6:X$209,'Consolidated Input'!$A$6:$A$209,$F14,'Consolidated Input'!$B$6:$B$209,$C$10)</f>
        <v>761.12900000000002</v>
      </c>
      <c r="S14" s="10">
        <f>SUMIFS('Consolidated Input'!Y$6:Y$209,'Consolidated Input'!$A$6:$A$209,$F14,'Consolidated Input'!$B$6:$B$209,$C$10)</f>
        <v>761.12900000000002</v>
      </c>
      <c r="U14" s="10">
        <f t="shared" si="1"/>
        <v>788.45159999999998</v>
      </c>
      <c r="V14" s="10">
        <f t="shared" si="2"/>
        <v>3942.2579999999998</v>
      </c>
    </row>
    <row r="15" spans="1:22" hidden="1" outlineLevel="1" x14ac:dyDescent="0.35">
      <c r="E15" s="10" t="str">
        <f>InpC!$E$27</f>
        <v>Hafren Dyfrdwy</v>
      </c>
      <c r="F15" s="10" t="str">
        <f>InpC!$F$27</f>
        <v>HDD</v>
      </c>
      <c r="G15" s="22" t="s">
        <v>39</v>
      </c>
      <c r="J15" s="10">
        <f>SUMIFS('Consolidated Input'!F$6:F$209,'Consolidated Input'!$A$6:$A$209,$F15,'Consolidated Input'!$B$6:$B$209,$C$9)</f>
        <v>0</v>
      </c>
      <c r="K15" s="10">
        <f>SUMIFS('Consolidated Input'!G$6:G$209,'Consolidated Input'!$A$6:$A$209,$F15,'Consolidated Input'!$B$6:$B$209,$C$9)</f>
        <v>0</v>
      </c>
      <c r="L15" s="10">
        <f>SUMIFS('Consolidated Input'!H$6:H$209,'Consolidated Input'!$A$6:$A$209,$F15,'Consolidated Input'!$B$6:$B$209,$C$9)</f>
        <v>0</v>
      </c>
      <c r="M15" s="10">
        <f>SUMIFS('Consolidated Input'!S$6:S$209,'Consolidated Input'!$A$6:$A$209,$F15,'Consolidated Input'!$B$6:$B$209,$C$10)</f>
        <v>0</v>
      </c>
      <c r="N15" s="10">
        <f>SUMIFS('Consolidated Input'!T$6:T$209,'Consolidated Input'!$A$6:$A$209,$F15,'Consolidated Input'!$B$6:$B$209,$C$10)</f>
        <v>0</v>
      </c>
      <c r="O15" s="10">
        <f>SUMIFS('Consolidated Input'!U$6:U$209,'Consolidated Input'!$A$6:$A$209,$F15,'Consolidated Input'!$B$6:$B$209,$C$10)</f>
        <v>0</v>
      </c>
      <c r="P15" s="10">
        <f>SUMIFS('Consolidated Input'!V$6:V$209,'Consolidated Input'!$A$6:$A$209,$F15,'Consolidated Input'!$B$6:$B$209,$C$10)</f>
        <v>0</v>
      </c>
      <c r="Q15" s="10">
        <f>SUMIFS('Consolidated Input'!W$6:W$209,'Consolidated Input'!$A$6:$A$209,$F15,'Consolidated Input'!$B$6:$B$209,$C$10)</f>
        <v>0</v>
      </c>
      <c r="R15" s="10">
        <f>SUMIFS('Consolidated Input'!X$6:X$209,'Consolidated Input'!$A$6:$A$209,$F15,'Consolidated Input'!$B$6:$B$209,$C$10)</f>
        <v>0</v>
      </c>
      <c r="S15" s="10">
        <f>SUMIFS('Consolidated Input'!Y$6:Y$209,'Consolidated Input'!$A$6:$A$209,$F15,'Consolidated Input'!$B$6:$B$209,$C$10)</f>
        <v>0</v>
      </c>
      <c r="U15" s="10">
        <f t="shared" si="1"/>
        <v>0</v>
      </c>
      <c r="V15" s="10">
        <f t="shared" si="2"/>
        <v>0</v>
      </c>
    </row>
    <row r="16" spans="1:22" hidden="1" outlineLevel="1" x14ac:dyDescent="0.35">
      <c r="E16" s="10" t="str">
        <f>InpC!$E$28</f>
        <v>Northumbrian Water</v>
      </c>
      <c r="F16" s="10" t="str">
        <f>InpC!$F$28</f>
        <v>NES</v>
      </c>
      <c r="G16" s="22" t="s">
        <v>39</v>
      </c>
      <c r="J16" s="10">
        <f>SUMIFS('Consolidated Input'!F$6:F$209,'Consolidated Input'!$A$6:$A$209,$F16,'Consolidated Input'!$B$6:$B$209,$C$9)</f>
        <v>8098</v>
      </c>
      <c r="K16" s="10">
        <f>SUMIFS('Consolidated Input'!G$6:G$209,'Consolidated Input'!$A$6:$A$209,$F16,'Consolidated Input'!$B$6:$B$209,$C$9)</f>
        <v>9115</v>
      </c>
      <c r="L16" s="10">
        <f>SUMIFS('Consolidated Input'!H$6:H$209,'Consolidated Input'!$A$6:$A$209,$F16,'Consolidated Input'!$B$6:$B$209,$C$9)</f>
        <v>9165</v>
      </c>
      <c r="M16" s="10">
        <f>SUMIFS('Consolidated Input'!S$6:S$209,'Consolidated Input'!$A$6:$A$209,$F16,'Consolidated Input'!$B$6:$B$209,$C$10)</f>
        <v>8276</v>
      </c>
      <c r="N16" s="10">
        <f>SUMIFS('Consolidated Input'!T$6:T$209,'Consolidated Input'!$A$6:$A$209,$F16,'Consolidated Input'!$B$6:$B$209,$C$10)</f>
        <v>10016</v>
      </c>
      <c r="O16" s="10">
        <f>SUMIFS('Consolidated Input'!U$6:U$209,'Consolidated Input'!$A$6:$A$209,$F16,'Consolidated Input'!$B$6:$B$209,$C$10)</f>
        <v>10535</v>
      </c>
      <c r="P16" s="10">
        <f>SUMIFS('Consolidated Input'!V$6:V$209,'Consolidated Input'!$A$6:$A$209,$F16,'Consolidated Input'!$B$6:$B$209,$C$10)</f>
        <v>11074</v>
      </c>
      <c r="Q16" s="10">
        <f>SUMIFS('Consolidated Input'!W$6:W$209,'Consolidated Input'!$A$6:$A$209,$F16,'Consolidated Input'!$B$6:$B$209,$C$10)</f>
        <v>11613</v>
      </c>
      <c r="R16" s="10">
        <f>SUMIFS('Consolidated Input'!X$6:X$209,'Consolidated Input'!$A$6:$A$209,$F16,'Consolidated Input'!$B$6:$B$209,$C$10)</f>
        <v>12130</v>
      </c>
      <c r="S16" s="10">
        <f>SUMIFS('Consolidated Input'!Y$6:Y$209,'Consolidated Input'!$A$6:$A$209,$F16,'Consolidated Input'!$B$6:$B$209,$C$10)</f>
        <v>12669</v>
      </c>
      <c r="U16" s="10">
        <f t="shared" si="1"/>
        <v>11604.2</v>
      </c>
      <c r="V16" s="10">
        <f t="shared" si="2"/>
        <v>58021</v>
      </c>
    </row>
    <row r="17" spans="3:22" hidden="1" outlineLevel="1" x14ac:dyDescent="0.35">
      <c r="E17" s="10" t="str">
        <f>InpC!$E$29</f>
        <v>Severn Trent Water</v>
      </c>
      <c r="F17" s="10" t="str">
        <f>InpC!$F$29</f>
        <v>SVE</v>
      </c>
      <c r="G17" s="22" t="s">
        <v>39</v>
      </c>
      <c r="J17" s="10">
        <f>SUMIFS('Consolidated Input'!F$6:F$209,'Consolidated Input'!$A$6:$A$209,$F17,'Consolidated Input'!$B$6:$B$209,$C$9)</f>
        <v>776</v>
      </c>
      <c r="K17" s="10">
        <f>SUMIFS('Consolidated Input'!G$6:G$209,'Consolidated Input'!$A$6:$A$209,$F17,'Consolidated Input'!$B$6:$B$209,$C$9)</f>
        <v>38726.417334310201</v>
      </c>
      <c r="L17" s="10">
        <f>SUMIFS('Consolidated Input'!H$6:H$209,'Consolidated Input'!$A$6:$A$209,$F17,'Consolidated Input'!$B$6:$B$209,$C$9)</f>
        <v>58066</v>
      </c>
      <c r="M17" s="10">
        <f>SUMIFS('Consolidated Input'!S$6:S$209,'Consolidated Input'!$A$6:$A$209,$F17,'Consolidated Input'!$B$6:$B$209,$C$10)</f>
        <v>38039.19</v>
      </c>
      <c r="N17" s="10">
        <f>SUMIFS('Consolidated Input'!T$6:T$209,'Consolidated Input'!$A$6:$A$209,$F17,'Consolidated Input'!$B$6:$B$209,$C$10)</f>
        <v>31956.05620140845</v>
      </c>
      <c r="O17" s="10">
        <f>SUMIFS('Consolidated Input'!U$6:U$209,'Consolidated Input'!$A$6:$A$209,$F17,'Consolidated Input'!$B$6:$B$209,$C$10)</f>
        <v>53005.290420422542</v>
      </c>
      <c r="P17" s="10">
        <f>SUMIFS('Consolidated Input'!V$6:V$209,'Consolidated Input'!$A$6:$A$209,$F17,'Consolidated Input'!$B$6:$B$209,$C$10)</f>
        <v>53452.749783802821</v>
      </c>
      <c r="Q17" s="10">
        <f>SUMIFS('Consolidated Input'!W$6:W$209,'Consolidated Input'!$A$6:$A$209,$F17,'Consolidated Input'!$B$6:$B$209,$C$10)</f>
        <v>53900.209147183108</v>
      </c>
      <c r="R17" s="10">
        <f>SUMIFS('Consolidated Input'!X$6:X$209,'Consolidated Input'!$A$6:$A$209,$F17,'Consolidated Input'!$B$6:$B$209,$C$10)</f>
        <v>54366.312650704233</v>
      </c>
      <c r="S17" s="10">
        <f>SUMIFS('Consolidated Input'!Y$6:Y$209,'Consolidated Input'!$A$6:$A$209,$F17,'Consolidated Input'!$B$6:$B$209,$C$10)</f>
        <v>54813.772014084512</v>
      </c>
      <c r="U17" s="10">
        <f t="shared" si="1"/>
        <v>53907.666803239452</v>
      </c>
      <c r="V17" s="10">
        <f t="shared" si="2"/>
        <v>269538.33401619724</v>
      </c>
    </row>
    <row r="18" spans="3:22" hidden="1" outlineLevel="1" x14ac:dyDescent="0.35">
      <c r="E18" s="10" t="str">
        <f>InpC!$E$30</f>
        <v>Southern Water</v>
      </c>
      <c r="F18" s="10" t="str">
        <f>InpC!$F$30</f>
        <v>SRN</v>
      </c>
      <c r="G18" s="22" t="s">
        <v>39</v>
      </c>
      <c r="J18" s="10">
        <f>SUMIFS('Consolidated Input'!F$6:F$209,'Consolidated Input'!$A$6:$A$209,$F18,'Consolidated Input'!$B$6:$B$209,$C$9)</f>
        <v>33546</v>
      </c>
      <c r="K18" s="10">
        <f>SUMIFS('Consolidated Input'!G$6:G$209,'Consolidated Input'!$A$6:$A$209,$F18,'Consolidated Input'!$B$6:$B$209,$C$9)</f>
        <v>33992</v>
      </c>
      <c r="L18" s="10">
        <f>SUMIFS('Consolidated Input'!H$6:H$209,'Consolidated Input'!$A$6:$A$209,$F18,'Consolidated Input'!$B$6:$B$209,$C$9)</f>
        <v>37760</v>
      </c>
      <c r="M18" s="10">
        <f>SUMIFS('Consolidated Input'!S$6:S$209,'Consolidated Input'!$A$6:$A$209,$F18,'Consolidated Input'!$B$6:$B$209,$C$10)</f>
        <v>33567</v>
      </c>
      <c r="N18" s="10">
        <f>SUMIFS('Consolidated Input'!T$6:T$209,'Consolidated Input'!$A$6:$A$209,$F18,'Consolidated Input'!$B$6:$B$209,$C$10)</f>
        <v>34000</v>
      </c>
      <c r="O18" s="10">
        <f>SUMIFS('Consolidated Input'!U$6:U$209,'Consolidated Input'!$A$6:$A$209,$F18,'Consolidated Input'!$B$6:$B$209,$C$10)</f>
        <v>34000</v>
      </c>
      <c r="P18" s="10">
        <f>SUMIFS('Consolidated Input'!V$6:V$209,'Consolidated Input'!$A$6:$A$209,$F18,'Consolidated Input'!$B$6:$B$209,$C$10)</f>
        <v>34000</v>
      </c>
      <c r="Q18" s="10">
        <f>SUMIFS('Consolidated Input'!W$6:W$209,'Consolidated Input'!$A$6:$A$209,$F18,'Consolidated Input'!$B$6:$B$209,$C$10)</f>
        <v>34000</v>
      </c>
      <c r="R18" s="10">
        <f>SUMIFS('Consolidated Input'!X$6:X$209,'Consolidated Input'!$A$6:$A$209,$F18,'Consolidated Input'!$B$6:$B$209,$C$10)</f>
        <v>34000</v>
      </c>
      <c r="S18" s="10">
        <f>SUMIFS('Consolidated Input'!Y$6:Y$209,'Consolidated Input'!$A$6:$A$209,$F18,'Consolidated Input'!$B$6:$B$209,$C$10)</f>
        <v>34000</v>
      </c>
      <c r="U18" s="10">
        <f t="shared" si="1"/>
        <v>34000</v>
      </c>
      <c r="V18" s="10">
        <f t="shared" si="2"/>
        <v>170000</v>
      </c>
    </row>
    <row r="19" spans="3:22" hidden="1" outlineLevel="1" x14ac:dyDescent="0.35">
      <c r="E19" s="10" t="str">
        <f>InpC!$E$31</f>
        <v>Thames Water</v>
      </c>
      <c r="F19" s="10" t="str">
        <f>InpC!$F$31</f>
        <v>TMS</v>
      </c>
      <c r="G19" s="22" t="s">
        <v>39</v>
      </c>
      <c r="J19" s="10">
        <f>SUMIFS('Consolidated Input'!F$6:F$209,'Consolidated Input'!$A$6:$A$209,$F19,'Consolidated Input'!$B$6:$B$209,$C$9)</f>
        <v>55039</v>
      </c>
      <c r="K19" s="10">
        <f>SUMIFS('Consolidated Input'!G$6:G$209,'Consolidated Input'!$A$6:$A$209,$F19,'Consolidated Input'!$B$6:$B$209,$C$9)</f>
        <v>89202</v>
      </c>
      <c r="L19" s="10">
        <f>SUMIFS('Consolidated Input'!H$6:H$209,'Consolidated Input'!$A$6:$A$209,$F19,'Consolidated Input'!$B$6:$B$209,$C$9)</f>
        <v>89202</v>
      </c>
      <c r="M19" s="10">
        <f>SUMIFS('Consolidated Input'!S$6:S$209,'Consolidated Input'!$A$6:$A$209,$F19,'Consolidated Input'!$B$6:$B$209,$C$10)</f>
        <v>67686</v>
      </c>
      <c r="N19" s="10">
        <f>SUMIFS('Consolidated Input'!T$6:T$209,'Consolidated Input'!$A$6:$A$209,$F19,'Consolidated Input'!$B$6:$B$209,$C$10)</f>
        <v>92049</v>
      </c>
      <c r="O19" s="10">
        <f>SUMIFS('Consolidated Input'!U$6:U$209,'Consolidated Input'!$A$6:$A$209,$F19,'Consolidated Input'!$B$6:$B$209,$C$10)</f>
        <v>94432</v>
      </c>
      <c r="P19" s="10">
        <f>SUMIFS('Consolidated Input'!V$6:V$209,'Consolidated Input'!$A$6:$A$209,$F19,'Consolidated Input'!$B$6:$B$209,$C$10)</f>
        <v>94432</v>
      </c>
      <c r="Q19" s="10">
        <f>SUMIFS('Consolidated Input'!W$6:W$209,'Consolidated Input'!$A$6:$A$209,$F19,'Consolidated Input'!$B$6:$B$209,$C$10)</f>
        <v>94432.009000000005</v>
      </c>
      <c r="R19" s="10">
        <f>SUMIFS('Consolidated Input'!X$6:X$209,'Consolidated Input'!$A$6:$A$209,$F19,'Consolidated Input'!$B$6:$B$209,$C$10)</f>
        <v>94432.009000000005</v>
      </c>
      <c r="S19" s="10">
        <f>SUMIFS('Consolidated Input'!Y$6:Y$209,'Consolidated Input'!$A$6:$A$209,$F19,'Consolidated Input'!$B$6:$B$209,$C$10)</f>
        <v>94432</v>
      </c>
      <c r="U19" s="10">
        <f t="shared" si="1"/>
        <v>94432.003600000011</v>
      </c>
      <c r="V19" s="10">
        <f t="shared" si="2"/>
        <v>472160.01800000004</v>
      </c>
    </row>
    <row r="20" spans="3:22" hidden="1" outlineLevel="1" x14ac:dyDescent="0.35">
      <c r="E20" s="10" t="str">
        <f>InpC!$E$32</f>
        <v>United Utilities</v>
      </c>
      <c r="F20" s="10" t="str">
        <f>InpC!$F$32</f>
        <v>NWT</v>
      </c>
      <c r="G20" s="22" t="s">
        <v>39</v>
      </c>
      <c r="J20" s="10">
        <f>SUMIFS('Consolidated Input'!F$6:F$209,'Consolidated Input'!$A$6:$A$209,$F20,'Consolidated Input'!$B$6:$B$209,$C$9)</f>
        <v>33652.673808174601</v>
      </c>
      <c r="K20" s="10">
        <f>SUMIFS('Consolidated Input'!G$6:G$209,'Consolidated Input'!$A$6:$A$209,$F20,'Consolidated Input'!$B$6:$B$209,$C$9)</f>
        <v>37705</v>
      </c>
      <c r="L20" s="10">
        <f>SUMIFS('Consolidated Input'!H$6:H$209,'Consolidated Input'!$A$6:$A$209,$F20,'Consolidated Input'!$B$6:$B$209,$C$9)</f>
        <v>33707</v>
      </c>
      <c r="M20" s="10">
        <f>SUMIFS('Consolidated Input'!S$6:S$209,'Consolidated Input'!$A$6:$A$209,$F20,'Consolidated Input'!$B$6:$B$209,$C$10)</f>
        <v>25780.008341889119</v>
      </c>
      <c r="N20" s="10">
        <f>SUMIFS('Consolidated Input'!T$6:T$209,'Consolidated Input'!$A$6:$A$209,$F20,'Consolidated Input'!$B$6:$B$209,$C$10)</f>
        <v>27808</v>
      </c>
      <c r="O20" s="10">
        <f>SUMIFS('Consolidated Input'!U$6:U$209,'Consolidated Input'!$A$6:$A$209,$F20,'Consolidated Input'!$B$6:$B$209,$C$10)</f>
        <v>27808</v>
      </c>
      <c r="P20" s="10">
        <f>SUMIFS('Consolidated Input'!V$6:V$209,'Consolidated Input'!$A$6:$A$209,$F20,'Consolidated Input'!$B$6:$B$209,$C$10)</f>
        <v>27808</v>
      </c>
      <c r="Q20" s="10">
        <f>SUMIFS('Consolidated Input'!W$6:W$209,'Consolidated Input'!$A$6:$A$209,$F20,'Consolidated Input'!$B$6:$B$209,$C$10)</f>
        <v>27808</v>
      </c>
      <c r="R20" s="10">
        <f>SUMIFS('Consolidated Input'!X$6:X$209,'Consolidated Input'!$A$6:$A$209,$F20,'Consolidated Input'!$B$6:$B$209,$C$10)</f>
        <v>27808</v>
      </c>
      <c r="S20" s="10">
        <f>SUMIFS('Consolidated Input'!Y$6:Y$209,'Consolidated Input'!$A$6:$A$209,$F20,'Consolidated Input'!$B$6:$B$209,$C$10)</f>
        <v>27808</v>
      </c>
      <c r="U20" s="10">
        <f t="shared" si="1"/>
        <v>27808</v>
      </c>
      <c r="V20" s="10">
        <f t="shared" si="2"/>
        <v>139040</v>
      </c>
    </row>
    <row r="21" spans="3:22" hidden="1" outlineLevel="1" x14ac:dyDescent="0.35">
      <c r="E21" s="10" t="str">
        <f>InpC!$E$33</f>
        <v>Wessex Water</v>
      </c>
      <c r="F21" s="10" t="str">
        <f>InpC!$F$33</f>
        <v>WSX</v>
      </c>
      <c r="G21" s="22" t="s">
        <v>39</v>
      </c>
      <c r="J21" s="10">
        <f>SUMIFS('Consolidated Input'!F$6:F$209,'Consolidated Input'!$A$6:$A$209,$F21,'Consolidated Input'!$B$6:$B$209,$C$9)</f>
        <v>2653</v>
      </c>
      <c r="K21" s="10">
        <f>SUMIFS('Consolidated Input'!G$6:G$209,'Consolidated Input'!$A$6:$A$209,$F21,'Consolidated Input'!$B$6:$B$209,$C$9)</f>
        <v>3612</v>
      </c>
      <c r="L21" s="10">
        <f>SUMIFS('Consolidated Input'!H$6:H$209,'Consolidated Input'!$A$6:$A$209,$F21,'Consolidated Input'!$B$6:$B$209,$C$9)</f>
        <v>4193</v>
      </c>
      <c r="M21" s="10">
        <f>SUMIFS('Consolidated Input'!S$6:S$209,'Consolidated Input'!$A$6:$A$209,$F21,'Consolidated Input'!$B$6:$B$209,$C$10)</f>
        <v>2468</v>
      </c>
      <c r="N21" s="10">
        <f>SUMIFS('Consolidated Input'!T$6:T$209,'Consolidated Input'!$A$6:$A$209,$F21,'Consolidated Input'!$B$6:$B$209,$C$10)</f>
        <v>3500</v>
      </c>
      <c r="O21" s="10">
        <f>SUMIFS('Consolidated Input'!U$6:U$209,'Consolidated Input'!$A$6:$A$209,$F21,'Consolidated Input'!$B$6:$B$209,$C$10)</f>
        <v>3500</v>
      </c>
      <c r="P21" s="10">
        <f>SUMIFS('Consolidated Input'!V$6:V$209,'Consolidated Input'!$A$6:$A$209,$F21,'Consolidated Input'!$B$6:$B$209,$C$10)</f>
        <v>3500</v>
      </c>
      <c r="Q21" s="10">
        <f>SUMIFS('Consolidated Input'!W$6:W$209,'Consolidated Input'!$A$6:$A$209,$F21,'Consolidated Input'!$B$6:$B$209,$C$10)</f>
        <v>3500</v>
      </c>
      <c r="R21" s="10">
        <f>SUMIFS('Consolidated Input'!X$6:X$209,'Consolidated Input'!$A$6:$A$209,$F21,'Consolidated Input'!$B$6:$B$209,$C$10)</f>
        <v>3500</v>
      </c>
      <c r="S21" s="10">
        <f>SUMIFS('Consolidated Input'!Y$6:Y$209,'Consolidated Input'!$A$6:$A$209,$F21,'Consolidated Input'!$B$6:$B$209,$C$10)</f>
        <v>3500</v>
      </c>
      <c r="U21" s="10">
        <f t="shared" si="1"/>
        <v>3500</v>
      </c>
      <c r="V21" s="10">
        <f t="shared" si="2"/>
        <v>17500</v>
      </c>
    </row>
    <row r="22" spans="3:22" hidden="1" outlineLevel="1" x14ac:dyDescent="0.35">
      <c r="E22" s="10" t="str">
        <f>InpC!$E$34</f>
        <v>Yorkshire Water</v>
      </c>
      <c r="F22" s="10" t="str">
        <f>InpC!$F$34</f>
        <v>YKY</v>
      </c>
      <c r="G22" s="22" t="s">
        <v>39</v>
      </c>
      <c r="J22" s="10">
        <f>SUMIFS('Consolidated Input'!F$6:F$209,'Consolidated Input'!$A$6:$A$209,$F22,'Consolidated Input'!$B$6:$B$209,$C$9)</f>
        <v>27208</v>
      </c>
      <c r="K22" s="10">
        <f>SUMIFS('Consolidated Input'!G$6:G$209,'Consolidated Input'!$A$6:$A$209,$F22,'Consolidated Input'!$B$6:$B$209,$C$9)</f>
        <v>21430.17</v>
      </c>
      <c r="L22" s="10">
        <f>SUMIFS('Consolidated Input'!H$6:H$209,'Consolidated Input'!$A$6:$A$209,$F22,'Consolidated Input'!$B$6:$B$209,$C$9)</f>
        <v>20800</v>
      </c>
      <c r="M22" s="10">
        <f>SUMIFS('Consolidated Input'!S$6:S$209,'Consolidated Input'!$A$6:$A$209,$F22,'Consolidated Input'!$B$6:$B$209,$C$10)</f>
        <v>23607</v>
      </c>
      <c r="N22" s="10">
        <f>SUMIFS('Consolidated Input'!T$6:T$209,'Consolidated Input'!$A$6:$A$209,$F22,'Consolidated Input'!$B$6:$B$209,$C$10)</f>
        <v>20927</v>
      </c>
      <c r="O22" s="10">
        <f>SUMIFS('Consolidated Input'!U$6:U$209,'Consolidated Input'!$A$6:$A$209,$F22,'Consolidated Input'!$B$6:$B$209,$C$10)</f>
        <v>20927</v>
      </c>
      <c r="P22" s="10">
        <f>SUMIFS('Consolidated Input'!V$6:V$209,'Consolidated Input'!$A$6:$A$209,$F22,'Consolidated Input'!$B$6:$B$209,$C$10)</f>
        <v>20927</v>
      </c>
      <c r="Q22" s="10">
        <f>SUMIFS('Consolidated Input'!W$6:W$209,'Consolidated Input'!$A$6:$A$209,$F22,'Consolidated Input'!$B$6:$B$209,$C$10)</f>
        <v>20927</v>
      </c>
      <c r="R22" s="10">
        <f>SUMIFS('Consolidated Input'!X$6:X$209,'Consolidated Input'!$A$6:$A$209,$F22,'Consolidated Input'!$B$6:$B$209,$C$10)</f>
        <v>20927</v>
      </c>
      <c r="S22" s="10">
        <f>SUMIFS('Consolidated Input'!Y$6:Y$209,'Consolidated Input'!$A$6:$A$209,$F22,'Consolidated Input'!$B$6:$B$209,$C$10)</f>
        <v>20927</v>
      </c>
      <c r="U22" s="10">
        <f t="shared" si="1"/>
        <v>20927</v>
      </c>
      <c r="V22" s="10">
        <f t="shared" si="2"/>
        <v>104635</v>
      </c>
    </row>
    <row r="23" spans="3:22" hidden="1" outlineLevel="1" x14ac:dyDescent="0.35">
      <c r="E23" s="10" t="str">
        <f>InpC!$E$35</f>
        <v>Affinity Water</v>
      </c>
      <c r="F23" s="10" t="str">
        <f>InpC!$F$35</f>
        <v>AFW</v>
      </c>
      <c r="G23" s="22" t="s">
        <v>39</v>
      </c>
      <c r="J23" s="10">
        <f>SUMIFS('Consolidated Input'!F$6:F$209,'Consolidated Input'!$A$6:$A$209,$F23,'Consolidated Input'!$B$6:$B$209,$C$9)</f>
        <v>25.216000000000001</v>
      </c>
      <c r="K23" s="10">
        <f>SUMIFS('Consolidated Input'!G$6:G$209,'Consolidated Input'!$A$6:$A$209,$F23,'Consolidated Input'!$B$6:$B$209,$C$9)</f>
        <v>24441.440867070502</v>
      </c>
      <c r="L23" s="10">
        <f>SUMIFS('Consolidated Input'!H$6:H$209,'Consolidated Input'!$A$6:$A$209,$F23,'Consolidated Input'!$B$6:$B$209,$C$9)</f>
        <v>25354.19091949637</v>
      </c>
      <c r="M23" s="10">
        <f>SUMIFS('Consolidated Input'!S$6:S$209,'Consolidated Input'!$A$6:$A$209,$F23,'Consolidated Input'!$B$6:$B$209,$C$10)</f>
        <v>23744.716</v>
      </c>
      <c r="N23" s="10">
        <f>SUMIFS('Consolidated Input'!T$6:T$209,'Consolidated Input'!$A$6:$A$209,$F23,'Consolidated Input'!$B$6:$B$209,$C$10)</f>
        <v>25000</v>
      </c>
      <c r="O23" s="10">
        <f>SUMIFS('Consolidated Input'!U$6:U$209,'Consolidated Input'!$A$6:$A$209,$F23,'Consolidated Input'!$B$6:$B$209,$C$10)</f>
        <v>25000</v>
      </c>
      <c r="P23" s="10">
        <f>SUMIFS('Consolidated Input'!V$6:V$209,'Consolidated Input'!$A$6:$A$209,$F23,'Consolidated Input'!$B$6:$B$209,$C$10)</f>
        <v>25000</v>
      </c>
      <c r="Q23" s="10">
        <f>SUMIFS('Consolidated Input'!W$6:W$209,'Consolidated Input'!$A$6:$A$209,$F23,'Consolidated Input'!$B$6:$B$209,$C$10)</f>
        <v>25000</v>
      </c>
      <c r="R23" s="10">
        <f>SUMIFS('Consolidated Input'!X$6:X$209,'Consolidated Input'!$A$6:$A$209,$F23,'Consolidated Input'!$B$6:$B$209,$C$10)</f>
        <v>25000</v>
      </c>
      <c r="S23" s="10">
        <f>SUMIFS('Consolidated Input'!Y$6:Y$209,'Consolidated Input'!$A$6:$A$209,$F23,'Consolidated Input'!$B$6:$B$209,$C$10)</f>
        <v>25000</v>
      </c>
      <c r="U23" s="10">
        <f t="shared" si="1"/>
        <v>25000</v>
      </c>
      <c r="V23" s="10">
        <f t="shared" si="2"/>
        <v>125000</v>
      </c>
    </row>
    <row r="24" spans="3:22" hidden="1" outlineLevel="1" x14ac:dyDescent="0.35">
      <c r="E24" s="10" t="str">
        <f>InpC!$E$36</f>
        <v>Portsmouth Water</v>
      </c>
      <c r="F24" s="10" t="str">
        <f>InpC!$F$36</f>
        <v>PRT</v>
      </c>
      <c r="G24" s="22" t="s">
        <v>39</v>
      </c>
      <c r="J24" s="10">
        <f>SUMIFS('Consolidated Input'!F$6:F$209,'Consolidated Input'!$A$6:$A$209,$F24,'Consolidated Input'!$B$6:$B$209,$C$9)</f>
        <v>0</v>
      </c>
      <c r="K24" s="10">
        <f>SUMIFS('Consolidated Input'!G$6:G$209,'Consolidated Input'!$A$6:$A$209,$F24,'Consolidated Input'!$B$6:$B$209,$C$9)</f>
        <v>0</v>
      </c>
      <c r="L24" s="10">
        <f>SUMIFS('Consolidated Input'!H$6:H$209,'Consolidated Input'!$A$6:$A$209,$F24,'Consolidated Input'!$B$6:$B$209,$C$9)</f>
        <v>0</v>
      </c>
      <c r="M24" s="10">
        <f>SUMIFS('Consolidated Input'!S$6:S$209,'Consolidated Input'!$A$6:$A$209,$F24,'Consolidated Input'!$B$6:$B$209,$C$10)</f>
        <v>4120</v>
      </c>
      <c r="N24" s="10">
        <f>SUMIFS('Consolidated Input'!T$6:T$209,'Consolidated Input'!$A$6:$A$209,$F24,'Consolidated Input'!$B$6:$B$209,$C$10)</f>
        <v>5857</v>
      </c>
      <c r="O24" s="10">
        <f>SUMIFS('Consolidated Input'!U$6:U$209,'Consolidated Input'!$A$6:$A$209,$F24,'Consolidated Input'!$B$6:$B$209,$C$10)</f>
        <v>6957</v>
      </c>
      <c r="P24" s="10">
        <f>SUMIFS('Consolidated Input'!V$6:V$209,'Consolidated Input'!$A$6:$A$209,$F24,'Consolidated Input'!$B$6:$B$209,$C$10)</f>
        <v>7569</v>
      </c>
      <c r="Q24" s="10">
        <f>SUMIFS('Consolidated Input'!W$6:W$209,'Consolidated Input'!$A$6:$A$209,$F24,'Consolidated Input'!$B$6:$B$209,$C$10)</f>
        <v>6957</v>
      </c>
      <c r="R24" s="10">
        <f>SUMIFS('Consolidated Input'!X$6:X$209,'Consolidated Input'!$A$6:$A$209,$F24,'Consolidated Input'!$B$6:$B$209,$C$10)</f>
        <v>6957</v>
      </c>
      <c r="S24" s="10">
        <f>SUMIFS('Consolidated Input'!Y$6:Y$209,'Consolidated Input'!$A$6:$A$209,$F24,'Consolidated Input'!$B$6:$B$209,$C$10)</f>
        <v>6957</v>
      </c>
      <c r="U24" s="10">
        <f t="shared" si="1"/>
        <v>7079.4</v>
      </c>
      <c r="V24" s="10">
        <f t="shared" si="2"/>
        <v>35397</v>
      </c>
    </row>
    <row r="25" spans="3:22" hidden="1" outlineLevel="1" x14ac:dyDescent="0.35">
      <c r="E25" s="10" t="str">
        <f>InpC!$E$37</f>
        <v>South East Water</v>
      </c>
      <c r="F25" s="10" t="str">
        <f>InpC!$F$37</f>
        <v>SEW</v>
      </c>
      <c r="G25" s="22" t="s">
        <v>39</v>
      </c>
      <c r="J25" s="10">
        <f>SUMIFS('Consolidated Input'!F$6:F$209,'Consolidated Input'!$A$6:$A$209,$F25,'Consolidated Input'!$B$6:$B$209,$C$9)</f>
        <v>24470</v>
      </c>
      <c r="K25" s="10">
        <f>SUMIFS('Consolidated Input'!G$6:G$209,'Consolidated Input'!$A$6:$A$209,$F25,'Consolidated Input'!$B$6:$B$209,$C$9)</f>
        <v>22888</v>
      </c>
      <c r="L25" s="10">
        <f>SUMIFS('Consolidated Input'!H$6:H$209,'Consolidated Input'!$A$6:$A$209,$F25,'Consolidated Input'!$B$6:$B$209,$C$9)</f>
        <v>18931</v>
      </c>
      <c r="M25" s="10">
        <f>SUMIFS('Consolidated Input'!S$6:S$209,'Consolidated Input'!$A$6:$A$209,$F25,'Consolidated Input'!$B$6:$B$209,$C$10)</f>
        <v>21517</v>
      </c>
      <c r="N25" s="10">
        <f>SUMIFS('Consolidated Input'!T$6:T$209,'Consolidated Input'!$A$6:$A$209,$F25,'Consolidated Input'!$B$6:$B$209,$C$10)</f>
        <v>21662</v>
      </c>
      <c r="O25" s="10">
        <f>SUMIFS('Consolidated Input'!U$6:U$209,'Consolidated Input'!$A$6:$A$209,$F25,'Consolidated Input'!$B$6:$B$209,$C$10)</f>
        <v>21749</v>
      </c>
      <c r="P25" s="10">
        <f>SUMIFS('Consolidated Input'!V$6:V$209,'Consolidated Input'!$A$6:$A$209,$F25,'Consolidated Input'!$B$6:$B$209,$C$10)</f>
        <v>21827</v>
      </c>
      <c r="Q25" s="10">
        <f>SUMIFS('Consolidated Input'!W$6:W$209,'Consolidated Input'!$A$6:$A$209,$F25,'Consolidated Input'!$B$6:$B$209,$C$10)</f>
        <v>21936</v>
      </c>
      <c r="R25" s="10">
        <f>SUMIFS('Consolidated Input'!X$6:X$209,'Consolidated Input'!$A$6:$A$209,$F25,'Consolidated Input'!$B$6:$B$209,$C$10)</f>
        <v>22070</v>
      </c>
      <c r="S25" s="10">
        <f>SUMIFS('Consolidated Input'!Y$6:Y$209,'Consolidated Input'!$A$6:$A$209,$F25,'Consolidated Input'!$B$6:$B$209,$C$10)</f>
        <v>22253</v>
      </c>
      <c r="U25" s="10">
        <f t="shared" si="1"/>
        <v>21967</v>
      </c>
      <c r="V25" s="10">
        <f t="shared" si="2"/>
        <v>109835</v>
      </c>
    </row>
    <row r="26" spans="3:22" hidden="1" outlineLevel="1" x14ac:dyDescent="0.35">
      <c r="E26" s="10" t="str">
        <f>InpC!$E$38</f>
        <v>South Staffs Water</v>
      </c>
      <c r="F26" s="10" t="str">
        <f>InpC!$F$38</f>
        <v>SSC</v>
      </c>
      <c r="G26" s="22" t="s">
        <v>39</v>
      </c>
      <c r="J26" s="10">
        <f>SUMIFS('Consolidated Input'!F$6:F$209,'Consolidated Input'!$A$6:$A$209,$F26,'Consolidated Input'!$B$6:$B$209,$C$9)</f>
        <v>6108</v>
      </c>
      <c r="K26" s="10">
        <f>SUMIFS('Consolidated Input'!G$6:G$209,'Consolidated Input'!$A$6:$A$209,$F26,'Consolidated Input'!$B$6:$B$209,$C$9)</f>
        <v>4117</v>
      </c>
      <c r="L26" s="10">
        <f>SUMIFS('Consolidated Input'!H$6:H$209,'Consolidated Input'!$A$6:$A$209,$F26,'Consolidated Input'!$B$6:$B$209,$C$9)</f>
        <v>9974</v>
      </c>
      <c r="M26" s="10">
        <f>SUMIFS('Consolidated Input'!S$6:S$209,'Consolidated Input'!$A$6:$A$209,$F26,'Consolidated Input'!$B$6:$B$209,$C$10)</f>
        <v>9974</v>
      </c>
      <c r="N26" s="10">
        <f>SUMIFS('Consolidated Input'!T$6:T$209,'Consolidated Input'!$A$6:$A$209,$F26,'Consolidated Input'!$B$6:$B$209,$C$10)</f>
        <v>9974</v>
      </c>
      <c r="O26" s="10">
        <f>SUMIFS('Consolidated Input'!U$6:U$209,'Consolidated Input'!$A$6:$A$209,$F26,'Consolidated Input'!$B$6:$B$209,$C$10)</f>
        <v>9974</v>
      </c>
      <c r="P26" s="10">
        <f>SUMIFS('Consolidated Input'!V$6:V$209,'Consolidated Input'!$A$6:$A$209,$F26,'Consolidated Input'!$B$6:$B$209,$C$10)</f>
        <v>9974</v>
      </c>
      <c r="Q26" s="10">
        <f>SUMIFS('Consolidated Input'!W$6:W$209,'Consolidated Input'!$A$6:$A$209,$F26,'Consolidated Input'!$B$6:$B$209,$C$10)</f>
        <v>9974</v>
      </c>
      <c r="R26" s="10">
        <f>SUMIFS('Consolidated Input'!X$6:X$209,'Consolidated Input'!$A$6:$A$209,$F26,'Consolidated Input'!$B$6:$B$209,$C$10)</f>
        <v>9974</v>
      </c>
      <c r="S26" s="10">
        <f>SUMIFS('Consolidated Input'!Y$6:Y$209,'Consolidated Input'!$A$6:$A$209,$F26,'Consolidated Input'!$B$6:$B$209,$C$10)</f>
        <v>9974</v>
      </c>
      <c r="U26" s="10">
        <f t="shared" si="1"/>
        <v>9974</v>
      </c>
      <c r="V26" s="10">
        <f t="shared" si="2"/>
        <v>49870</v>
      </c>
    </row>
    <row r="27" spans="3:22" hidden="1" outlineLevel="1" x14ac:dyDescent="0.35">
      <c r="E27" s="10" t="str">
        <f>InpC!$E$39</f>
        <v>SES Water</v>
      </c>
      <c r="F27" s="10" t="str">
        <f>InpC!$F$39</f>
        <v>SES</v>
      </c>
      <c r="G27" s="22" t="s">
        <v>39</v>
      </c>
      <c r="J27" s="10">
        <f>SUMIFS('Consolidated Input'!F$6:F$209,'Consolidated Input'!$A$6:$A$209,$F27,'Consolidated Input'!$B$6:$B$209,$C$9)</f>
        <v>3538</v>
      </c>
      <c r="K27" s="10">
        <f>SUMIFS('Consolidated Input'!G$6:G$209,'Consolidated Input'!$A$6:$A$209,$F27,'Consolidated Input'!$B$6:$B$209,$C$9)</f>
        <v>7606</v>
      </c>
      <c r="L27" s="10">
        <f>SUMIFS('Consolidated Input'!H$6:H$209,'Consolidated Input'!$A$6:$A$209,$F27,'Consolidated Input'!$B$6:$B$209,$C$9)</f>
        <v>6275</v>
      </c>
      <c r="M27" s="10">
        <f>SUMIFS('Consolidated Input'!S$6:S$209,'Consolidated Input'!$A$6:$A$209,$F27,'Consolidated Input'!$B$6:$B$209,$C$10)</f>
        <v>248</v>
      </c>
      <c r="N27" s="10">
        <f>SUMIFS('Consolidated Input'!T$6:T$209,'Consolidated Input'!$A$6:$A$209,$F27,'Consolidated Input'!$B$6:$B$209,$C$10)</f>
        <v>6650</v>
      </c>
      <c r="O27" s="10">
        <f>SUMIFS('Consolidated Input'!U$6:U$209,'Consolidated Input'!$A$6:$A$209,$F27,'Consolidated Input'!$B$6:$B$209,$C$10)</f>
        <v>6650</v>
      </c>
      <c r="P27" s="10">
        <f>SUMIFS('Consolidated Input'!V$6:V$209,'Consolidated Input'!$A$6:$A$209,$F27,'Consolidated Input'!$B$6:$B$209,$C$10)</f>
        <v>6650</v>
      </c>
      <c r="Q27" s="10">
        <f>SUMIFS('Consolidated Input'!W$6:W$209,'Consolidated Input'!$A$6:$A$209,$F27,'Consolidated Input'!$B$6:$B$209,$C$10)</f>
        <v>6650</v>
      </c>
      <c r="R27" s="10">
        <f>SUMIFS('Consolidated Input'!X$6:X$209,'Consolidated Input'!$A$6:$A$209,$F27,'Consolidated Input'!$B$6:$B$209,$C$10)</f>
        <v>6650</v>
      </c>
      <c r="S27" s="10">
        <f>SUMIFS('Consolidated Input'!Y$6:Y$209,'Consolidated Input'!$A$6:$A$209,$F27,'Consolidated Input'!$B$6:$B$209,$C$10)</f>
        <v>6650</v>
      </c>
      <c r="U27" s="10">
        <f t="shared" si="1"/>
        <v>6650</v>
      </c>
      <c r="V27" s="10">
        <f t="shared" si="2"/>
        <v>33250</v>
      </c>
    </row>
    <row r="28" spans="3:22" hidden="1" outlineLevel="1" x14ac:dyDescent="0.35">
      <c r="E28" s="10" t="str">
        <f>InpC!$E$40</f>
        <v>South West Water</v>
      </c>
      <c r="F28" s="10" t="str">
        <f>InpC!$F$40</f>
        <v>SWB</v>
      </c>
      <c r="G28" s="22" t="s">
        <v>39</v>
      </c>
      <c r="J28" s="10">
        <f>SUMIFS('Consolidated Input'!F$6:F$209,'Consolidated Input'!$A$6:$A$209,$F28,'Consolidated Input'!$B$6:$B$209,$C$9)</f>
        <v>0</v>
      </c>
      <c r="K28" s="10">
        <f>SUMIFS('Consolidated Input'!G$6:G$209,'Consolidated Input'!$A$6:$A$209,$F28,'Consolidated Input'!$B$6:$B$209,$C$9)</f>
        <v>0</v>
      </c>
      <c r="L28" s="10">
        <f>SUMIFS('Consolidated Input'!H$6:H$209,'Consolidated Input'!$A$6:$A$209,$F28,'Consolidated Input'!$B$6:$B$209,$C$9)</f>
        <v>0</v>
      </c>
      <c r="M28" s="10">
        <f>SUMIFS('Consolidated Input'!S$6:S$209,'Consolidated Input'!$A$6:$A$209,$F28,'Consolidated Input'!$B$6:$B$209,$C$10)</f>
        <v>4597</v>
      </c>
      <c r="N28" s="10">
        <f>SUMIFS('Consolidated Input'!T$6:T$209,'Consolidated Input'!$A$6:$A$209,$F28,'Consolidated Input'!$B$6:$B$209,$C$10)</f>
        <v>24250</v>
      </c>
      <c r="O28" s="10">
        <f>SUMIFS('Consolidated Input'!U$6:U$209,'Consolidated Input'!$A$6:$A$209,$F28,'Consolidated Input'!$B$6:$B$209,$C$10)</f>
        <v>22523</v>
      </c>
      <c r="P28" s="10">
        <f>SUMIFS('Consolidated Input'!V$6:V$209,'Consolidated Input'!$A$6:$A$209,$F28,'Consolidated Input'!$B$6:$B$209,$C$10)</f>
        <v>22523</v>
      </c>
      <c r="Q28" s="10">
        <f>SUMIFS('Consolidated Input'!W$6:W$209,'Consolidated Input'!$A$6:$A$209,$F28,'Consolidated Input'!$B$6:$B$209,$C$10)</f>
        <v>22523</v>
      </c>
      <c r="R28" s="10">
        <f>SUMIFS('Consolidated Input'!X$6:X$209,'Consolidated Input'!$A$6:$A$209,$F28,'Consolidated Input'!$B$6:$B$209,$C$10)</f>
        <v>22523</v>
      </c>
      <c r="S28" s="10">
        <f>SUMIFS('Consolidated Input'!Y$6:Y$209,'Consolidated Input'!$A$6:$A$209,$F28,'Consolidated Input'!$B$6:$B$209,$C$10)</f>
        <v>22523</v>
      </c>
      <c r="U28" s="10">
        <f t="shared" si="1"/>
        <v>22523</v>
      </c>
      <c r="V28" s="10">
        <f t="shared" si="2"/>
        <v>112615</v>
      </c>
    </row>
    <row r="29" spans="3:22" hidden="1" outlineLevel="1" x14ac:dyDescent="0.35">
      <c r="E29" s="10" t="str">
        <f>InpC!$E$41</f>
        <v>Bristol Water</v>
      </c>
      <c r="F29" s="10" t="str">
        <f>InpC!$F$41</f>
        <v>BRL</v>
      </c>
      <c r="G29" s="22" t="s">
        <v>39</v>
      </c>
      <c r="J29" s="10">
        <f>SUMIFS('Consolidated Input'!F$6:F$209,'Consolidated Input'!$A$6:$A$209,$F29,'Consolidated Input'!$B$6:$B$209,$C$9)</f>
        <v>181</v>
      </c>
      <c r="K29" s="10">
        <f>SUMIFS('Consolidated Input'!G$6:G$209,'Consolidated Input'!$A$6:$A$209,$F29,'Consolidated Input'!$B$6:$B$209,$C$9)</f>
        <v>11681</v>
      </c>
      <c r="L29" s="10">
        <f>SUMIFS('Consolidated Input'!H$6:H$209,'Consolidated Input'!$A$6:$A$209,$F29,'Consolidated Input'!$B$6:$B$209,$C$9)</f>
        <v>13989</v>
      </c>
      <c r="M29" s="10">
        <f>SUMIFS('Consolidated Input'!S$6:S$209,'Consolidated Input'!$A$6:$A$209,$F29,'Consolidated Input'!$B$6:$B$209,$C$10)</f>
        <v>14099</v>
      </c>
      <c r="N29" s="10">
        <f>SUMIFS('Consolidated Input'!T$6:T$209,'Consolidated Input'!$A$6:$A$209,$F29,'Consolidated Input'!$B$6:$B$209,$C$10)</f>
        <v>13989</v>
      </c>
      <c r="O29" s="10">
        <f>SUMIFS('Consolidated Input'!U$6:U$209,'Consolidated Input'!$A$6:$A$209,$F29,'Consolidated Input'!$B$6:$B$209,$C$10)</f>
        <v>22523</v>
      </c>
      <c r="P29" s="10">
        <f>SUMIFS('Consolidated Input'!V$6:V$209,'Consolidated Input'!$A$6:$A$209,$F29,'Consolidated Input'!$B$6:$B$209,$C$10)</f>
        <v>22523</v>
      </c>
      <c r="Q29" s="10">
        <f>SUMIFS('Consolidated Input'!W$6:W$209,'Consolidated Input'!$A$6:$A$209,$F29,'Consolidated Input'!$B$6:$B$209,$C$10)</f>
        <v>22523</v>
      </c>
      <c r="R29" s="10">
        <f>SUMIFS('Consolidated Input'!X$6:X$209,'Consolidated Input'!$A$6:$A$209,$F29,'Consolidated Input'!$B$6:$B$209,$C$10)</f>
        <v>22523</v>
      </c>
      <c r="S29" s="10">
        <f>SUMIFS('Consolidated Input'!Y$6:Y$209,'Consolidated Input'!$A$6:$A$209,$F29,'Consolidated Input'!$B$6:$B$209,$C$10)</f>
        <v>22523</v>
      </c>
      <c r="U29" s="10">
        <f t="shared" si="1"/>
        <v>22523</v>
      </c>
      <c r="V29" s="10">
        <f t="shared" si="2"/>
        <v>112615</v>
      </c>
    </row>
    <row r="30" spans="3:22" hidden="1" outlineLevel="1" x14ac:dyDescent="0.35">
      <c r="E30" s="10" t="s">
        <v>147</v>
      </c>
      <c r="G30" s="22" t="s">
        <v>39</v>
      </c>
      <c r="J30" s="170">
        <f>SUM(J13:J29)</f>
        <v>227853.8898081746</v>
      </c>
      <c r="K30" s="170">
        <f t="shared" ref="K30:S30" si="3">SUM(K13:K29)</f>
        <v>337032.02820138069</v>
      </c>
      <c r="L30" s="170">
        <f t="shared" si="3"/>
        <v>347233.19091949635</v>
      </c>
      <c r="M30" s="170">
        <f t="shared" si="3"/>
        <v>293694.91434188915</v>
      </c>
      <c r="N30" s="170">
        <f t="shared" si="3"/>
        <v>347672.05620140844</v>
      </c>
      <c r="O30" s="170">
        <f t="shared" si="3"/>
        <v>379422.48442042252</v>
      </c>
      <c r="P30" s="170">
        <f t="shared" si="3"/>
        <v>381059.91078380286</v>
      </c>
      <c r="Q30" s="170">
        <f t="shared" si="3"/>
        <v>381523.86314718309</v>
      </c>
      <c r="R30" s="170">
        <f t="shared" si="3"/>
        <v>382621.45065070421</v>
      </c>
      <c r="S30" s="170">
        <f t="shared" si="3"/>
        <v>383790.90101408452</v>
      </c>
      <c r="U30" s="170">
        <f t="shared" ref="U30:V30" si="4">SUM(U13:U29)</f>
        <v>381683.7220032395</v>
      </c>
      <c r="V30" s="170">
        <f t="shared" si="4"/>
        <v>1908418.6100161974</v>
      </c>
    </row>
    <row r="32" spans="3:22" x14ac:dyDescent="0.35">
      <c r="C32" s="11" t="str">
        <f>C9</f>
        <v>W3040TOT</v>
      </c>
      <c r="D32" s="5" t="str">
        <f>D9</f>
        <v>Traffic Management Act - Projects incurring costs associated with Traffic Management Act - Total</v>
      </c>
      <c r="F32" s="131">
        <f>MATCH(D32,APRChoices,0)</f>
        <v>3</v>
      </c>
      <c r="G32" s="22" t="s">
        <v>125</v>
      </c>
      <c r="J32" s="74">
        <f>J$2</f>
        <v>44286</v>
      </c>
      <c r="K32" s="74">
        <f t="shared" ref="K32:V32" si="5">K$2</f>
        <v>44651</v>
      </c>
      <c r="L32" s="74">
        <f t="shared" si="5"/>
        <v>45016</v>
      </c>
      <c r="M32" s="74">
        <f t="shared" si="5"/>
        <v>45382</v>
      </c>
      <c r="N32" s="74">
        <f t="shared" si="5"/>
        <v>45747</v>
      </c>
      <c r="O32" s="74">
        <f t="shared" si="5"/>
        <v>46112</v>
      </c>
      <c r="P32" s="74">
        <f t="shared" si="5"/>
        <v>46477</v>
      </c>
      <c r="Q32" s="74">
        <f t="shared" si="5"/>
        <v>46843</v>
      </c>
      <c r="R32" s="74">
        <f t="shared" si="5"/>
        <v>47208</v>
      </c>
      <c r="S32" s="74">
        <f t="shared" si="5"/>
        <v>47573</v>
      </c>
      <c r="U32" s="74" t="str">
        <f t="shared" si="5"/>
        <v>PR24 Average</v>
      </c>
      <c r="V32" s="74" t="str">
        <f t="shared" si="5"/>
        <v>PR24 Total</v>
      </c>
    </row>
    <row r="33" spans="3:22" x14ac:dyDescent="0.35">
      <c r="C33" s="5" t="str">
        <f>INDEX(InpC!$G$57:$G$62,'TMA Projects'!F32,)</f>
        <v>CW2_018TOT_PR24</v>
      </c>
      <c r="D33" s="5" t="str">
        <f>INDEX(InpC!$G$48:$G$53,'TMA Projects'!F32,)</f>
        <v>Traffic Management Act - Projects incurring costs associated with Traffic Management Act - Total</v>
      </c>
      <c r="G33" s="22" t="s">
        <v>126</v>
      </c>
      <c r="J33" s="74"/>
      <c r="K33" s="74"/>
      <c r="L33" s="74"/>
      <c r="M33" s="74"/>
      <c r="N33" s="74"/>
      <c r="O33" s="74"/>
      <c r="P33" s="74"/>
      <c r="Q33" s="74"/>
      <c r="R33" s="74"/>
      <c r="S33" s="74"/>
      <c r="U33" s="74"/>
      <c r="V33" s="74"/>
    </row>
    <row r="34" spans="3:22" collapsed="1" x14ac:dyDescent="0.35">
      <c r="E34" s="5" t="s">
        <v>183</v>
      </c>
    </row>
    <row r="35" spans="3:22" hidden="1" outlineLevel="1" x14ac:dyDescent="0.35"/>
    <row r="36" spans="3:22" hidden="1" outlineLevel="1" x14ac:dyDescent="0.35">
      <c r="E36" s="10" t="str">
        <f>InpC!$E$25</f>
        <v>Anglian Water</v>
      </c>
      <c r="F36" s="10" t="str">
        <f>InpC!$F$25</f>
        <v>ANH</v>
      </c>
      <c r="G36" s="22" t="str">
        <f t="shared" ref="G36:G53" si="6" xml:space="preserve"> G13</f>
        <v>nr</v>
      </c>
      <c r="J36" s="172"/>
      <c r="K36" s="172"/>
      <c r="L36" s="172"/>
      <c r="M36" s="172"/>
      <c r="N36" s="172"/>
      <c r="O36" s="172"/>
      <c r="P36" s="172"/>
      <c r="Q36" s="172"/>
      <c r="R36" s="172"/>
      <c r="S36" s="172"/>
      <c r="T36" s="171"/>
      <c r="U36" s="10">
        <f t="shared" ref="U36:U52" si="7">IFERROR(AVERAGE(O36:S36),0)</f>
        <v>0</v>
      </c>
      <c r="V36" s="10">
        <f t="shared" ref="V36:V52" si="8">SUM(O36:S36)</f>
        <v>0</v>
      </c>
    </row>
    <row r="37" spans="3:22" hidden="1" outlineLevel="1" x14ac:dyDescent="0.35">
      <c r="E37" s="10" t="str">
        <f>InpC!$E$26</f>
        <v>Dŵr Cymru</v>
      </c>
      <c r="F37" s="10" t="str">
        <f>InpC!$F$26</f>
        <v>WSH</v>
      </c>
      <c r="G37" s="22" t="str">
        <f t="shared" si="6"/>
        <v>nr</v>
      </c>
      <c r="J37" s="172"/>
      <c r="K37" s="172"/>
      <c r="L37" s="172"/>
      <c r="M37" s="172"/>
      <c r="N37" s="172"/>
      <c r="O37" s="172"/>
      <c r="P37" s="172"/>
      <c r="Q37" s="172"/>
      <c r="R37" s="172"/>
      <c r="S37" s="172"/>
      <c r="T37" s="171"/>
      <c r="U37" s="10">
        <f t="shared" si="7"/>
        <v>0</v>
      </c>
      <c r="V37" s="10">
        <f t="shared" si="8"/>
        <v>0</v>
      </c>
    </row>
    <row r="38" spans="3:22" hidden="1" outlineLevel="1" x14ac:dyDescent="0.35">
      <c r="E38" s="10" t="str">
        <f>InpC!$E$27</f>
        <v>Hafren Dyfrdwy</v>
      </c>
      <c r="F38" s="10" t="str">
        <f>InpC!$F$27</f>
        <v>HDD</v>
      </c>
      <c r="G38" s="22" t="str">
        <f t="shared" si="6"/>
        <v>nr</v>
      </c>
      <c r="J38" s="172"/>
      <c r="K38" s="172"/>
      <c r="L38" s="172"/>
      <c r="M38" s="172"/>
      <c r="N38" s="172"/>
      <c r="O38" s="172"/>
      <c r="P38" s="172"/>
      <c r="Q38" s="172"/>
      <c r="R38" s="172"/>
      <c r="S38" s="172"/>
      <c r="T38" s="171"/>
      <c r="U38" s="10">
        <f t="shared" si="7"/>
        <v>0</v>
      </c>
      <c r="V38" s="10">
        <f t="shared" si="8"/>
        <v>0</v>
      </c>
    </row>
    <row r="39" spans="3:22" hidden="1" outlineLevel="1" x14ac:dyDescent="0.35">
      <c r="E39" s="10" t="str">
        <f>InpC!$E$28</f>
        <v>Northumbrian Water</v>
      </c>
      <c r="F39" s="10" t="str">
        <f>InpC!$F$28</f>
        <v>NES</v>
      </c>
      <c r="G39" s="22" t="str">
        <f t="shared" si="6"/>
        <v>nr</v>
      </c>
      <c r="J39" s="172"/>
      <c r="K39" s="172"/>
      <c r="L39" s="172"/>
      <c r="M39" s="172"/>
      <c r="N39" s="172"/>
      <c r="O39" s="172"/>
      <c r="P39" s="172"/>
      <c r="Q39" s="172"/>
      <c r="R39" s="172"/>
      <c r="S39" s="172"/>
      <c r="T39" s="171"/>
      <c r="U39" s="10">
        <f t="shared" si="7"/>
        <v>0</v>
      </c>
      <c r="V39" s="10">
        <f t="shared" si="8"/>
        <v>0</v>
      </c>
    </row>
    <row r="40" spans="3:22" hidden="1" outlineLevel="1" x14ac:dyDescent="0.35">
      <c r="E40" s="10" t="str">
        <f>InpC!$E$29</f>
        <v>Severn Trent Water</v>
      </c>
      <c r="F40" s="10" t="str">
        <f>InpC!$F$29</f>
        <v>SVE</v>
      </c>
      <c r="G40" s="22" t="str">
        <f t="shared" si="6"/>
        <v>nr</v>
      </c>
      <c r="J40" s="172"/>
      <c r="K40" s="172"/>
      <c r="L40" s="172"/>
      <c r="M40" s="172"/>
      <c r="N40" s="172"/>
      <c r="O40" s="172"/>
      <c r="P40" s="172"/>
      <c r="Q40" s="172"/>
      <c r="R40" s="172"/>
      <c r="S40" s="172"/>
      <c r="T40" s="171"/>
      <c r="U40" s="10">
        <f t="shared" si="7"/>
        <v>0</v>
      </c>
      <c r="V40" s="10">
        <f t="shared" si="8"/>
        <v>0</v>
      </c>
    </row>
    <row r="41" spans="3:22" hidden="1" outlineLevel="1" x14ac:dyDescent="0.35">
      <c r="E41" s="10" t="str">
        <f>InpC!$E$30</f>
        <v>Southern Water</v>
      </c>
      <c r="F41" s="10" t="str">
        <f>InpC!$F$30</f>
        <v>SRN</v>
      </c>
      <c r="G41" s="22" t="str">
        <f t="shared" si="6"/>
        <v>nr</v>
      </c>
      <c r="J41" s="172"/>
      <c r="K41" s="172"/>
      <c r="L41" s="172"/>
      <c r="M41" s="172"/>
      <c r="N41" s="172"/>
      <c r="O41" s="172"/>
      <c r="P41" s="172"/>
      <c r="Q41" s="172"/>
      <c r="R41" s="172"/>
      <c r="S41" s="172"/>
      <c r="T41" s="171"/>
      <c r="U41" s="10">
        <f t="shared" si="7"/>
        <v>0</v>
      </c>
      <c r="V41" s="10">
        <f t="shared" si="8"/>
        <v>0</v>
      </c>
    </row>
    <row r="42" spans="3:22" hidden="1" outlineLevel="1" x14ac:dyDescent="0.35">
      <c r="E42" s="10" t="str">
        <f>InpC!$E$31</f>
        <v>Thames Water</v>
      </c>
      <c r="F42" s="10" t="str">
        <f>InpC!$F$31</f>
        <v>TMS</v>
      </c>
      <c r="G42" s="22" t="str">
        <f t="shared" si="6"/>
        <v>nr</v>
      </c>
      <c r="J42" s="172"/>
      <c r="K42" s="172"/>
      <c r="L42" s="172"/>
      <c r="M42" s="172"/>
      <c r="N42" s="172"/>
      <c r="O42" s="172"/>
      <c r="P42" s="172"/>
      <c r="Q42" s="172"/>
      <c r="R42" s="172"/>
      <c r="S42" s="172"/>
      <c r="T42" s="171"/>
      <c r="U42" s="10">
        <f t="shared" si="7"/>
        <v>0</v>
      </c>
      <c r="V42" s="10">
        <f t="shared" si="8"/>
        <v>0</v>
      </c>
    </row>
    <row r="43" spans="3:22" hidden="1" outlineLevel="1" x14ac:dyDescent="0.35">
      <c r="E43" s="10" t="str">
        <f>InpC!$E$32</f>
        <v>United Utilities</v>
      </c>
      <c r="F43" s="10" t="str">
        <f>InpC!$F$32</f>
        <v>NWT</v>
      </c>
      <c r="G43" s="22" t="str">
        <f t="shared" si="6"/>
        <v>nr</v>
      </c>
      <c r="J43" s="172"/>
      <c r="K43" s="172"/>
      <c r="L43" s="172"/>
      <c r="M43" s="172"/>
      <c r="N43" s="172"/>
      <c r="O43" s="172"/>
      <c r="P43" s="172"/>
      <c r="Q43" s="172"/>
      <c r="R43" s="172"/>
      <c r="S43" s="172"/>
      <c r="T43" s="171"/>
      <c r="U43" s="10">
        <f t="shared" si="7"/>
        <v>0</v>
      </c>
      <c r="V43" s="10">
        <f t="shared" si="8"/>
        <v>0</v>
      </c>
    </row>
    <row r="44" spans="3:22" hidden="1" outlineLevel="1" x14ac:dyDescent="0.35">
      <c r="E44" s="10" t="str">
        <f>InpC!$E$33</f>
        <v>Wessex Water</v>
      </c>
      <c r="F44" s="10" t="str">
        <f>InpC!$F$33</f>
        <v>WSX</v>
      </c>
      <c r="G44" s="22" t="str">
        <f t="shared" si="6"/>
        <v>nr</v>
      </c>
      <c r="J44" s="172"/>
      <c r="K44" s="172"/>
      <c r="L44" s="172"/>
      <c r="M44" s="172"/>
      <c r="N44" s="172"/>
      <c r="O44" s="172"/>
      <c r="P44" s="172"/>
      <c r="Q44" s="172"/>
      <c r="R44" s="172"/>
      <c r="S44" s="172"/>
      <c r="T44" s="171"/>
      <c r="U44" s="10">
        <f t="shared" si="7"/>
        <v>0</v>
      </c>
      <c r="V44" s="10">
        <f t="shared" si="8"/>
        <v>0</v>
      </c>
    </row>
    <row r="45" spans="3:22" hidden="1" outlineLevel="1" x14ac:dyDescent="0.35">
      <c r="E45" s="10" t="str">
        <f>InpC!$E$34</f>
        <v>Yorkshire Water</v>
      </c>
      <c r="F45" s="10" t="str">
        <f>InpC!$F$34</f>
        <v>YKY</v>
      </c>
      <c r="G45" s="22" t="str">
        <f t="shared" si="6"/>
        <v>nr</v>
      </c>
      <c r="J45" s="172"/>
      <c r="K45" s="172"/>
      <c r="L45" s="172"/>
      <c r="M45" s="172"/>
      <c r="N45" s="172"/>
      <c r="O45" s="172"/>
      <c r="P45" s="172"/>
      <c r="Q45" s="172"/>
      <c r="R45" s="172"/>
      <c r="S45" s="172"/>
      <c r="T45" s="171"/>
      <c r="U45" s="10">
        <f t="shared" si="7"/>
        <v>0</v>
      </c>
      <c r="V45" s="10">
        <f t="shared" si="8"/>
        <v>0</v>
      </c>
    </row>
    <row r="46" spans="3:22" hidden="1" outlineLevel="1" x14ac:dyDescent="0.35">
      <c r="E46" s="10" t="str">
        <f>InpC!$E$35</f>
        <v>Affinity Water</v>
      </c>
      <c r="F46" s="10" t="str">
        <f>InpC!$F$35</f>
        <v>AFW</v>
      </c>
      <c r="G46" s="22" t="str">
        <f t="shared" si="6"/>
        <v>nr</v>
      </c>
      <c r="J46" s="172">
        <v>25216</v>
      </c>
      <c r="K46" s="172"/>
      <c r="L46" s="172"/>
      <c r="M46" s="172"/>
      <c r="N46" s="172"/>
      <c r="O46" s="172"/>
      <c r="P46" s="172"/>
      <c r="Q46" s="172"/>
      <c r="R46" s="172"/>
      <c r="S46" s="172"/>
      <c r="T46" s="171"/>
      <c r="U46" s="10">
        <f t="shared" si="7"/>
        <v>0</v>
      </c>
      <c r="V46" s="10">
        <f t="shared" si="8"/>
        <v>0</v>
      </c>
    </row>
    <row r="47" spans="3:22" hidden="1" outlineLevel="1" x14ac:dyDescent="0.35">
      <c r="E47" s="10" t="str">
        <f>InpC!$E$36</f>
        <v>Portsmouth Water</v>
      </c>
      <c r="F47" s="10" t="str">
        <f>InpC!$F$36</f>
        <v>PRT</v>
      </c>
      <c r="G47" s="22" t="str">
        <f t="shared" si="6"/>
        <v>nr</v>
      </c>
      <c r="J47" s="172"/>
      <c r="K47" s="172"/>
      <c r="L47" s="172"/>
      <c r="M47" s="172"/>
      <c r="N47" s="172"/>
      <c r="O47" s="172"/>
      <c r="P47" s="172"/>
      <c r="Q47" s="172"/>
      <c r="R47" s="172"/>
      <c r="S47" s="172"/>
      <c r="T47" s="171"/>
      <c r="U47" s="10">
        <f t="shared" si="7"/>
        <v>0</v>
      </c>
      <c r="V47" s="10">
        <f t="shared" si="8"/>
        <v>0</v>
      </c>
    </row>
    <row r="48" spans="3:22" hidden="1" outlineLevel="1" x14ac:dyDescent="0.35">
      <c r="E48" s="10" t="str">
        <f>InpC!$E$37</f>
        <v>South East Water</v>
      </c>
      <c r="F48" s="10" t="str">
        <f>InpC!$F$37</f>
        <v>SEW</v>
      </c>
      <c r="G48" s="22" t="str">
        <f t="shared" si="6"/>
        <v>nr</v>
      </c>
      <c r="J48" s="172"/>
      <c r="K48" s="172"/>
      <c r="L48" s="172"/>
      <c r="M48" s="172"/>
      <c r="N48" s="172"/>
      <c r="O48" s="172"/>
      <c r="P48" s="172"/>
      <c r="Q48" s="172"/>
      <c r="R48" s="172"/>
      <c r="S48" s="172"/>
      <c r="T48" s="171"/>
      <c r="U48" s="10">
        <f t="shared" si="7"/>
        <v>0</v>
      </c>
      <c r="V48" s="10">
        <f t="shared" si="8"/>
        <v>0</v>
      </c>
    </row>
    <row r="49" spans="3:22" hidden="1" outlineLevel="1" x14ac:dyDescent="0.35">
      <c r="E49" s="10" t="str">
        <f>InpC!$E$38</f>
        <v>South Staffs Water</v>
      </c>
      <c r="F49" s="10" t="str">
        <f>InpC!$F$38</f>
        <v>SSC</v>
      </c>
      <c r="G49" s="22" t="str">
        <f t="shared" si="6"/>
        <v>nr</v>
      </c>
      <c r="J49" s="172"/>
      <c r="K49" s="172"/>
      <c r="L49" s="172"/>
      <c r="M49" s="172"/>
      <c r="N49" s="172"/>
      <c r="O49" s="172"/>
      <c r="P49" s="172"/>
      <c r="Q49" s="172"/>
      <c r="R49" s="172"/>
      <c r="S49" s="172"/>
      <c r="T49" s="171"/>
      <c r="U49" s="10">
        <f t="shared" si="7"/>
        <v>0</v>
      </c>
      <c r="V49" s="10">
        <f t="shared" si="8"/>
        <v>0</v>
      </c>
    </row>
    <row r="50" spans="3:22" hidden="1" outlineLevel="1" x14ac:dyDescent="0.35">
      <c r="E50" s="10" t="str">
        <f>InpC!$E$39</f>
        <v>SES Water</v>
      </c>
      <c r="F50" s="10" t="str">
        <f>InpC!$F$39</f>
        <v>SES</v>
      </c>
      <c r="G50" s="22" t="str">
        <f t="shared" si="6"/>
        <v>nr</v>
      </c>
      <c r="J50" s="172"/>
      <c r="K50" s="172"/>
      <c r="L50" s="172"/>
      <c r="M50" s="172"/>
      <c r="N50" s="172"/>
      <c r="O50" s="172"/>
      <c r="P50" s="172"/>
      <c r="Q50" s="172"/>
      <c r="R50" s="172"/>
      <c r="S50" s="172"/>
      <c r="T50" s="171"/>
      <c r="U50" s="10">
        <f t="shared" si="7"/>
        <v>0</v>
      </c>
      <c r="V50" s="10">
        <f t="shared" si="8"/>
        <v>0</v>
      </c>
    </row>
    <row r="51" spans="3:22" hidden="1" outlineLevel="1" x14ac:dyDescent="0.35">
      <c r="E51" s="10" t="str">
        <f>InpC!$E$40</f>
        <v>South West Water</v>
      </c>
      <c r="F51" s="10" t="str">
        <f>InpC!$F$40</f>
        <v>SWB</v>
      </c>
      <c r="G51" s="22" t="str">
        <f t="shared" si="6"/>
        <v>nr</v>
      </c>
      <c r="J51" s="172"/>
      <c r="K51" s="172"/>
      <c r="L51" s="172"/>
      <c r="M51" s="172"/>
      <c r="N51" s="172"/>
      <c r="O51" s="172"/>
      <c r="P51" s="172"/>
      <c r="Q51" s="172"/>
      <c r="R51" s="172"/>
      <c r="S51" s="172"/>
      <c r="T51" s="171"/>
      <c r="U51" s="10">
        <f t="shared" si="7"/>
        <v>0</v>
      </c>
      <c r="V51" s="10">
        <f t="shared" si="8"/>
        <v>0</v>
      </c>
    </row>
    <row r="52" spans="3:22" hidden="1" outlineLevel="1" x14ac:dyDescent="0.35">
      <c r="E52" s="10" t="str">
        <f>InpC!$E$41</f>
        <v>Bristol Water</v>
      </c>
      <c r="F52" s="10" t="str">
        <f>InpC!$F$41</f>
        <v>BRL</v>
      </c>
      <c r="G52" s="22" t="str">
        <f t="shared" si="6"/>
        <v>nr</v>
      </c>
      <c r="J52" s="172"/>
      <c r="K52" s="172"/>
      <c r="L52" s="172"/>
      <c r="M52" s="172"/>
      <c r="N52" s="172"/>
      <c r="O52" s="172"/>
      <c r="P52" s="172"/>
      <c r="Q52" s="172"/>
      <c r="R52" s="172"/>
      <c r="S52" s="172"/>
      <c r="T52" s="171"/>
      <c r="U52" s="10">
        <f t="shared" si="7"/>
        <v>0</v>
      </c>
      <c r="V52" s="10">
        <f t="shared" si="8"/>
        <v>0</v>
      </c>
    </row>
    <row r="53" spans="3:22" hidden="1" outlineLevel="1" x14ac:dyDescent="0.35">
      <c r="E53" s="10" t="s">
        <v>147</v>
      </c>
      <c r="G53" s="22" t="str">
        <f t="shared" si="6"/>
        <v>nr</v>
      </c>
      <c r="J53" s="170">
        <f>SUM(J36:J52)</f>
        <v>25216</v>
      </c>
      <c r="K53" s="170">
        <f t="shared" ref="K53:S53" si="9">SUM(K36:K52)</f>
        <v>0</v>
      </c>
      <c r="L53" s="170">
        <f t="shared" si="9"/>
        <v>0</v>
      </c>
      <c r="M53" s="170">
        <f t="shared" si="9"/>
        <v>0</v>
      </c>
      <c r="N53" s="170">
        <f t="shared" si="9"/>
        <v>0</v>
      </c>
      <c r="O53" s="170">
        <f t="shared" si="9"/>
        <v>0</v>
      </c>
      <c r="P53" s="170">
        <f t="shared" si="9"/>
        <v>0</v>
      </c>
      <c r="Q53" s="170">
        <f t="shared" si="9"/>
        <v>0</v>
      </c>
      <c r="R53" s="170">
        <f t="shared" si="9"/>
        <v>0</v>
      </c>
      <c r="S53" s="170">
        <f t="shared" si="9"/>
        <v>0</v>
      </c>
      <c r="T53" s="171"/>
      <c r="U53" s="170">
        <f t="shared" ref="U53:V53" si="10">SUM(U36:U52)</f>
        <v>0</v>
      </c>
      <c r="V53" s="170">
        <f t="shared" si="10"/>
        <v>0</v>
      </c>
    </row>
    <row r="55" spans="3:22" x14ac:dyDescent="0.35">
      <c r="C55" s="11" t="str">
        <f>C9</f>
        <v>W3040TOT</v>
      </c>
      <c r="D55" s="5" t="str">
        <f>D9</f>
        <v>Traffic Management Act - Projects incurring costs associated with Traffic Management Act - Total</v>
      </c>
      <c r="F55" s="131">
        <f>MATCH(D55,APRChoices,0)</f>
        <v>3</v>
      </c>
      <c r="G55" s="22" t="s">
        <v>125</v>
      </c>
      <c r="J55" s="74">
        <f>J$2</f>
        <v>44286</v>
      </c>
      <c r="K55" s="74">
        <f t="shared" ref="K55:V55" si="11">K$2</f>
        <v>44651</v>
      </c>
      <c r="L55" s="74">
        <f t="shared" si="11"/>
        <v>45016</v>
      </c>
      <c r="M55" s="74">
        <f t="shared" si="11"/>
        <v>45382</v>
      </c>
      <c r="N55" s="74">
        <f t="shared" si="11"/>
        <v>45747</v>
      </c>
      <c r="O55" s="74">
        <f t="shared" si="11"/>
        <v>46112</v>
      </c>
      <c r="P55" s="74">
        <f t="shared" si="11"/>
        <v>46477</v>
      </c>
      <c r="Q55" s="74">
        <f t="shared" si="11"/>
        <v>46843</v>
      </c>
      <c r="R55" s="74">
        <f t="shared" si="11"/>
        <v>47208</v>
      </c>
      <c r="S55" s="74">
        <f t="shared" si="11"/>
        <v>47573</v>
      </c>
      <c r="U55" s="74" t="str">
        <f t="shared" si="11"/>
        <v>PR24 Average</v>
      </c>
      <c r="V55" s="74" t="str">
        <f t="shared" si="11"/>
        <v>PR24 Total</v>
      </c>
    </row>
    <row r="56" spans="3:22" x14ac:dyDescent="0.35">
      <c r="C56" s="5" t="str">
        <f>INDEX(InpC!$G$57:$G$62,'TMA Projects'!F55,)</f>
        <v>CW2_018TOT_PR24</v>
      </c>
      <c r="D56" s="5" t="str">
        <f>INDEX(InpC!$G$48:$G$53,'TMA Projects'!F55,)</f>
        <v>Traffic Management Act - Projects incurring costs associated with Traffic Management Act - Total</v>
      </c>
      <c r="G56" s="22" t="s">
        <v>126</v>
      </c>
      <c r="J56" s="74"/>
      <c r="K56" s="74"/>
      <c r="L56" s="74"/>
      <c r="M56" s="74"/>
      <c r="N56" s="74"/>
      <c r="O56" s="74"/>
      <c r="P56" s="74"/>
      <c r="Q56" s="74"/>
      <c r="R56" s="74"/>
      <c r="S56" s="74"/>
      <c r="U56" s="74"/>
      <c r="V56" s="74"/>
    </row>
    <row r="57" spans="3:22" collapsed="1" x14ac:dyDescent="0.35">
      <c r="E57" s="5" t="s">
        <v>184</v>
      </c>
    </row>
    <row r="58" spans="3:22" hidden="1" outlineLevel="1" x14ac:dyDescent="0.35"/>
    <row r="59" spans="3:22" hidden="1" outlineLevel="1" x14ac:dyDescent="0.35">
      <c r="E59" s="10" t="str">
        <f>InpC!$E$25</f>
        <v>Anglian Water</v>
      </c>
      <c r="F59" s="10" t="str">
        <f>InpC!$F$25</f>
        <v>ANH</v>
      </c>
      <c r="G59" s="22" t="str">
        <f t="shared" ref="G59:G76" si="12" xml:space="preserve"> G13</f>
        <v>nr</v>
      </c>
      <c r="J59" s="10">
        <f t="shared" ref="J59:S59" si="13">IF(ISBLANK(J36),J13,J36)</f>
        <v>32514</v>
      </c>
      <c r="K59" s="10">
        <f t="shared" si="13"/>
        <v>32516</v>
      </c>
      <c r="L59" s="10">
        <f t="shared" si="13"/>
        <v>18002</v>
      </c>
      <c r="M59" s="10">
        <f t="shared" si="13"/>
        <v>12342</v>
      </c>
      <c r="N59" s="10">
        <f t="shared" si="13"/>
        <v>19000</v>
      </c>
      <c r="O59" s="10">
        <f t="shared" si="13"/>
        <v>19000</v>
      </c>
      <c r="P59" s="10">
        <f t="shared" si="13"/>
        <v>19000</v>
      </c>
      <c r="Q59" s="10">
        <f t="shared" si="13"/>
        <v>19000</v>
      </c>
      <c r="R59" s="10">
        <f t="shared" si="13"/>
        <v>19000</v>
      </c>
      <c r="S59" s="10">
        <f t="shared" si="13"/>
        <v>19000</v>
      </c>
      <c r="T59" s="171"/>
      <c r="U59" s="10">
        <f t="shared" ref="U59:U75" si="14">IFERROR(AVERAGE(O59:S59),0)</f>
        <v>19000</v>
      </c>
      <c r="V59" s="10">
        <f t="shared" ref="V59:V75" si="15">SUM(O59:S59)</f>
        <v>95000</v>
      </c>
    </row>
    <row r="60" spans="3:22" hidden="1" outlineLevel="1" x14ac:dyDescent="0.35">
      <c r="E60" s="10" t="str">
        <f>InpC!$E$26</f>
        <v>Dŵr Cymru</v>
      </c>
      <c r="F60" s="10" t="str">
        <f>InpC!$F$26</f>
        <v>WSH</v>
      </c>
      <c r="G60" s="22" t="str">
        <f t="shared" si="12"/>
        <v>nr</v>
      </c>
      <c r="J60" s="10">
        <f t="shared" ref="J60:S60" si="16">IF(ISBLANK(J37),J14,J37)</f>
        <v>45</v>
      </c>
      <c r="K60" s="10">
        <f t="shared" si="16"/>
        <v>0</v>
      </c>
      <c r="L60" s="10">
        <f t="shared" si="16"/>
        <v>1815</v>
      </c>
      <c r="M60" s="10">
        <f t="shared" si="16"/>
        <v>3630</v>
      </c>
      <c r="N60" s="10">
        <f t="shared" si="16"/>
        <v>1034</v>
      </c>
      <c r="O60" s="10">
        <f t="shared" si="16"/>
        <v>839.19399999999996</v>
      </c>
      <c r="P60" s="10">
        <f t="shared" si="16"/>
        <v>800.16099999999994</v>
      </c>
      <c r="Q60" s="10">
        <f t="shared" si="16"/>
        <v>780.64499999999998</v>
      </c>
      <c r="R60" s="10">
        <f t="shared" si="16"/>
        <v>761.12900000000002</v>
      </c>
      <c r="S60" s="10">
        <f t="shared" si="16"/>
        <v>761.12900000000002</v>
      </c>
      <c r="T60" s="171"/>
      <c r="U60" s="10">
        <f t="shared" si="14"/>
        <v>788.45159999999998</v>
      </c>
      <c r="V60" s="10">
        <f t="shared" si="15"/>
        <v>3942.2579999999998</v>
      </c>
    </row>
    <row r="61" spans="3:22" hidden="1" outlineLevel="1" x14ac:dyDescent="0.35">
      <c r="E61" s="10" t="str">
        <f>InpC!$E$27</f>
        <v>Hafren Dyfrdwy</v>
      </c>
      <c r="F61" s="10" t="str">
        <f>InpC!$F$27</f>
        <v>HDD</v>
      </c>
      <c r="G61" s="22" t="str">
        <f t="shared" si="12"/>
        <v>nr</v>
      </c>
      <c r="J61" s="10">
        <f t="shared" ref="J61:S61" si="17">IF(ISBLANK(J38),J15,J38)</f>
        <v>0</v>
      </c>
      <c r="K61" s="10">
        <f t="shared" si="17"/>
        <v>0</v>
      </c>
      <c r="L61" s="10">
        <f t="shared" si="17"/>
        <v>0</v>
      </c>
      <c r="M61" s="10">
        <f t="shared" si="17"/>
        <v>0</v>
      </c>
      <c r="N61" s="10">
        <f t="shared" si="17"/>
        <v>0</v>
      </c>
      <c r="O61" s="10">
        <f t="shared" si="17"/>
        <v>0</v>
      </c>
      <c r="P61" s="10">
        <f t="shared" si="17"/>
        <v>0</v>
      </c>
      <c r="Q61" s="10">
        <f t="shared" si="17"/>
        <v>0</v>
      </c>
      <c r="R61" s="10">
        <f t="shared" si="17"/>
        <v>0</v>
      </c>
      <c r="S61" s="10">
        <f t="shared" si="17"/>
        <v>0</v>
      </c>
      <c r="T61" s="171"/>
      <c r="U61" s="10">
        <f t="shared" si="14"/>
        <v>0</v>
      </c>
      <c r="V61" s="10">
        <f t="shared" si="15"/>
        <v>0</v>
      </c>
    </row>
    <row r="62" spans="3:22" hidden="1" outlineLevel="1" x14ac:dyDescent="0.35">
      <c r="E62" s="10" t="str">
        <f>InpC!$E$28</f>
        <v>Northumbrian Water</v>
      </c>
      <c r="F62" s="10" t="str">
        <f>InpC!$F$28</f>
        <v>NES</v>
      </c>
      <c r="G62" s="22" t="str">
        <f t="shared" si="12"/>
        <v>nr</v>
      </c>
      <c r="J62" s="10">
        <f t="shared" ref="J62:S62" si="18">IF(ISBLANK(J39),J16,J39)</f>
        <v>8098</v>
      </c>
      <c r="K62" s="10">
        <f t="shared" si="18"/>
        <v>9115</v>
      </c>
      <c r="L62" s="10">
        <f t="shared" si="18"/>
        <v>9165</v>
      </c>
      <c r="M62" s="10">
        <f t="shared" si="18"/>
        <v>8276</v>
      </c>
      <c r="N62" s="10">
        <f t="shared" si="18"/>
        <v>10016</v>
      </c>
      <c r="O62" s="10">
        <f t="shared" si="18"/>
        <v>10535</v>
      </c>
      <c r="P62" s="10">
        <f t="shared" si="18"/>
        <v>11074</v>
      </c>
      <c r="Q62" s="10">
        <f t="shared" si="18"/>
        <v>11613</v>
      </c>
      <c r="R62" s="10">
        <f t="shared" si="18"/>
        <v>12130</v>
      </c>
      <c r="S62" s="10">
        <f t="shared" si="18"/>
        <v>12669</v>
      </c>
      <c r="T62" s="171"/>
      <c r="U62" s="10">
        <f t="shared" si="14"/>
        <v>11604.2</v>
      </c>
      <c r="V62" s="10">
        <f t="shared" si="15"/>
        <v>58021</v>
      </c>
    </row>
    <row r="63" spans="3:22" hidden="1" outlineLevel="1" x14ac:dyDescent="0.35">
      <c r="E63" s="10" t="str">
        <f>InpC!$E$29</f>
        <v>Severn Trent Water</v>
      </c>
      <c r="F63" s="10" t="str">
        <f>InpC!$F$29</f>
        <v>SVE</v>
      </c>
      <c r="G63" s="22" t="str">
        <f t="shared" si="12"/>
        <v>nr</v>
      </c>
      <c r="J63" s="10">
        <f t="shared" ref="J63:S63" si="19">IF(ISBLANK(J40),J17,J40)</f>
        <v>776</v>
      </c>
      <c r="K63" s="10">
        <f t="shared" si="19"/>
        <v>38726.417334310201</v>
      </c>
      <c r="L63" s="10">
        <f t="shared" si="19"/>
        <v>58066</v>
      </c>
      <c r="M63" s="10">
        <f t="shared" si="19"/>
        <v>38039.19</v>
      </c>
      <c r="N63" s="10">
        <f t="shared" si="19"/>
        <v>31956.05620140845</v>
      </c>
      <c r="O63" s="10">
        <f t="shared" si="19"/>
        <v>53005.290420422542</v>
      </c>
      <c r="P63" s="10">
        <f t="shared" si="19"/>
        <v>53452.749783802821</v>
      </c>
      <c r="Q63" s="10">
        <f t="shared" si="19"/>
        <v>53900.209147183108</v>
      </c>
      <c r="R63" s="10">
        <f t="shared" si="19"/>
        <v>54366.312650704233</v>
      </c>
      <c r="S63" s="10">
        <f t="shared" si="19"/>
        <v>54813.772014084512</v>
      </c>
      <c r="T63" s="171"/>
      <c r="U63" s="10">
        <f t="shared" si="14"/>
        <v>53907.666803239452</v>
      </c>
      <c r="V63" s="10">
        <f t="shared" si="15"/>
        <v>269538.33401619724</v>
      </c>
    </row>
    <row r="64" spans="3:22" hidden="1" outlineLevel="1" x14ac:dyDescent="0.35">
      <c r="E64" s="10" t="str">
        <f>InpC!$E$30</f>
        <v>Southern Water</v>
      </c>
      <c r="F64" s="10" t="str">
        <f>InpC!$F$30</f>
        <v>SRN</v>
      </c>
      <c r="G64" s="22" t="str">
        <f t="shared" si="12"/>
        <v>nr</v>
      </c>
      <c r="J64" s="10">
        <f t="shared" ref="J64:S64" si="20">IF(ISBLANK(J41),J18,J41)</f>
        <v>33546</v>
      </c>
      <c r="K64" s="10">
        <f t="shared" si="20"/>
        <v>33992</v>
      </c>
      <c r="L64" s="10">
        <f t="shared" si="20"/>
        <v>37760</v>
      </c>
      <c r="M64" s="10">
        <f t="shared" si="20"/>
        <v>33567</v>
      </c>
      <c r="N64" s="10">
        <f t="shared" si="20"/>
        <v>34000</v>
      </c>
      <c r="O64" s="10">
        <f t="shared" si="20"/>
        <v>34000</v>
      </c>
      <c r="P64" s="10">
        <f t="shared" si="20"/>
        <v>34000</v>
      </c>
      <c r="Q64" s="10">
        <f t="shared" si="20"/>
        <v>34000</v>
      </c>
      <c r="R64" s="10">
        <f t="shared" si="20"/>
        <v>34000</v>
      </c>
      <c r="S64" s="10">
        <f t="shared" si="20"/>
        <v>34000</v>
      </c>
      <c r="T64" s="171"/>
      <c r="U64" s="10">
        <f t="shared" si="14"/>
        <v>34000</v>
      </c>
      <c r="V64" s="10">
        <f t="shared" si="15"/>
        <v>170000</v>
      </c>
    </row>
    <row r="65" spans="3:22" hidden="1" outlineLevel="1" x14ac:dyDescent="0.35">
      <c r="E65" s="10" t="str">
        <f>InpC!$E$31</f>
        <v>Thames Water</v>
      </c>
      <c r="F65" s="10" t="str">
        <f>InpC!$F$31</f>
        <v>TMS</v>
      </c>
      <c r="G65" s="22" t="str">
        <f t="shared" si="12"/>
        <v>nr</v>
      </c>
      <c r="J65" s="10">
        <f t="shared" ref="J65:S65" si="21">IF(ISBLANK(J42),J19,J42)</f>
        <v>55039</v>
      </c>
      <c r="K65" s="10">
        <f t="shared" si="21"/>
        <v>89202</v>
      </c>
      <c r="L65" s="10">
        <f t="shared" si="21"/>
        <v>89202</v>
      </c>
      <c r="M65" s="10">
        <f t="shared" si="21"/>
        <v>67686</v>
      </c>
      <c r="N65" s="10">
        <f t="shared" si="21"/>
        <v>92049</v>
      </c>
      <c r="O65" s="10">
        <f t="shared" si="21"/>
        <v>94432</v>
      </c>
      <c r="P65" s="10">
        <f t="shared" si="21"/>
        <v>94432</v>
      </c>
      <c r="Q65" s="10">
        <f t="shared" si="21"/>
        <v>94432.009000000005</v>
      </c>
      <c r="R65" s="10">
        <f t="shared" si="21"/>
        <v>94432.009000000005</v>
      </c>
      <c r="S65" s="10">
        <f t="shared" si="21"/>
        <v>94432</v>
      </c>
      <c r="T65" s="171"/>
      <c r="U65" s="10">
        <f t="shared" si="14"/>
        <v>94432.003600000011</v>
      </c>
      <c r="V65" s="10">
        <f t="shared" si="15"/>
        <v>472160.01800000004</v>
      </c>
    </row>
    <row r="66" spans="3:22" hidden="1" outlineLevel="1" x14ac:dyDescent="0.35">
      <c r="E66" s="10" t="str">
        <f>InpC!$E$32</f>
        <v>United Utilities</v>
      </c>
      <c r="F66" s="10" t="str">
        <f>InpC!$F$32</f>
        <v>NWT</v>
      </c>
      <c r="G66" s="22" t="str">
        <f t="shared" si="12"/>
        <v>nr</v>
      </c>
      <c r="J66" s="10">
        <f t="shared" ref="J66:S66" si="22">IF(ISBLANK(J43),J20,J43)</f>
        <v>33652.673808174601</v>
      </c>
      <c r="K66" s="10">
        <f t="shared" si="22"/>
        <v>37705</v>
      </c>
      <c r="L66" s="10">
        <f t="shared" si="22"/>
        <v>33707</v>
      </c>
      <c r="M66" s="10">
        <f t="shared" si="22"/>
        <v>25780.008341889119</v>
      </c>
      <c r="N66" s="10">
        <f t="shared" si="22"/>
        <v>27808</v>
      </c>
      <c r="O66" s="10">
        <f t="shared" si="22"/>
        <v>27808</v>
      </c>
      <c r="P66" s="10">
        <f t="shared" si="22"/>
        <v>27808</v>
      </c>
      <c r="Q66" s="10">
        <f t="shared" si="22"/>
        <v>27808</v>
      </c>
      <c r="R66" s="10">
        <f t="shared" si="22"/>
        <v>27808</v>
      </c>
      <c r="S66" s="10">
        <f t="shared" si="22"/>
        <v>27808</v>
      </c>
      <c r="T66" s="171"/>
      <c r="U66" s="10">
        <f t="shared" si="14"/>
        <v>27808</v>
      </c>
      <c r="V66" s="10">
        <f t="shared" si="15"/>
        <v>139040</v>
      </c>
    </row>
    <row r="67" spans="3:22" hidden="1" outlineLevel="1" x14ac:dyDescent="0.35">
      <c r="E67" s="10" t="str">
        <f>InpC!$E$33</f>
        <v>Wessex Water</v>
      </c>
      <c r="F67" s="10" t="str">
        <f>InpC!$F$33</f>
        <v>WSX</v>
      </c>
      <c r="G67" s="22" t="str">
        <f t="shared" si="12"/>
        <v>nr</v>
      </c>
      <c r="J67" s="10">
        <f t="shared" ref="J67:S67" si="23">IF(ISBLANK(J44),J21,J44)</f>
        <v>2653</v>
      </c>
      <c r="K67" s="10">
        <f t="shared" si="23"/>
        <v>3612</v>
      </c>
      <c r="L67" s="10">
        <f t="shared" si="23"/>
        <v>4193</v>
      </c>
      <c r="M67" s="10">
        <f t="shared" si="23"/>
        <v>2468</v>
      </c>
      <c r="N67" s="10">
        <f t="shared" si="23"/>
        <v>3500</v>
      </c>
      <c r="O67" s="10">
        <f t="shared" si="23"/>
        <v>3500</v>
      </c>
      <c r="P67" s="10">
        <f t="shared" si="23"/>
        <v>3500</v>
      </c>
      <c r="Q67" s="10">
        <f t="shared" si="23"/>
        <v>3500</v>
      </c>
      <c r="R67" s="10">
        <f t="shared" si="23"/>
        <v>3500</v>
      </c>
      <c r="S67" s="10">
        <f t="shared" si="23"/>
        <v>3500</v>
      </c>
      <c r="T67" s="171"/>
      <c r="U67" s="10">
        <f t="shared" si="14"/>
        <v>3500</v>
      </c>
      <c r="V67" s="10">
        <f t="shared" si="15"/>
        <v>17500</v>
      </c>
    </row>
    <row r="68" spans="3:22" hidden="1" outlineLevel="1" x14ac:dyDescent="0.35">
      <c r="E68" s="10" t="str">
        <f>InpC!$E$34</f>
        <v>Yorkshire Water</v>
      </c>
      <c r="F68" s="10" t="str">
        <f>InpC!$F$34</f>
        <v>YKY</v>
      </c>
      <c r="G68" s="22" t="str">
        <f t="shared" si="12"/>
        <v>nr</v>
      </c>
      <c r="J68" s="10">
        <f t="shared" ref="J68:S68" si="24">IF(ISBLANK(J45),J22,J45)</f>
        <v>27208</v>
      </c>
      <c r="K68" s="10">
        <f t="shared" si="24"/>
        <v>21430.17</v>
      </c>
      <c r="L68" s="10">
        <f t="shared" si="24"/>
        <v>20800</v>
      </c>
      <c r="M68" s="10">
        <f t="shared" si="24"/>
        <v>23607</v>
      </c>
      <c r="N68" s="10">
        <f t="shared" si="24"/>
        <v>20927</v>
      </c>
      <c r="O68" s="10">
        <f t="shared" si="24"/>
        <v>20927</v>
      </c>
      <c r="P68" s="10">
        <f t="shared" si="24"/>
        <v>20927</v>
      </c>
      <c r="Q68" s="10">
        <f t="shared" si="24"/>
        <v>20927</v>
      </c>
      <c r="R68" s="10">
        <f t="shared" si="24"/>
        <v>20927</v>
      </c>
      <c r="S68" s="10">
        <f t="shared" si="24"/>
        <v>20927</v>
      </c>
      <c r="T68" s="171"/>
      <c r="U68" s="10">
        <f t="shared" si="14"/>
        <v>20927</v>
      </c>
      <c r="V68" s="10">
        <f t="shared" si="15"/>
        <v>104635</v>
      </c>
    </row>
    <row r="69" spans="3:22" hidden="1" outlineLevel="1" x14ac:dyDescent="0.35">
      <c r="E69" s="10" t="str">
        <f>InpC!$E$35</f>
        <v>Affinity Water</v>
      </c>
      <c r="F69" s="10" t="str">
        <f>InpC!$F$35</f>
        <v>AFW</v>
      </c>
      <c r="G69" s="22" t="str">
        <f t="shared" si="12"/>
        <v>nr</v>
      </c>
      <c r="J69" s="10">
        <f t="shared" ref="J69:S69" si="25">IF(ISBLANK(J46),J23,J46)</f>
        <v>25216</v>
      </c>
      <c r="K69" s="10">
        <f t="shared" si="25"/>
        <v>24441.440867070502</v>
      </c>
      <c r="L69" s="10">
        <f t="shared" si="25"/>
        <v>25354.19091949637</v>
      </c>
      <c r="M69" s="10">
        <f t="shared" si="25"/>
        <v>23744.716</v>
      </c>
      <c r="N69" s="10">
        <f t="shared" si="25"/>
        <v>25000</v>
      </c>
      <c r="O69" s="10">
        <f t="shared" si="25"/>
        <v>25000</v>
      </c>
      <c r="P69" s="10">
        <f t="shared" si="25"/>
        <v>25000</v>
      </c>
      <c r="Q69" s="10">
        <f t="shared" si="25"/>
        <v>25000</v>
      </c>
      <c r="R69" s="10">
        <f t="shared" si="25"/>
        <v>25000</v>
      </c>
      <c r="S69" s="10">
        <f t="shared" si="25"/>
        <v>25000</v>
      </c>
      <c r="T69" s="171"/>
      <c r="U69" s="10">
        <f t="shared" si="14"/>
        <v>25000</v>
      </c>
      <c r="V69" s="10">
        <f t="shared" si="15"/>
        <v>125000</v>
      </c>
    </row>
    <row r="70" spans="3:22" hidden="1" outlineLevel="1" x14ac:dyDescent="0.35">
      <c r="E70" s="10" t="str">
        <f>InpC!$E$36</f>
        <v>Portsmouth Water</v>
      </c>
      <c r="F70" s="10" t="str">
        <f>InpC!$F$36</f>
        <v>PRT</v>
      </c>
      <c r="G70" s="22" t="str">
        <f t="shared" si="12"/>
        <v>nr</v>
      </c>
      <c r="J70" s="10">
        <f t="shared" ref="J70:S70" si="26">IF(ISBLANK(J47),J24,J47)</f>
        <v>0</v>
      </c>
      <c r="K70" s="10">
        <f t="shared" si="26"/>
        <v>0</v>
      </c>
      <c r="L70" s="10">
        <f t="shared" si="26"/>
        <v>0</v>
      </c>
      <c r="M70" s="10">
        <f t="shared" si="26"/>
        <v>4120</v>
      </c>
      <c r="N70" s="10">
        <f t="shared" si="26"/>
        <v>5857</v>
      </c>
      <c r="O70" s="10">
        <f t="shared" si="26"/>
        <v>6957</v>
      </c>
      <c r="P70" s="10">
        <f t="shared" si="26"/>
        <v>7569</v>
      </c>
      <c r="Q70" s="10">
        <f t="shared" si="26"/>
        <v>6957</v>
      </c>
      <c r="R70" s="10">
        <f t="shared" si="26"/>
        <v>6957</v>
      </c>
      <c r="S70" s="10">
        <f t="shared" si="26"/>
        <v>6957</v>
      </c>
      <c r="T70" s="171"/>
      <c r="U70" s="10">
        <f t="shared" si="14"/>
        <v>7079.4</v>
      </c>
      <c r="V70" s="10">
        <f t="shared" si="15"/>
        <v>35397</v>
      </c>
    </row>
    <row r="71" spans="3:22" hidden="1" outlineLevel="1" x14ac:dyDescent="0.35">
      <c r="E71" s="10" t="str">
        <f>InpC!$E$37</f>
        <v>South East Water</v>
      </c>
      <c r="F71" s="10" t="str">
        <f>InpC!$F$37</f>
        <v>SEW</v>
      </c>
      <c r="G71" s="22" t="str">
        <f t="shared" si="12"/>
        <v>nr</v>
      </c>
      <c r="J71" s="10">
        <f t="shared" ref="J71:S71" si="27">IF(ISBLANK(J48),J25,J48)</f>
        <v>24470</v>
      </c>
      <c r="K71" s="10">
        <f t="shared" si="27"/>
        <v>22888</v>
      </c>
      <c r="L71" s="10">
        <f t="shared" si="27"/>
        <v>18931</v>
      </c>
      <c r="M71" s="10">
        <f t="shared" si="27"/>
        <v>21517</v>
      </c>
      <c r="N71" s="10">
        <f t="shared" si="27"/>
        <v>21662</v>
      </c>
      <c r="O71" s="10">
        <f t="shared" si="27"/>
        <v>21749</v>
      </c>
      <c r="P71" s="10">
        <f t="shared" si="27"/>
        <v>21827</v>
      </c>
      <c r="Q71" s="10">
        <f t="shared" si="27"/>
        <v>21936</v>
      </c>
      <c r="R71" s="10">
        <f t="shared" si="27"/>
        <v>22070</v>
      </c>
      <c r="S71" s="10">
        <f t="shared" si="27"/>
        <v>22253</v>
      </c>
      <c r="T71" s="171"/>
      <c r="U71" s="10">
        <f t="shared" si="14"/>
        <v>21967</v>
      </c>
      <c r="V71" s="10">
        <f t="shared" si="15"/>
        <v>109835</v>
      </c>
    </row>
    <row r="72" spans="3:22" hidden="1" outlineLevel="1" x14ac:dyDescent="0.35">
      <c r="E72" s="10" t="str">
        <f>InpC!$E$38</f>
        <v>South Staffs Water</v>
      </c>
      <c r="F72" s="10" t="str">
        <f>InpC!$F$38</f>
        <v>SSC</v>
      </c>
      <c r="G72" s="22" t="str">
        <f t="shared" si="12"/>
        <v>nr</v>
      </c>
      <c r="J72" s="10">
        <f t="shared" ref="J72:S72" si="28">IF(ISBLANK(J49),J26,J49)</f>
        <v>6108</v>
      </c>
      <c r="K72" s="10">
        <f t="shared" si="28"/>
        <v>4117</v>
      </c>
      <c r="L72" s="10">
        <f t="shared" si="28"/>
        <v>9974</v>
      </c>
      <c r="M72" s="10">
        <f t="shared" si="28"/>
        <v>9974</v>
      </c>
      <c r="N72" s="10">
        <f t="shared" si="28"/>
        <v>9974</v>
      </c>
      <c r="O72" s="10">
        <f t="shared" si="28"/>
        <v>9974</v>
      </c>
      <c r="P72" s="10">
        <f t="shared" si="28"/>
        <v>9974</v>
      </c>
      <c r="Q72" s="10">
        <f t="shared" si="28"/>
        <v>9974</v>
      </c>
      <c r="R72" s="10">
        <f t="shared" si="28"/>
        <v>9974</v>
      </c>
      <c r="S72" s="10">
        <f t="shared" si="28"/>
        <v>9974</v>
      </c>
      <c r="T72" s="171"/>
      <c r="U72" s="10">
        <f t="shared" si="14"/>
        <v>9974</v>
      </c>
      <c r="V72" s="10">
        <f t="shared" si="15"/>
        <v>49870</v>
      </c>
    </row>
    <row r="73" spans="3:22" hidden="1" outlineLevel="1" x14ac:dyDescent="0.35">
      <c r="E73" s="10" t="str">
        <f>InpC!$E$39</f>
        <v>SES Water</v>
      </c>
      <c r="F73" s="10" t="str">
        <f>InpC!$F$39</f>
        <v>SES</v>
      </c>
      <c r="G73" s="22" t="str">
        <f t="shared" si="12"/>
        <v>nr</v>
      </c>
      <c r="J73" s="10">
        <f t="shared" ref="J73:S73" si="29">IF(ISBLANK(J50),J27,J50)</f>
        <v>3538</v>
      </c>
      <c r="K73" s="10">
        <f t="shared" si="29"/>
        <v>7606</v>
      </c>
      <c r="L73" s="10">
        <f t="shared" si="29"/>
        <v>6275</v>
      </c>
      <c r="M73" s="10">
        <f t="shared" si="29"/>
        <v>248</v>
      </c>
      <c r="N73" s="10">
        <f t="shared" si="29"/>
        <v>6650</v>
      </c>
      <c r="O73" s="10">
        <f t="shared" si="29"/>
        <v>6650</v>
      </c>
      <c r="P73" s="10">
        <f t="shared" si="29"/>
        <v>6650</v>
      </c>
      <c r="Q73" s="10">
        <f t="shared" si="29"/>
        <v>6650</v>
      </c>
      <c r="R73" s="10">
        <f t="shared" si="29"/>
        <v>6650</v>
      </c>
      <c r="S73" s="10">
        <f t="shared" si="29"/>
        <v>6650</v>
      </c>
      <c r="T73" s="171"/>
      <c r="U73" s="10">
        <f t="shared" si="14"/>
        <v>6650</v>
      </c>
      <c r="V73" s="10">
        <f t="shared" si="15"/>
        <v>33250</v>
      </c>
    </row>
    <row r="74" spans="3:22" hidden="1" outlineLevel="1" x14ac:dyDescent="0.35">
      <c r="E74" s="10" t="str">
        <f>InpC!$E$40</f>
        <v>South West Water</v>
      </c>
      <c r="F74" s="10" t="str">
        <f>InpC!$F$40</f>
        <v>SWB</v>
      </c>
      <c r="G74" s="22" t="str">
        <f t="shared" si="12"/>
        <v>nr</v>
      </c>
      <c r="J74" s="10">
        <f t="shared" ref="J74:S74" si="30">IF(ISBLANK(J51),J28,J51)</f>
        <v>0</v>
      </c>
      <c r="K74" s="10">
        <f t="shared" si="30"/>
        <v>0</v>
      </c>
      <c r="L74" s="10">
        <f t="shared" si="30"/>
        <v>0</v>
      </c>
      <c r="M74" s="10">
        <f t="shared" si="30"/>
        <v>4597</v>
      </c>
      <c r="N74" s="10">
        <f t="shared" si="30"/>
        <v>24250</v>
      </c>
      <c r="O74" s="10">
        <f t="shared" si="30"/>
        <v>22523</v>
      </c>
      <c r="P74" s="10">
        <f t="shared" si="30"/>
        <v>22523</v>
      </c>
      <c r="Q74" s="10">
        <f t="shared" si="30"/>
        <v>22523</v>
      </c>
      <c r="R74" s="10">
        <f t="shared" si="30"/>
        <v>22523</v>
      </c>
      <c r="S74" s="10">
        <f t="shared" si="30"/>
        <v>22523</v>
      </c>
      <c r="T74" s="171"/>
      <c r="U74" s="10">
        <f t="shared" si="14"/>
        <v>22523</v>
      </c>
      <c r="V74" s="10">
        <f t="shared" si="15"/>
        <v>112615</v>
      </c>
    </row>
    <row r="75" spans="3:22" hidden="1" outlineLevel="1" x14ac:dyDescent="0.35">
      <c r="E75" s="10" t="str">
        <f>InpC!$E$41</f>
        <v>Bristol Water</v>
      </c>
      <c r="F75" s="10" t="str">
        <f>InpC!$F$41</f>
        <v>BRL</v>
      </c>
      <c r="G75" s="22" t="str">
        <f t="shared" si="12"/>
        <v>nr</v>
      </c>
      <c r="J75" s="10">
        <f t="shared" ref="J75:S75" si="31">IF(ISBLANK(J52),J29,J52)</f>
        <v>181</v>
      </c>
      <c r="K75" s="10">
        <f t="shared" si="31"/>
        <v>11681</v>
      </c>
      <c r="L75" s="10">
        <f t="shared" si="31"/>
        <v>13989</v>
      </c>
      <c r="M75" s="10">
        <f t="shared" si="31"/>
        <v>14099</v>
      </c>
      <c r="N75" s="10">
        <f t="shared" si="31"/>
        <v>13989</v>
      </c>
      <c r="O75" s="10">
        <f t="shared" si="31"/>
        <v>22523</v>
      </c>
      <c r="P75" s="10">
        <f t="shared" si="31"/>
        <v>22523</v>
      </c>
      <c r="Q75" s="10">
        <f t="shared" si="31"/>
        <v>22523</v>
      </c>
      <c r="R75" s="10">
        <f t="shared" si="31"/>
        <v>22523</v>
      </c>
      <c r="S75" s="10">
        <f t="shared" si="31"/>
        <v>22523</v>
      </c>
      <c r="T75" s="171"/>
      <c r="U75" s="10">
        <f t="shared" si="14"/>
        <v>22523</v>
      </c>
      <c r="V75" s="10">
        <f t="shared" si="15"/>
        <v>112615</v>
      </c>
    </row>
    <row r="76" spans="3:22" hidden="1" outlineLevel="1" x14ac:dyDescent="0.35">
      <c r="E76" s="10" t="s">
        <v>147</v>
      </c>
      <c r="G76" s="22" t="str">
        <f t="shared" si="12"/>
        <v>nr</v>
      </c>
      <c r="J76" s="170">
        <f>SUM(J59:J75)</f>
        <v>253044.67380817462</v>
      </c>
      <c r="K76" s="170">
        <f t="shared" ref="K76:S76" si="32">SUM(K59:K75)</f>
        <v>337032.02820138069</v>
      </c>
      <c r="L76" s="170">
        <f t="shared" si="32"/>
        <v>347233.19091949635</v>
      </c>
      <c r="M76" s="170">
        <f t="shared" si="32"/>
        <v>293694.91434188915</v>
      </c>
      <c r="N76" s="170">
        <f t="shared" si="32"/>
        <v>347672.05620140844</v>
      </c>
      <c r="O76" s="170">
        <f t="shared" si="32"/>
        <v>379422.48442042252</v>
      </c>
      <c r="P76" s="170">
        <f t="shared" si="32"/>
        <v>381059.91078380286</v>
      </c>
      <c r="Q76" s="170">
        <f t="shared" si="32"/>
        <v>381523.86314718309</v>
      </c>
      <c r="R76" s="170">
        <f t="shared" si="32"/>
        <v>382621.45065070421</v>
      </c>
      <c r="S76" s="170">
        <f t="shared" si="32"/>
        <v>383790.90101408452</v>
      </c>
      <c r="T76" s="171"/>
      <c r="U76" s="170">
        <f t="shared" ref="U76:V76" si="33">SUM(U59:U75)</f>
        <v>381683.7220032395</v>
      </c>
      <c r="V76" s="170">
        <f t="shared" si="33"/>
        <v>1908418.6100161974</v>
      </c>
    </row>
    <row r="77" spans="3:22" x14ac:dyDescent="0.35">
      <c r="J77" s="148"/>
      <c r="K77" s="148"/>
      <c r="L77" s="148"/>
      <c r="M77" s="148"/>
      <c r="N77" s="148"/>
      <c r="O77" s="148"/>
      <c r="P77" s="148"/>
      <c r="Q77" s="148"/>
      <c r="R77" s="148"/>
      <c r="S77" s="148"/>
      <c r="U77" s="148"/>
      <c r="V77" s="148"/>
    </row>
    <row r="78" spans="3:22" x14ac:dyDescent="0.35">
      <c r="C78" s="5" t="str">
        <f>InpC!$F$53</f>
        <v>WWS1108CAS</v>
      </c>
      <c r="D78" s="5" t="str">
        <f>InpC!$E$53</f>
        <v>Traffic Management Act - Projects incurring costs associated with Traffic Management Act - Total</v>
      </c>
      <c r="F78" s="131">
        <v>6</v>
      </c>
      <c r="G78" s="22" t="s">
        <v>125</v>
      </c>
      <c r="J78" s="74">
        <f>J$2</f>
        <v>44286</v>
      </c>
      <c r="K78" s="74">
        <f t="shared" ref="K78:V78" si="34">K$2</f>
        <v>44651</v>
      </c>
      <c r="L78" s="74">
        <f t="shared" si="34"/>
        <v>45016</v>
      </c>
      <c r="M78" s="74">
        <f t="shared" si="34"/>
        <v>45382</v>
      </c>
      <c r="N78" s="74">
        <f t="shared" si="34"/>
        <v>45747</v>
      </c>
      <c r="O78" s="74">
        <f t="shared" si="34"/>
        <v>46112</v>
      </c>
      <c r="P78" s="74">
        <f t="shared" si="34"/>
        <v>46477</v>
      </c>
      <c r="Q78" s="74">
        <f t="shared" si="34"/>
        <v>46843</v>
      </c>
      <c r="R78" s="74">
        <f t="shared" si="34"/>
        <v>47208</v>
      </c>
      <c r="S78" s="74">
        <f t="shared" si="34"/>
        <v>47573</v>
      </c>
      <c r="U78" s="74" t="str">
        <f t="shared" si="34"/>
        <v>PR24 Average</v>
      </c>
      <c r="V78" s="74" t="str">
        <f t="shared" si="34"/>
        <v>PR24 Total</v>
      </c>
    </row>
    <row r="79" spans="3:22" x14ac:dyDescent="0.35">
      <c r="C79" s="5" t="str">
        <f>INDEX(InpC!$G$57:$G$62,'TMA Projects'!F78,)</f>
        <v>CWW2_018TOT_PR24</v>
      </c>
      <c r="D79" s="5" t="str">
        <f>INDEX(InpC!$G$48:$G$53,'TMA Projects'!F78,)</f>
        <v>Traffic Management Act - Projects incurring costs associated with Traffic Management Act - Total</v>
      </c>
      <c r="G79" s="22" t="s">
        <v>126</v>
      </c>
      <c r="J79" s="74"/>
      <c r="K79" s="74"/>
      <c r="L79" s="74"/>
      <c r="M79" s="74"/>
      <c r="N79" s="74"/>
      <c r="O79" s="74"/>
      <c r="P79" s="74"/>
      <c r="Q79" s="74"/>
      <c r="R79" s="74"/>
      <c r="S79" s="74"/>
      <c r="U79" s="74"/>
      <c r="V79" s="74"/>
    </row>
    <row r="80" spans="3:22" collapsed="1" x14ac:dyDescent="0.35">
      <c r="E80" s="5" t="s">
        <v>182</v>
      </c>
    </row>
    <row r="81" spans="5:22" hidden="1" outlineLevel="1" x14ac:dyDescent="0.35"/>
    <row r="82" spans="5:22" hidden="1" outlineLevel="1" x14ac:dyDescent="0.35">
      <c r="E82" s="10" t="str">
        <f>InpC!$E$25</f>
        <v>Anglian Water</v>
      </c>
      <c r="F82" s="10" t="str">
        <f>InpC!$F$25</f>
        <v>ANH</v>
      </c>
      <c r="G82" s="22" t="s">
        <v>39</v>
      </c>
      <c r="J82" s="10">
        <f>SUMIFS('Consolidated Input'!F$6:F$209,'Consolidated Input'!$A$6:$A$209,$F82,'Consolidated Input'!$B$6:$B$209,$C$78)</f>
        <v>2322</v>
      </c>
      <c r="K82" s="10">
        <f>SUMIFS('Consolidated Input'!G$6:G$209,'Consolidated Input'!$A$6:$A$209,$F82,'Consolidated Input'!$B$6:$B$209,$C$78)</f>
        <v>1734</v>
      </c>
      <c r="L82" s="10">
        <f>SUMIFS('Consolidated Input'!H$6:H$209,'Consolidated Input'!$A$6:$A$209,$F82,'Consolidated Input'!$B$6:$B$209,$C$78)</f>
        <v>870</v>
      </c>
      <c r="M82" s="10">
        <f>SUMIFS('Consolidated Input'!S$6:S$209,'Consolidated Input'!$A$6:$A$209,$F82,'Consolidated Input'!$B$6:$B$209,$C$79)</f>
        <v>701</v>
      </c>
      <c r="N82" s="10">
        <f>SUMIFS('Consolidated Input'!T$6:T$209,'Consolidated Input'!$A$6:$A$209,$F82,'Consolidated Input'!$B$6:$B$209,$C$79)</f>
        <v>900</v>
      </c>
      <c r="O82" s="10">
        <f>SUMIFS('Consolidated Input'!U$6:U$209,'Consolidated Input'!$A$6:$A$209,$F82,'Consolidated Input'!$B$6:$B$209,$C$79)</f>
        <v>900</v>
      </c>
      <c r="P82" s="10">
        <f>SUMIFS('Consolidated Input'!V$6:V$209,'Consolidated Input'!$A$6:$A$209,$F82,'Consolidated Input'!$B$6:$B$209,$C$79)</f>
        <v>900</v>
      </c>
      <c r="Q82" s="10">
        <f>SUMIFS('Consolidated Input'!W$6:W$209,'Consolidated Input'!$A$6:$A$209,$F82,'Consolidated Input'!$B$6:$B$209,$C$79)</f>
        <v>900</v>
      </c>
      <c r="R82" s="10">
        <f>SUMIFS('Consolidated Input'!X$6:X$209,'Consolidated Input'!$A$6:$A$209,$F82,'Consolidated Input'!$B$6:$B$209,$C$79)</f>
        <v>900</v>
      </c>
      <c r="S82" s="10">
        <f>SUMIFS('Consolidated Input'!Y$6:Y$209,'Consolidated Input'!$A$6:$A$209,$F82,'Consolidated Input'!$B$6:$B$209,$C$79)</f>
        <v>900</v>
      </c>
      <c r="T82" s="171"/>
      <c r="U82" s="10">
        <f t="shared" ref="U82:U98" si="35">IFERROR(AVERAGE(O82:S82),0)</f>
        <v>900</v>
      </c>
      <c r="V82" s="10">
        <f t="shared" ref="V82:V98" si="36">SUM(O82:S82)</f>
        <v>4500</v>
      </c>
    </row>
    <row r="83" spans="5:22" hidden="1" outlineLevel="1" x14ac:dyDescent="0.35">
      <c r="E83" s="10" t="str">
        <f>InpC!$E$26</f>
        <v>Dŵr Cymru</v>
      </c>
      <c r="F83" s="10" t="str">
        <f>InpC!$F$26</f>
        <v>WSH</v>
      </c>
      <c r="G83" s="22" t="s">
        <v>39</v>
      </c>
      <c r="J83" s="10">
        <f>SUMIFS('Consolidated Input'!F$6:F$209,'Consolidated Input'!$A$6:$A$209,$F83,'Consolidated Input'!$B$6:$B$209,$C$78)</f>
        <v>832</v>
      </c>
      <c r="K83" s="10">
        <f>SUMIFS('Consolidated Input'!G$6:G$209,'Consolidated Input'!$A$6:$A$209,$F83,'Consolidated Input'!$B$6:$B$209,$C$78)</f>
        <v>0</v>
      </c>
      <c r="L83" s="10">
        <f>SUMIFS('Consolidated Input'!H$6:H$209,'Consolidated Input'!$A$6:$A$209,$F83,'Consolidated Input'!$B$6:$B$209,$C$78)</f>
        <v>323</v>
      </c>
      <c r="M83" s="10">
        <f>SUMIFS('Consolidated Input'!S$6:S$209,'Consolidated Input'!$A$6:$A$209,$F83,'Consolidated Input'!$B$6:$B$209,$C$79)</f>
        <v>421</v>
      </c>
      <c r="N83" s="10">
        <f>SUMIFS('Consolidated Input'!T$6:T$209,'Consolidated Input'!$A$6:$A$209,$F83,'Consolidated Input'!$B$6:$B$209,$C$79)</f>
        <v>152.81800000000001</v>
      </c>
      <c r="O83" s="10">
        <f>SUMIFS('Consolidated Input'!U$6:U$209,'Consolidated Input'!$A$6:$A$209,$F83,'Consolidated Input'!$B$6:$B$209,$C$79)</f>
        <v>90.3</v>
      </c>
      <c r="P83" s="10">
        <f>SUMIFS('Consolidated Input'!V$6:V$209,'Consolidated Input'!$A$6:$A$209,$F83,'Consolidated Input'!$B$6:$B$209,$C$79)</f>
        <v>86.826999999999998</v>
      </c>
      <c r="Q83" s="10">
        <f>SUMIFS('Consolidated Input'!W$6:W$209,'Consolidated Input'!$A$6:$A$209,$F83,'Consolidated Input'!$B$6:$B$209,$C$79)</f>
        <v>86.826999999999998</v>
      </c>
      <c r="R83" s="10">
        <f>SUMIFS('Consolidated Input'!X$6:X$209,'Consolidated Input'!$A$6:$A$209,$F83,'Consolidated Input'!$B$6:$B$209,$C$79)</f>
        <v>83.353999999999999</v>
      </c>
      <c r="S83" s="10">
        <f>SUMIFS('Consolidated Input'!Y$6:Y$209,'Consolidated Input'!$A$6:$A$209,$F83,'Consolidated Input'!$B$6:$B$209,$C$79)</f>
        <v>83.353999999999999</v>
      </c>
      <c r="T83" s="171"/>
      <c r="U83" s="10">
        <f t="shared" si="35"/>
        <v>86.13239999999999</v>
      </c>
      <c r="V83" s="10">
        <f t="shared" si="36"/>
        <v>430.66199999999998</v>
      </c>
    </row>
    <row r="84" spans="5:22" hidden="1" outlineLevel="1" x14ac:dyDescent="0.35">
      <c r="E84" s="10" t="str">
        <f>InpC!$E$27</f>
        <v>Hafren Dyfrdwy</v>
      </c>
      <c r="F84" s="10" t="str">
        <f>InpC!$F$27</f>
        <v>HDD</v>
      </c>
      <c r="G84" s="22" t="s">
        <v>39</v>
      </c>
      <c r="J84" s="10">
        <f>SUMIFS('Consolidated Input'!F$6:F$209,'Consolidated Input'!$A$6:$A$209,$F84,'Consolidated Input'!$B$6:$B$209,$C$78)</f>
        <v>0</v>
      </c>
      <c r="K84" s="10">
        <f>SUMIFS('Consolidated Input'!G$6:G$209,'Consolidated Input'!$A$6:$A$209,$F84,'Consolidated Input'!$B$6:$B$209,$C$78)</f>
        <v>0</v>
      </c>
      <c r="L84" s="10">
        <f>SUMIFS('Consolidated Input'!H$6:H$209,'Consolidated Input'!$A$6:$A$209,$F84,'Consolidated Input'!$B$6:$B$209,$C$78)</f>
        <v>0</v>
      </c>
      <c r="M84" s="10">
        <f>SUMIFS('Consolidated Input'!S$6:S$209,'Consolidated Input'!$A$6:$A$209,$F84,'Consolidated Input'!$B$6:$B$209,$C$79)</f>
        <v>0</v>
      </c>
      <c r="N84" s="10">
        <f>SUMIFS('Consolidated Input'!T$6:T$209,'Consolidated Input'!$A$6:$A$209,$F84,'Consolidated Input'!$B$6:$B$209,$C$79)</f>
        <v>0</v>
      </c>
      <c r="O84" s="10">
        <f>SUMIFS('Consolidated Input'!U$6:U$209,'Consolidated Input'!$A$6:$A$209,$F84,'Consolidated Input'!$B$6:$B$209,$C$79)</f>
        <v>0</v>
      </c>
      <c r="P84" s="10">
        <f>SUMIFS('Consolidated Input'!V$6:V$209,'Consolidated Input'!$A$6:$A$209,$F84,'Consolidated Input'!$B$6:$B$209,$C$79)</f>
        <v>0</v>
      </c>
      <c r="Q84" s="10">
        <f>SUMIFS('Consolidated Input'!W$6:W$209,'Consolidated Input'!$A$6:$A$209,$F84,'Consolidated Input'!$B$6:$B$209,$C$79)</f>
        <v>0</v>
      </c>
      <c r="R84" s="10">
        <f>SUMIFS('Consolidated Input'!X$6:X$209,'Consolidated Input'!$A$6:$A$209,$F84,'Consolidated Input'!$B$6:$B$209,$C$79)</f>
        <v>0</v>
      </c>
      <c r="S84" s="10">
        <f>SUMIFS('Consolidated Input'!Y$6:Y$209,'Consolidated Input'!$A$6:$A$209,$F84,'Consolidated Input'!$B$6:$B$209,$C$79)</f>
        <v>0</v>
      </c>
      <c r="T84" s="171"/>
      <c r="U84" s="10">
        <f t="shared" si="35"/>
        <v>0</v>
      </c>
      <c r="V84" s="10">
        <f t="shared" si="36"/>
        <v>0</v>
      </c>
    </row>
    <row r="85" spans="5:22" hidden="1" outlineLevel="1" x14ac:dyDescent="0.35">
      <c r="E85" s="10" t="str">
        <f>InpC!$E$28</f>
        <v>Northumbrian Water</v>
      </c>
      <c r="F85" s="10" t="str">
        <f>InpC!$F$28</f>
        <v>NES</v>
      </c>
      <c r="G85" s="22" t="s">
        <v>39</v>
      </c>
      <c r="J85" s="10">
        <f>SUMIFS('Consolidated Input'!F$6:F$209,'Consolidated Input'!$A$6:$A$209,$F85,'Consolidated Input'!$B$6:$B$209,$C$78)</f>
        <v>5957</v>
      </c>
      <c r="K85" s="10">
        <f>SUMIFS('Consolidated Input'!G$6:G$209,'Consolidated Input'!$A$6:$A$209,$F85,'Consolidated Input'!$B$6:$B$209,$C$78)</f>
        <v>747</v>
      </c>
      <c r="L85" s="10">
        <f>SUMIFS('Consolidated Input'!H$6:H$209,'Consolidated Input'!$A$6:$A$209,$F85,'Consolidated Input'!$B$6:$B$209,$C$78)</f>
        <v>402</v>
      </c>
      <c r="M85" s="10">
        <f>SUMIFS('Consolidated Input'!S$6:S$209,'Consolidated Input'!$A$6:$A$209,$F85,'Consolidated Input'!$B$6:$B$209,$C$79)</f>
        <v>209</v>
      </c>
      <c r="N85" s="10">
        <f>SUMIFS('Consolidated Input'!T$6:T$209,'Consolidated Input'!$A$6:$A$209,$F85,'Consolidated Input'!$B$6:$B$209,$C$79)</f>
        <v>402</v>
      </c>
      <c r="O85" s="10">
        <f>SUMIFS('Consolidated Input'!U$6:U$209,'Consolidated Input'!$A$6:$A$209,$F85,'Consolidated Input'!$B$6:$B$209,$C$79)</f>
        <v>402</v>
      </c>
      <c r="P85" s="10">
        <f>SUMIFS('Consolidated Input'!V$6:V$209,'Consolidated Input'!$A$6:$A$209,$F85,'Consolidated Input'!$B$6:$B$209,$C$79)</f>
        <v>402</v>
      </c>
      <c r="Q85" s="10">
        <f>SUMIFS('Consolidated Input'!W$6:W$209,'Consolidated Input'!$A$6:$A$209,$F85,'Consolidated Input'!$B$6:$B$209,$C$79)</f>
        <v>402</v>
      </c>
      <c r="R85" s="10">
        <f>SUMIFS('Consolidated Input'!X$6:X$209,'Consolidated Input'!$A$6:$A$209,$F85,'Consolidated Input'!$B$6:$B$209,$C$79)</f>
        <v>402</v>
      </c>
      <c r="S85" s="10">
        <f>SUMIFS('Consolidated Input'!Y$6:Y$209,'Consolidated Input'!$A$6:$A$209,$F85,'Consolidated Input'!$B$6:$B$209,$C$79)</f>
        <v>402</v>
      </c>
      <c r="T85" s="171"/>
      <c r="U85" s="10">
        <f t="shared" si="35"/>
        <v>402</v>
      </c>
      <c r="V85" s="10">
        <f t="shared" si="36"/>
        <v>2010</v>
      </c>
    </row>
    <row r="86" spans="5:22" hidden="1" outlineLevel="1" x14ac:dyDescent="0.35">
      <c r="E86" s="10" t="str">
        <f>InpC!$E$29</f>
        <v>Severn Trent Water</v>
      </c>
      <c r="F86" s="10" t="str">
        <f>InpC!$F$29</f>
        <v>SVE</v>
      </c>
      <c r="G86" s="22" t="s">
        <v>39</v>
      </c>
      <c r="J86" s="10">
        <f>SUMIFS('Consolidated Input'!F$6:F$209,'Consolidated Input'!$A$6:$A$209,$F86,'Consolidated Input'!$B$6:$B$209,$C$78)</f>
        <v>24</v>
      </c>
      <c r="K86" s="10">
        <f>SUMIFS('Consolidated Input'!G$6:G$209,'Consolidated Input'!$A$6:$A$209,$F86,'Consolidated Input'!$B$6:$B$209,$C$78)</f>
        <v>2142.5826656898398</v>
      </c>
      <c r="L86" s="10">
        <f>SUMIFS('Consolidated Input'!H$6:H$209,'Consolidated Input'!$A$6:$A$209,$F86,'Consolidated Input'!$B$6:$B$209,$C$78)</f>
        <v>178</v>
      </c>
      <c r="M86" s="10">
        <f>SUMIFS('Consolidated Input'!S$6:S$209,'Consolidated Input'!$A$6:$A$209,$F86,'Consolidated Input'!$B$6:$B$209,$C$79)</f>
        <v>750.05178911538451</v>
      </c>
      <c r="N86" s="10">
        <f>SUMIFS('Consolidated Input'!T$6:T$209,'Consolidated Input'!$A$6:$A$209,$F86,'Consolidated Input'!$B$6:$B$209,$C$79)</f>
        <v>5407.268567163791</v>
      </c>
      <c r="O86" s="10">
        <f>SUMIFS('Consolidated Input'!U$6:U$209,'Consolidated Input'!$A$6:$A$209,$F86,'Consolidated Input'!$B$6:$B$209,$C$79)</f>
        <v>5440.1926259542543</v>
      </c>
      <c r="P86" s="10">
        <f>SUMIFS('Consolidated Input'!V$6:V$209,'Consolidated Input'!$A$6:$A$209,$F86,'Consolidated Input'!$B$6:$B$209,$C$79)</f>
        <v>5473.317105308538</v>
      </c>
      <c r="Q86" s="10">
        <f>SUMIFS('Consolidated Input'!W$6:W$209,'Consolidated Input'!$A$6:$A$209,$F86,'Consolidated Input'!$B$6:$B$209,$C$79)</f>
        <v>5506.6433542240193</v>
      </c>
      <c r="R86" s="10">
        <f>SUMIFS('Consolidated Input'!X$6:X$209,'Consolidated Input'!$A$6:$A$209,$F86,'Consolidated Input'!$B$6:$B$209,$C$79)</f>
        <v>5540.172451964404</v>
      </c>
      <c r="S86" s="10">
        <f>SUMIFS('Consolidated Input'!Y$6:Y$209,'Consolidated Input'!$A$6:$A$209,$F86,'Consolidated Input'!$B$6:$B$209,$C$79)</f>
        <v>5573.9057723024243</v>
      </c>
      <c r="T86" s="171"/>
      <c r="U86" s="10">
        <f t="shared" si="35"/>
        <v>5506.8462619507281</v>
      </c>
      <c r="V86" s="10">
        <f t="shared" si="36"/>
        <v>27534.231309753639</v>
      </c>
    </row>
    <row r="87" spans="5:22" hidden="1" outlineLevel="1" x14ac:dyDescent="0.35">
      <c r="E87" s="10" t="str">
        <f>InpC!$E$30</f>
        <v>Southern Water</v>
      </c>
      <c r="F87" s="10" t="str">
        <f>InpC!$F$30</f>
        <v>SRN</v>
      </c>
      <c r="G87" s="22" t="s">
        <v>39</v>
      </c>
      <c r="J87" s="10">
        <f>SUMIFS('Consolidated Input'!F$6:F$209,'Consolidated Input'!$A$6:$A$209,$F87,'Consolidated Input'!$B$6:$B$209,$C$78)</f>
        <v>3728</v>
      </c>
      <c r="K87" s="10">
        <f>SUMIFS('Consolidated Input'!G$6:G$209,'Consolidated Input'!$A$6:$A$209,$F87,'Consolidated Input'!$B$6:$B$209,$C$78)</f>
        <v>3776</v>
      </c>
      <c r="L87" s="10">
        <f>SUMIFS('Consolidated Input'!H$6:H$209,'Consolidated Input'!$A$6:$A$209,$F87,'Consolidated Input'!$B$6:$B$209,$C$78)</f>
        <v>4196</v>
      </c>
      <c r="M87" s="10">
        <f>SUMIFS('Consolidated Input'!S$6:S$209,'Consolidated Input'!$A$6:$A$209,$F87,'Consolidated Input'!$B$6:$B$209,$C$79)</f>
        <v>3729</v>
      </c>
      <c r="N87" s="10">
        <f>SUMIFS('Consolidated Input'!T$6:T$209,'Consolidated Input'!$A$6:$A$209,$F87,'Consolidated Input'!$B$6:$B$209,$C$79)</f>
        <v>4000</v>
      </c>
      <c r="O87" s="10">
        <f>SUMIFS('Consolidated Input'!U$6:U$209,'Consolidated Input'!$A$6:$A$209,$F87,'Consolidated Input'!$B$6:$B$209,$C$79)</f>
        <v>4000</v>
      </c>
      <c r="P87" s="10">
        <f>SUMIFS('Consolidated Input'!V$6:V$209,'Consolidated Input'!$A$6:$A$209,$F87,'Consolidated Input'!$B$6:$B$209,$C$79)</f>
        <v>4000</v>
      </c>
      <c r="Q87" s="10">
        <f>SUMIFS('Consolidated Input'!W$6:W$209,'Consolidated Input'!$A$6:$A$209,$F87,'Consolidated Input'!$B$6:$B$209,$C$79)</f>
        <v>4000</v>
      </c>
      <c r="R87" s="10">
        <f>SUMIFS('Consolidated Input'!X$6:X$209,'Consolidated Input'!$A$6:$A$209,$F87,'Consolidated Input'!$B$6:$B$209,$C$79)</f>
        <v>4000</v>
      </c>
      <c r="S87" s="10">
        <f>SUMIFS('Consolidated Input'!Y$6:Y$209,'Consolidated Input'!$A$6:$A$209,$F87,'Consolidated Input'!$B$6:$B$209,$C$79)</f>
        <v>4000</v>
      </c>
      <c r="T87" s="171"/>
      <c r="U87" s="10">
        <f t="shared" si="35"/>
        <v>4000</v>
      </c>
      <c r="V87" s="10">
        <f t="shared" si="36"/>
        <v>20000</v>
      </c>
    </row>
    <row r="88" spans="5:22" hidden="1" outlineLevel="1" x14ac:dyDescent="0.35">
      <c r="E88" s="10" t="str">
        <f>InpC!$E$31</f>
        <v>Thames Water</v>
      </c>
      <c r="F88" s="10" t="str">
        <f>InpC!$F$31</f>
        <v>TMS</v>
      </c>
      <c r="G88" s="22" t="s">
        <v>39</v>
      </c>
      <c r="J88" s="10">
        <f>SUMIFS('Consolidated Input'!F$6:F$209,'Consolidated Input'!$A$6:$A$209,$F88,'Consolidated Input'!$B$6:$B$209,$C$78)</f>
        <v>6751</v>
      </c>
      <c r="K88" s="10">
        <f>SUMIFS('Consolidated Input'!G$6:G$209,'Consolidated Input'!$A$6:$A$209,$F88,'Consolidated Input'!$B$6:$B$209,$C$78)</f>
        <v>14011</v>
      </c>
      <c r="L88" s="10">
        <f>SUMIFS('Consolidated Input'!H$6:H$209,'Consolidated Input'!$A$6:$A$209,$F88,'Consolidated Input'!$B$6:$B$209,$C$78)</f>
        <v>7130</v>
      </c>
      <c r="M88" s="10">
        <f>SUMIFS('Consolidated Input'!S$6:S$209,'Consolidated Input'!$A$6:$A$209,$F88,'Consolidated Input'!$B$6:$B$209,$C$79)</f>
        <v>6725</v>
      </c>
      <c r="N88" s="10">
        <f>SUMIFS('Consolidated Input'!T$6:T$209,'Consolidated Input'!$A$6:$A$209,$F88,'Consolidated Input'!$B$6:$B$209,$C$79)</f>
        <v>7091</v>
      </c>
      <c r="O88" s="10">
        <f>SUMIFS('Consolidated Input'!U$6:U$209,'Consolidated Input'!$A$6:$A$209,$F88,'Consolidated Input'!$B$6:$B$209,$C$79)</f>
        <v>7143</v>
      </c>
      <c r="P88" s="10">
        <f>SUMIFS('Consolidated Input'!V$6:V$209,'Consolidated Input'!$A$6:$A$209,$F88,'Consolidated Input'!$B$6:$B$209,$C$79)</f>
        <v>7163</v>
      </c>
      <c r="Q88" s="10">
        <f>SUMIFS('Consolidated Input'!W$6:W$209,'Consolidated Input'!$A$6:$A$209,$F88,'Consolidated Input'!$B$6:$B$209,$C$79)</f>
        <v>7184</v>
      </c>
      <c r="R88" s="10">
        <f>SUMIFS('Consolidated Input'!X$6:X$209,'Consolidated Input'!$A$6:$A$209,$F88,'Consolidated Input'!$B$6:$B$209,$C$79)</f>
        <v>7206</v>
      </c>
      <c r="S88" s="10">
        <f>SUMIFS('Consolidated Input'!Y$6:Y$209,'Consolidated Input'!$A$6:$A$209,$F88,'Consolidated Input'!$B$6:$B$209,$C$79)</f>
        <v>7227</v>
      </c>
      <c r="T88" s="171"/>
      <c r="U88" s="10">
        <f t="shared" si="35"/>
        <v>7184.6</v>
      </c>
      <c r="V88" s="10">
        <f t="shared" si="36"/>
        <v>35923</v>
      </c>
    </row>
    <row r="89" spans="5:22" hidden="1" outlineLevel="1" x14ac:dyDescent="0.35">
      <c r="E89" s="10" t="str">
        <f>InpC!$E$32</f>
        <v>United Utilities</v>
      </c>
      <c r="F89" s="10" t="str">
        <f>InpC!$F$32</f>
        <v>NWT</v>
      </c>
      <c r="G89" s="22" t="s">
        <v>39</v>
      </c>
      <c r="J89" s="10">
        <f>SUMIFS('Consolidated Input'!F$6:F$209,'Consolidated Input'!$A$6:$A$209,$F89,'Consolidated Input'!$B$6:$B$209,$C$78)</f>
        <v>3837.0067741360199</v>
      </c>
      <c r="K89" s="10">
        <f>SUMIFS('Consolidated Input'!G$6:G$209,'Consolidated Input'!$A$6:$A$209,$F89,'Consolidated Input'!$B$6:$B$209,$C$78)</f>
        <v>7023</v>
      </c>
      <c r="L89" s="10">
        <f>SUMIFS('Consolidated Input'!H$6:H$209,'Consolidated Input'!$A$6:$A$209,$F89,'Consolidated Input'!$B$6:$B$209,$C$78)</f>
        <v>8236</v>
      </c>
      <c r="M89" s="10">
        <f>SUMIFS('Consolidated Input'!S$6:S$209,'Consolidated Input'!$A$6:$A$209,$F89,'Consolidated Input'!$B$6:$B$209,$C$79)</f>
        <v>5660.9904389117037</v>
      </c>
      <c r="N89" s="10">
        <f>SUMIFS('Consolidated Input'!T$6:T$209,'Consolidated Input'!$A$6:$A$209,$F89,'Consolidated Input'!$B$6:$B$209,$C$79)</f>
        <v>5051</v>
      </c>
      <c r="O89" s="10">
        <f>SUMIFS('Consolidated Input'!U$6:U$209,'Consolidated Input'!$A$6:$A$209,$F89,'Consolidated Input'!$B$6:$B$209,$C$79)</f>
        <v>5088.1029506602217</v>
      </c>
      <c r="P89" s="10">
        <f>SUMIFS('Consolidated Input'!V$6:V$209,'Consolidated Input'!$A$6:$A$209,$F89,'Consolidated Input'!$B$6:$B$209,$C$79)</f>
        <v>5088.1029506602217</v>
      </c>
      <c r="Q89" s="10">
        <f>SUMIFS('Consolidated Input'!W$6:W$209,'Consolidated Input'!$A$6:$A$209,$F89,'Consolidated Input'!$B$6:$B$209,$C$79)</f>
        <v>5088.1029506602217</v>
      </c>
      <c r="R89" s="10">
        <f>SUMIFS('Consolidated Input'!X$6:X$209,'Consolidated Input'!$A$6:$A$209,$F89,'Consolidated Input'!$B$6:$B$209,$C$79)</f>
        <v>5088.1029506602217</v>
      </c>
      <c r="S89" s="10">
        <f>SUMIFS('Consolidated Input'!Y$6:Y$209,'Consolidated Input'!$A$6:$A$209,$F89,'Consolidated Input'!$B$6:$B$209,$C$79)</f>
        <v>5088.1029506602217</v>
      </c>
      <c r="T89" s="171"/>
      <c r="U89" s="10">
        <f t="shared" si="35"/>
        <v>5088.1029506602217</v>
      </c>
      <c r="V89" s="10">
        <f t="shared" si="36"/>
        <v>25440.514753301108</v>
      </c>
    </row>
    <row r="90" spans="5:22" hidden="1" outlineLevel="1" x14ac:dyDescent="0.35">
      <c r="E90" s="10" t="str">
        <f>InpC!$E$33</f>
        <v>Wessex Water</v>
      </c>
      <c r="F90" s="10" t="str">
        <f>InpC!$F$33</f>
        <v>WSX</v>
      </c>
      <c r="G90" s="22" t="s">
        <v>39</v>
      </c>
      <c r="J90" s="10">
        <f>SUMIFS('Consolidated Input'!F$6:F$209,'Consolidated Input'!$A$6:$A$209,$F90,'Consolidated Input'!$B$6:$B$209,$C$78)</f>
        <v>223</v>
      </c>
      <c r="K90" s="10">
        <f>SUMIFS('Consolidated Input'!G$6:G$209,'Consolidated Input'!$A$6:$A$209,$F90,'Consolidated Input'!$B$6:$B$209,$C$78)</f>
        <v>461</v>
      </c>
      <c r="L90" s="10">
        <f>SUMIFS('Consolidated Input'!H$6:H$209,'Consolidated Input'!$A$6:$A$209,$F90,'Consolidated Input'!$B$6:$B$209,$C$78)</f>
        <v>390</v>
      </c>
      <c r="M90" s="10">
        <f>SUMIFS('Consolidated Input'!S$6:S$209,'Consolidated Input'!$A$6:$A$209,$F90,'Consolidated Input'!$B$6:$B$209,$C$79)</f>
        <v>283</v>
      </c>
      <c r="N90" s="10">
        <f>SUMIFS('Consolidated Input'!T$6:T$209,'Consolidated Input'!$A$6:$A$209,$F90,'Consolidated Input'!$B$6:$B$209,$C$79)</f>
        <v>350</v>
      </c>
      <c r="O90" s="10">
        <f>SUMIFS('Consolidated Input'!U$6:U$209,'Consolidated Input'!$A$6:$A$209,$F90,'Consolidated Input'!$B$6:$B$209,$C$79)</f>
        <v>350</v>
      </c>
      <c r="P90" s="10">
        <f>SUMIFS('Consolidated Input'!V$6:V$209,'Consolidated Input'!$A$6:$A$209,$F90,'Consolidated Input'!$B$6:$B$209,$C$79)</f>
        <v>350</v>
      </c>
      <c r="Q90" s="10">
        <f>SUMIFS('Consolidated Input'!W$6:W$209,'Consolidated Input'!$A$6:$A$209,$F90,'Consolidated Input'!$B$6:$B$209,$C$79)</f>
        <v>350</v>
      </c>
      <c r="R90" s="10">
        <f>SUMIFS('Consolidated Input'!X$6:X$209,'Consolidated Input'!$A$6:$A$209,$F90,'Consolidated Input'!$B$6:$B$209,$C$79)</f>
        <v>350</v>
      </c>
      <c r="S90" s="10">
        <f>SUMIFS('Consolidated Input'!Y$6:Y$209,'Consolidated Input'!$A$6:$A$209,$F90,'Consolidated Input'!$B$6:$B$209,$C$79)</f>
        <v>350</v>
      </c>
      <c r="T90" s="171"/>
      <c r="U90" s="10">
        <f t="shared" si="35"/>
        <v>350</v>
      </c>
      <c r="V90" s="10">
        <f t="shared" si="36"/>
        <v>1750</v>
      </c>
    </row>
    <row r="91" spans="5:22" hidden="1" outlineLevel="1" x14ac:dyDescent="0.35">
      <c r="E91" s="10" t="str">
        <f>InpC!$E$34</f>
        <v>Yorkshire Water</v>
      </c>
      <c r="F91" s="10" t="str">
        <f>InpC!$F$34</f>
        <v>YKY</v>
      </c>
      <c r="G91" s="22" t="s">
        <v>39</v>
      </c>
      <c r="J91" s="10">
        <f>SUMIFS('Consolidated Input'!F$6:F$209,'Consolidated Input'!$A$6:$A$209,$F91,'Consolidated Input'!$B$6:$B$209,$C$78)</f>
        <v>1500</v>
      </c>
      <c r="K91" s="10">
        <f>SUMIFS('Consolidated Input'!G$6:G$209,'Consolidated Input'!$A$6:$A$209,$F91,'Consolidated Input'!$B$6:$B$209,$C$78)</f>
        <v>811.94</v>
      </c>
      <c r="L91" s="10">
        <f>SUMIFS('Consolidated Input'!H$6:H$209,'Consolidated Input'!$A$6:$A$209,$F91,'Consolidated Input'!$B$6:$B$209,$C$78)</f>
        <v>811</v>
      </c>
      <c r="M91" s="10">
        <f>SUMIFS('Consolidated Input'!S$6:S$209,'Consolidated Input'!$A$6:$A$209,$F91,'Consolidated Input'!$B$6:$B$209,$C$79)</f>
        <v>1916</v>
      </c>
      <c r="N91" s="10">
        <f>SUMIFS('Consolidated Input'!T$6:T$209,'Consolidated Input'!$A$6:$A$209,$F91,'Consolidated Input'!$B$6:$B$209,$C$79)</f>
        <v>815</v>
      </c>
      <c r="O91" s="10">
        <f>SUMIFS('Consolidated Input'!U$6:U$209,'Consolidated Input'!$A$6:$A$209,$F91,'Consolidated Input'!$B$6:$B$209,$C$79)</f>
        <v>815</v>
      </c>
      <c r="P91" s="10">
        <f>SUMIFS('Consolidated Input'!V$6:V$209,'Consolidated Input'!$A$6:$A$209,$F91,'Consolidated Input'!$B$6:$B$209,$C$79)</f>
        <v>815</v>
      </c>
      <c r="Q91" s="10">
        <f>SUMIFS('Consolidated Input'!W$6:W$209,'Consolidated Input'!$A$6:$A$209,$F91,'Consolidated Input'!$B$6:$B$209,$C$79)</f>
        <v>815</v>
      </c>
      <c r="R91" s="10">
        <f>SUMIFS('Consolidated Input'!X$6:X$209,'Consolidated Input'!$A$6:$A$209,$F91,'Consolidated Input'!$B$6:$B$209,$C$79)</f>
        <v>815</v>
      </c>
      <c r="S91" s="10">
        <f>SUMIFS('Consolidated Input'!Y$6:Y$209,'Consolidated Input'!$A$6:$A$209,$F91,'Consolidated Input'!$B$6:$B$209,$C$79)</f>
        <v>815</v>
      </c>
      <c r="T91" s="171"/>
      <c r="U91" s="10">
        <f t="shared" si="35"/>
        <v>815</v>
      </c>
      <c r="V91" s="10">
        <f t="shared" si="36"/>
        <v>4075</v>
      </c>
    </row>
    <row r="92" spans="5:22" hidden="1" outlineLevel="1" x14ac:dyDescent="0.35">
      <c r="E92" s="10" t="str">
        <f>InpC!$E$35</f>
        <v>Affinity Water</v>
      </c>
      <c r="F92" s="10" t="str">
        <f>InpC!$F$35</f>
        <v>AFW</v>
      </c>
      <c r="G92" s="22" t="s">
        <v>39</v>
      </c>
      <c r="J92" s="10">
        <f>SUMIFS('Consolidated Input'!F$6:F$209,'Consolidated Input'!$A$6:$A$209,$F92,'Consolidated Input'!$B$6:$B$209,$C$78)</f>
        <v>0</v>
      </c>
      <c r="K92" s="10">
        <f>SUMIFS('Consolidated Input'!G$6:G$209,'Consolidated Input'!$A$6:$A$209,$F92,'Consolidated Input'!$B$6:$B$209,$C$78)</f>
        <v>0</v>
      </c>
      <c r="L92" s="10">
        <f>SUMIFS('Consolidated Input'!H$6:H$209,'Consolidated Input'!$A$6:$A$209,$F92,'Consolidated Input'!$B$6:$B$209,$C$78)</f>
        <v>0</v>
      </c>
      <c r="M92" s="10">
        <f>SUMIFS('Consolidated Input'!S$6:S$209,'Consolidated Input'!$A$6:$A$209,$F92,'Consolidated Input'!$B$6:$B$209,$C$79)</f>
        <v>0</v>
      </c>
      <c r="N92" s="10">
        <f>SUMIFS('Consolidated Input'!T$6:T$209,'Consolidated Input'!$A$6:$A$209,$F92,'Consolidated Input'!$B$6:$B$209,$C$79)</f>
        <v>0</v>
      </c>
      <c r="O92" s="10">
        <f>SUMIFS('Consolidated Input'!U$6:U$209,'Consolidated Input'!$A$6:$A$209,$F92,'Consolidated Input'!$B$6:$B$209,$C$79)</f>
        <v>0</v>
      </c>
      <c r="P92" s="10">
        <f>SUMIFS('Consolidated Input'!V$6:V$209,'Consolidated Input'!$A$6:$A$209,$F92,'Consolidated Input'!$B$6:$B$209,$C$79)</f>
        <v>0</v>
      </c>
      <c r="Q92" s="10">
        <f>SUMIFS('Consolidated Input'!W$6:W$209,'Consolidated Input'!$A$6:$A$209,$F92,'Consolidated Input'!$B$6:$B$209,$C$79)</f>
        <v>0</v>
      </c>
      <c r="R92" s="10">
        <f>SUMIFS('Consolidated Input'!X$6:X$209,'Consolidated Input'!$A$6:$A$209,$F92,'Consolidated Input'!$B$6:$B$209,$C$79)</f>
        <v>0</v>
      </c>
      <c r="S92" s="10">
        <f>SUMIFS('Consolidated Input'!Y$6:Y$209,'Consolidated Input'!$A$6:$A$209,$F92,'Consolidated Input'!$B$6:$B$209,$C$79)</f>
        <v>0</v>
      </c>
      <c r="T92" s="171"/>
      <c r="U92" s="10">
        <f t="shared" si="35"/>
        <v>0</v>
      </c>
      <c r="V92" s="10">
        <f t="shared" si="36"/>
        <v>0</v>
      </c>
    </row>
    <row r="93" spans="5:22" hidden="1" outlineLevel="1" x14ac:dyDescent="0.35">
      <c r="E93" s="10" t="str">
        <f>InpC!$E$36</f>
        <v>Portsmouth Water</v>
      </c>
      <c r="F93" s="10" t="str">
        <f>InpC!$F$36</f>
        <v>PRT</v>
      </c>
      <c r="G93" s="22" t="s">
        <v>39</v>
      </c>
      <c r="J93" s="10">
        <f>SUMIFS('Consolidated Input'!F$6:F$209,'Consolidated Input'!$A$6:$A$209,$F93,'Consolidated Input'!$B$6:$B$209,$C$78)</f>
        <v>0</v>
      </c>
      <c r="K93" s="10">
        <f>SUMIFS('Consolidated Input'!G$6:G$209,'Consolidated Input'!$A$6:$A$209,$F93,'Consolidated Input'!$B$6:$B$209,$C$78)</f>
        <v>0</v>
      </c>
      <c r="L93" s="10">
        <f>SUMIFS('Consolidated Input'!H$6:H$209,'Consolidated Input'!$A$6:$A$209,$F93,'Consolidated Input'!$B$6:$B$209,$C$78)</f>
        <v>0</v>
      </c>
      <c r="M93" s="10">
        <f>SUMIFS('Consolidated Input'!S$6:S$209,'Consolidated Input'!$A$6:$A$209,$F93,'Consolidated Input'!$B$6:$B$209,$C$79)</f>
        <v>0</v>
      </c>
      <c r="N93" s="10">
        <f>SUMIFS('Consolidated Input'!T$6:T$209,'Consolidated Input'!$A$6:$A$209,$F93,'Consolidated Input'!$B$6:$B$209,$C$79)</f>
        <v>0</v>
      </c>
      <c r="O93" s="10">
        <f>SUMIFS('Consolidated Input'!U$6:U$209,'Consolidated Input'!$A$6:$A$209,$F93,'Consolidated Input'!$B$6:$B$209,$C$79)</f>
        <v>0</v>
      </c>
      <c r="P93" s="10">
        <f>SUMIFS('Consolidated Input'!V$6:V$209,'Consolidated Input'!$A$6:$A$209,$F93,'Consolidated Input'!$B$6:$B$209,$C$79)</f>
        <v>0</v>
      </c>
      <c r="Q93" s="10">
        <f>SUMIFS('Consolidated Input'!W$6:W$209,'Consolidated Input'!$A$6:$A$209,$F93,'Consolidated Input'!$B$6:$B$209,$C$79)</f>
        <v>0</v>
      </c>
      <c r="R93" s="10">
        <f>SUMIFS('Consolidated Input'!X$6:X$209,'Consolidated Input'!$A$6:$A$209,$F93,'Consolidated Input'!$B$6:$B$209,$C$79)</f>
        <v>0</v>
      </c>
      <c r="S93" s="10">
        <f>SUMIFS('Consolidated Input'!Y$6:Y$209,'Consolidated Input'!$A$6:$A$209,$F93,'Consolidated Input'!$B$6:$B$209,$C$79)</f>
        <v>0</v>
      </c>
      <c r="T93" s="171"/>
      <c r="U93" s="10">
        <f t="shared" si="35"/>
        <v>0</v>
      </c>
      <c r="V93" s="10">
        <f t="shared" si="36"/>
        <v>0</v>
      </c>
    </row>
    <row r="94" spans="5:22" hidden="1" outlineLevel="1" x14ac:dyDescent="0.35">
      <c r="E94" s="10" t="str">
        <f>InpC!$E$37</f>
        <v>South East Water</v>
      </c>
      <c r="F94" s="10" t="str">
        <f>InpC!$F$37</f>
        <v>SEW</v>
      </c>
      <c r="G94" s="22" t="s">
        <v>39</v>
      </c>
      <c r="J94" s="10">
        <f>SUMIFS('Consolidated Input'!F$6:F$209,'Consolidated Input'!$A$6:$A$209,$F94,'Consolidated Input'!$B$6:$B$209,$C$78)</f>
        <v>0</v>
      </c>
      <c r="K94" s="10">
        <f>SUMIFS('Consolidated Input'!G$6:G$209,'Consolidated Input'!$A$6:$A$209,$F94,'Consolidated Input'!$B$6:$B$209,$C$78)</f>
        <v>0</v>
      </c>
      <c r="L94" s="10">
        <f>SUMIFS('Consolidated Input'!H$6:H$209,'Consolidated Input'!$A$6:$A$209,$F94,'Consolidated Input'!$B$6:$B$209,$C$78)</f>
        <v>0</v>
      </c>
      <c r="M94" s="10">
        <f>SUMIFS('Consolidated Input'!S$6:S$209,'Consolidated Input'!$A$6:$A$209,$F94,'Consolidated Input'!$B$6:$B$209,$C$79)</f>
        <v>0</v>
      </c>
      <c r="N94" s="10">
        <f>SUMIFS('Consolidated Input'!T$6:T$209,'Consolidated Input'!$A$6:$A$209,$F94,'Consolidated Input'!$B$6:$B$209,$C$79)</f>
        <v>0</v>
      </c>
      <c r="O94" s="10">
        <f>SUMIFS('Consolidated Input'!U$6:U$209,'Consolidated Input'!$A$6:$A$209,$F94,'Consolidated Input'!$B$6:$B$209,$C$79)</f>
        <v>0</v>
      </c>
      <c r="P94" s="10">
        <f>SUMIFS('Consolidated Input'!V$6:V$209,'Consolidated Input'!$A$6:$A$209,$F94,'Consolidated Input'!$B$6:$B$209,$C$79)</f>
        <v>0</v>
      </c>
      <c r="Q94" s="10">
        <f>SUMIFS('Consolidated Input'!W$6:W$209,'Consolidated Input'!$A$6:$A$209,$F94,'Consolidated Input'!$B$6:$B$209,$C$79)</f>
        <v>0</v>
      </c>
      <c r="R94" s="10">
        <f>SUMIFS('Consolidated Input'!X$6:X$209,'Consolidated Input'!$A$6:$A$209,$F94,'Consolidated Input'!$B$6:$B$209,$C$79)</f>
        <v>0</v>
      </c>
      <c r="S94" s="10">
        <f>SUMIFS('Consolidated Input'!Y$6:Y$209,'Consolidated Input'!$A$6:$A$209,$F94,'Consolidated Input'!$B$6:$B$209,$C$79)</f>
        <v>0</v>
      </c>
      <c r="T94" s="171"/>
      <c r="U94" s="10">
        <f t="shared" si="35"/>
        <v>0</v>
      </c>
      <c r="V94" s="10">
        <f t="shared" si="36"/>
        <v>0</v>
      </c>
    </row>
    <row r="95" spans="5:22" hidden="1" outlineLevel="1" x14ac:dyDescent="0.35">
      <c r="E95" s="10" t="str">
        <f>InpC!$E$38</f>
        <v>South Staffs Water</v>
      </c>
      <c r="F95" s="10" t="str">
        <f>InpC!$F$38</f>
        <v>SSC</v>
      </c>
      <c r="G95" s="22" t="s">
        <v>39</v>
      </c>
      <c r="J95" s="10">
        <f>SUMIFS('Consolidated Input'!F$6:F$209,'Consolidated Input'!$A$6:$A$209,$F95,'Consolidated Input'!$B$6:$B$209,$C$78)</f>
        <v>0</v>
      </c>
      <c r="K95" s="10">
        <f>SUMIFS('Consolidated Input'!G$6:G$209,'Consolidated Input'!$A$6:$A$209,$F95,'Consolidated Input'!$B$6:$B$209,$C$78)</f>
        <v>0</v>
      </c>
      <c r="L95" s="10">
        <f>SUMIFS('Consolidated Input'!H$6:H$209,'Consolidated Input'!$A$6:$A$209,$F95,'Consolidated Input'!$B$6:$B$209,$C$78)</f>
        <v>0</v>
      </c>
      <c r="M95" s="10">
        <f>SUMIFS('Consolidated Input'!S$6:S$209,'Consolidated Input'!$A$6:$A$209,$F95,'Consolidated Input'!$B$6:$B$209,$C$79)</f>
        <v>0</v>
      </c>
      <c r="N95" s="10">
        <f>SUMIFS('Consolidated Input'!T$6:T$209,'Consolidated Input'!$A$6:$A$209,$F95,'Consolidated Input'!$B$6:$B$209,$C$79)</f>
        <v>0</v>
      </c>
      <c r="O95" s="10">
        <f>SUMIFS('Consolidated Input'!U$6:U$209,'Consolidated Input'!$A$6:$A$209,$F95,'Consolidated Input'!$B$6:$B$209,$C$79)</f>
        <v>0</v>
      </c>
      <c r="P95" s="10">
        <f>SUMIFS('Consolidated Input'!V$6:V$209,'Consolidated Input'!$A$6:$A$209,$F95,'Consolidated Input'!$B$6:$B$209,$C$79)</f>
        <v>0</v>
      </c>
      <c r="Q95" s="10">
        <f>SUMIFS('Consolidated Input'!W$6:W$209,'Consolidated Input'!$A$6:$A$209,$F95,'Consolidated Input'!$B$6:$B$209,$C$79)</f>
        <v>0</v>
      </c>
      <c r="R95" s="10">
        <f>SUMIFS('Consolidated Input'!X$6:X$209,'Consolidated Input'!$A$6:$A$209,$F95,'Consolidated Input'!$B$6:$B$209,$C$79)</f>
        <v>0</v>
      </c>
      <c r="S95" s="10">
        <f>SUMIFS('Consolidated Input'!Y$6:Y$209,'Consolidated Input'!$A$6:$A$209,$F95,'Consolidated Input'!$B$6:$B$209,$C$79)</f>
        <v>0</v>
      </c>
      <c r="T95" s="171"/>
      <c r="U95" s="10">
        <f t="shared" si="35"/>
        <v>0</v>
      </c>
      <c r="V95" s="10">
        <f t="shared" si="36"/>
        <v>0</v>
      </c>
    </row>
    <row r="96" spans="5:22" hidden="1" outlineLevel="1" x14ac:dyDescent="0.35">
      <c r="E96" s="10" t="str">
        <f>InpC!$E$39</f>
        <v>SES Water</v>
      </c>
      <c r="F96" s="10" t="str">
        <f>InpC!$F$39</f>
        <v>SES</v>
      </c>
      <c r="G96" s="22" t="s">
        <v>39</v>
      </c>
      <c r="J96" s="10">
        <f>SUMIFS('Consolidated Input'!F$6:F$209,'Consolidated Input'!$A$6:$A$209,$F96,'Consolidated Input'!$B$6:$B$209,$C$78)</f>
        <v>0</v>
      </c>
      <c r="K96" s="10">
        <f>SUMIFS('Consolidated Input'!G$6:G$209,'Consolidated Input'!$A$6:$A$209,$F96,'Consolidated Input'!$B$6:$B$209,$C$78)</f>
        <v>0</v>
      </c>
      <c r="L96" s="10">
        <f>SUMIFS('Consolidated Input'!H$6:H$209,'Consolidated Input'!$A$6:$A$209,$F96,'Consolidated Input'!$B$6:$B$209,$C$78)</f>
        <v>0</v>
      </c>
      <c r="M96" s="10">
        <f>SUMIFS('Consolidated Input'!S$6:S$209,'Consolidated Input'!$A$6:$A$209,$F96,'Consolidated Input'!$B$6:$B$209,$C$79)</f>
        <v>0</v>
      </c>
      <c r="N96" s="10">
        <f>SUMIFS('Consolidated Input'!T$6:T$209,'Consolidated Input'!$A$6:$A$209,$F96,'Consolidated Input'!$B$6:$B$209,$C$79)</f>
        <v>0</v>
      </c>
      <c r="O96" s="10">
        <f>SUMIFS('Consolidated Input'!U$6:U$209,'Consolidated Input'!$A$6:$A$209,$F96,'Consolidated Input'!$B$6:$B$209,$C$79)</f>
        <v>0</v>
      </c>
      <c r="P96" s="10">
        <f>SUMIFS('Consolidated Input'!V$6:V$209,'Consolidated Input'!$A$6:$A$209,$F96,'Consolidated Input'!$B$6:$B$209,$C$79)</f>
        <v>0</v>
      </c>
      <c r="Q96" s="10">
        <f>SUMIFS('Consolidated Input'!W$6:W$209,'Consolidated Input'!$A$6:$A$209,$F96,'Consolidated Input'!$B$6:$B$209,$C$79)</f>
        <v>0</v>
      </c>
      <c r="R96" s="10">
        <f>SUMIFS('Consolidated Input'!X$6:X$209,'Consolidated Input'!$A$6:$A$209,$F96,'Consolidated Input'!$B$6:$B$209,$C$79)</f>
        <v>0</v>
      </c>
      <c r="S96" s="10">
        <f>SUMIFS('Consolidated Input'!Y$6:Y$209,'Consolidated Input'!$A$6:$A$209,$F96,'Consolidated Input'!$B$6:$B$209,$C$79)</f>
        <v>0</v>
      </c>
      <c r="T96" s="171"/>
      <c r="U96" s="10">
        <f t="shared" si="35"/>
        <v>0</v>
      </c>
      <c r="V96" s="10">
        <f t="shared" si="36"/>
        <v>0</v>
      </c>
    </row>
    <row r="97" spans="3:22" hidden="1" outlineLevel="1" x14ac:dyDescent="0.35">
      <c r="E97" s="10" t="str">
        <f>InpC!$E$40</f>
        <v>South West Water</v>
      </c>
      <c r="F97" s="10" t="str">
        <f>InpC!$F$40</f>
        <v>SWB</v>
      </c>
      <c r="G97" s="22" t="s">
        <v>39</v>
      </c>
      <c r="J97" s="10">
        <f>SUMIFS('Consolidated Input'!F$6:F$209,'Consolidated Input'!$A$6:$A$209,$F97,'Consolidated Input'!$B$6:$B$209,$C$78)</f>
        <v>0</v>
      </c>
      <c r="K97" s="10">
        <f>SUMIFS('Consolidated Input'!G$6:G$209,'Consolidated Input'!$A$6:$A$209,$F97,'Consolidated Input'!$B$6:$B$209,$C$78)</f>
        <v>0</v>
      </c>
      <c r="L97" s="10">
        <f>SUMIFS('Consolidated Input'!H$6:H$209,'Consolidated Input'!$A$6:$A$209,$F97,'Consolidated Input'!$B$6:$B$209,$C$78)</f>
        <v>0</v>
      </c>
      <c r="M97" s="10">
        <f>SUMIFS('Consolidated Input'!S$6:S$209,'Consolidated Input'!$A$6:$A$209,$F97,'Consolidated Input'!$B$6:$B$209,$C$79)</f>
        <v>0</v>
      </c>
      <c r="N97" s="10">
        <f>SUMIFS('Consolidated Input'!T$6:T$209,'Consolidated Input'!$A$6:$A$209,$F97,'Consolidated Input'!$B$6:$B$209,$C$79)</f>
        <v>2743</v>
      </c>
      <c r="O97" s="10">
        <f>SUMIFS('Consolidated Input'!U$6:U$209,'Consolidated Input'!$A$6:$A$209,$F97,'Consolidated Input'!$B$6:$B$209,$C$79)</f>
        <v>2743</v>
      </c>
      <c r="P97" s="10">
        <f>SUMIFS('Consolidated Input'!V$6:V$209,'Consolidated Input'!$A$6:$A$209,$F97,'Consolidated Input'!$B$6:$B$209,$C$79)</f>
        <v>2743</v>
      </c>
      <c r="Q97" s="10">
        <f>SUMIFS('Consolidated Input'!W$6:W$209,'Consolidated Input'!$A$6:$A$209,$F97,'Consolidated Input'!$B$6:$B$209,$C$79)</f>
        <v>2743</v>
      </c>
      <c r="R97" s="10">
        <f>SUMIFS('Consolidated Input'!X$6:X$209,'Consolidated Input'!$A$6:$A$209,$F97,'Consolidated Input'!$B$6:$B$209,$C$79)</f>
        <v>2743</v>
      </c>
      <c r="S97" s="10">
        <f>SUMIFS('Consolidated Input'!Y$6:Y$209,'Consolidated Input'!$A$6:$A$209,$F97,'Consolidated Input'!$B$6:$B$209,$C$79)</f>
        <v>2743</v>
      </c>
      <c r="T97" s="171"/>
      <c r="U97" s="10">
        <f t="shared" si="35"/>
        <v>2743</v>
      </c>
      <c r="V97" s="10">
        <f t="shared" si="36"/>
        <v>13715</v>
      </c>
    </row>
    <row r="98" spans="3:22" hidden="1" outlineLevel="1" x14ac:dyDescent="0.35">
      <c r="E98" s="10" t="str">
        <f>InpC!$E$41</f>
        <v>Bristol Water</v>
      </c>
      <c r="F98" s="10" t="str">
        <f>InpC!$F$41</f>
        <v>BRL</v>
      </c>
      <c r="G98" s="22" t="s">
        <v>39</v>
      </c>
      <c r="J98" s="10">
        <f>SUMIFS('Consolidated Input'!F$6:F$209,'Consolidated Input'!$A$6:$A$209,$F98,'Consolidated Input'!$B$6:$B$209,$C$78)</f>
        <v>0</v>
      </c>
      <c r="K98" s="10">
        <f>SUMIFS('Consolidated Input'!G$6:G$209,'Consolidated Input'!$A$6:$A$209,$F98,'Consolidated Input'!$B$6:$B$209,$C$78)</f>
        <v>0</v>
      </c>
      <c r="L98" s="10">
        <f>SUMIFS('Consolidated Input'!H$6:H$209,'Consolidated Input'!$A$6:$A$209,$F98,'Consolidated Input'!$B$6:$B$209,$C$78)</f>
        <v>0</v>
      </c>
      <c r="M98" s="10">
        <f>SUMIFS('Consolidated Input'!S$6:S$209,'Consolidated Input'!$A$6:$A$209,$F98,'Consolidated Input'!$B$6:$B$209,$C$79)</f>
        <v>0</v>
      </c>
      <c r="N98" s="10">
        <f>SUMIFS('Consolidated Input'!T$6:T$209,'Consolidated Input'!$A$6:$A$209,$F98,'Consolidated Input'!$B$6:$B$209,$C$79)</f>
        <v>0</v>
      </c>
      <c r="O98" s="10">
        <f>SUMIFS('Consolidated Input'!U$6:U$209,'Consolidated Input'!$A$6:$A$209,$F98,'Consolidated Input'!$B$6:$B$209,$C$79)</f>
        <v>0</v>
      </c>
      <c r="P98" s="10">
        <f>SUMIFS('Consolidated Input'!V$6:V$209,'Consolidated Input'!$A$6:$A$209,$F98,'Consolidated Input'!$B$6:$B$209,$C$79)</f>
        <v>0</v>
      </c>
      <c r="Q98" s="10">
        <f>SUMIFS('Consolidated Input'!W$6:W$209,'Consolidated Input'!$A$6:$A$209,$F98,'Consolidated Input'!$B$6:$B$209,$C$79)</f>
        <v>0</v>
      </c>
      <c r="R98" s="10">
        <f>SUMIFS('Consolidated Input'!X$6:X$209,'Consolidated Input'!$A$6:$A$209,$F98,'Consolidated Input'!$B$6:$B$209,$C$79)</f>
        <v>0</v>
      </c>
      <c r="S98" s="10">
        <f>SUMIFS('Consolidated Input'!Y$6:Y$209,'Consolidated Input'!$A$6:$A$209,$F98,'Consolidated Input'!$B$6:$B$209,$C$79)</f>
        <v>0</v>
      </c>
      <c r="T98" s="171"/>
      <c r="U98" s="10">
        <f t="shared" si="35"/>
        <v>0</v>
      </c>
      <c r="V98" s="10">
        <f t="shared" si="36"/>
        <v>0</v>
      </c>
    </row>
    <row r="99" spans="3:22" hidden="1" outlineLevel="1" x14ac:dyDescent="0.35">
      <c r="E99" s="10" t="s">
        <v>147</v>
      </c>
      <c r="G99" s="22" t="s">
        <v>39</v>
      </c>
      <c r="J99" s="170">
        <f>SUM(J82:J98)</f>
        <v>25174.006774136018</v>
      </c>
      <c r="K99" s="170">
        <f t="shared" ref="K99:S99" si="37">SUM(K82:K98)</f>
        <v>30706.522665689838</v>
      </c>
      <c r="L99" s="170">
        <f t="shared" si="37"/>
        <v>22536</v>
      </c>
      <c r="M99" s="170">
        <f t="shared" si="37"/>
        <v>20395.042228027087</v>
      </c>
      <c r="N99" s="170">
        <f t="shared" si="37"/>
        <v>26912.086567163791</v>
      </c>
      <c r="O99" s="170">
        <f t="shared" si="37"/>
        <v>26971.595576614476</v>
      </c>
      <c r="P99" s="170">
        <f t="shared" si="37"/>
        <v>27021.247055968757</v>
      </c>
      <c r="Q99" s="170">
        <f t="shared" si="37"/>
        <v>27075.573304884241</v>
      </c>
      <c r="R99" s="170">
        <f t="shared" si="37"/>
        <v>27127.629402624625</v>
      </c>
      <c r="S99" s="170">
        <f t="shared" si="37"/>
        <v>27182.362722962644</v>
      </c>
      <c r="T99" s="171"/>
      <c r="U99" s="170">
        <f t="shared" ref="U99:V99" si="38">SUM(U82:U98)</f>
        <v>27075.681612610948</v>
      </c>
      <c r="V99" s="170">
        <f t="shared" si="38"/>
        <v>135378.40806305473</v>
      </c>
    </row>
    <row r="101" spans="3:22" x14ac:dyDescent="0.35">
      <c r="C101" s="11" t="str">
        <f>C78</f>
        <v>WWS1108CAS</v>
      </c>
      <c r="D101" s="5" t="str">
        <f>D78</f>
        <v>Traffic Management Act - Projects incurring costs associated with Traffic Management Act - Total</v>
      </c>
      <c r="F101" s="131">
        <f>F78</f>
        <v>6</v>
      </c>
      <c r="G101" s="22" t="s">
        <v>125</v>
      </c>
      <c r="J101" s="74">
        <f>J$2</f>
        <v>44286</v>
      </c>
      <c r="K101" s="74">
        <f t="shared" ref="K101:V101" si="39">K$2</f>
        <v>44651</v>
      </c>
      <c r="L101" s="74">
        <f t="shared" si="39"/>
        <v>45016</v>
      </c>
      <c r="M101" s="74">
        <f t="shared" si="39"/>
        <v>45382</v>
      </c>
      <c r="N101" s="74">
        <f t="shared" si="39"/>
        <v>45747</v>
      </c>
      <c r="O101" s="74">
        <f t="shared" si="39"/>
        <v>46112</v>
      </c>
      <c r="P101" s="74">
        <f t="shared" si="39"/>
        <v>46477</v>
      </c>
      <c r="Q101" s="74">
        <f t="shared" si="39"/>
        <v>46843</v>
      </c>
      <c r="R101" s="74">
        <f t="shared" si="39"/>
        <v>47208</v>
      </c>
      <c r="S101" s="74">
        <f t="shared" si="39"/>
        <v>47573</v>
      </c>
      <c r="U101" s="74" t="str">
        <f t="shared" si="39"/>
        <v>PR24 Average</v>
      </c>
      <c r="V101" s="74" t="str">
        <f t="shared" si="39"/>
        <v>PR24 Total</v>
      </c>
    </row>
    <row r="102" spans="3:22" x14ac:dyDescent="0.35">
      <c r="C102" s="5" t="str">
        <f>INDEX(InpC!$G$57:$G$62,'TMA Projects'!F101,)</f>
        <v>CWW2_018TOT_PR24</v>
      </c>
      <c r="D102" s="5" t="str">
        <f>INDEX(InpC!$G$48:$G$53,'TMA Projects'!F101,)</f>
        <v>Traffic Management Act - Projects incurring costs associated with Traffic Management Act - Total</v>
      </c>
      <c r="G102" s="22" t="s">
        <v>126</v>
      </c>
      <c r="J102" s="74"/>
      <c r="K102" s="74"/>
      <c r="L102" s="74"/>
      <c r="M102" s="74"/>
      <c r="N102" s="74"/>
      <c r="O102" s="74"/>
      <c r="P102" s="74"/>
      <c r="Q102" s="74"/>
      <c r="R102" s="74"/>
      <c r="S102" s="74"/>
      <c r="U102" s="74"/>
      <c r="V102" s="74"/>
    </row>
    <row r="103" spans="3:22" collapsed="1" x14ac:dyDescent="0.35">
      <c r="E103" s="5" t="s">
        <v>183</v>
      </c>
    </row>
    <row r="104" spans="3:22" hidden="1" outlineLevel="1" x14ac:dyDescent="0.35"/>
    <row r="105" spans="3:22" hidden="1" outlineLevel="1" x14ac:dyDescent="0.35">
      <c r="E105" s="10" t="str">
        <f>InpC!$E$25</f>
        <v>Anglian Water</v>
      </c>
      <c r="F105" s="10" t="str">
        <f>InpC!$F$25</f>
        <v>ANH</v>
      </c>
      <c r="G105" s="22" t="s">
        <v>39</v>
      </c>
      <c r="J105" s="172"/>
      <c r="K105" s="172"/>
      <c r="L105" s="172"/>
      <c r="M105" s="172"/>
      <c r="N105" s="172"/>
      <c r="O105" s="172"/>
      <c r="P105" s="172"/>
      <c r="Q105" s="172"/>
      <c r="R105" s="172"/>
      <c r="S105" s="172"/>
      <c r="T105" s="171"/>
      <c r="U105" s="10">
        <f t="shared" ref="U105:U121" si="40">IFERROR(AVERAGE(O105:S105),0)</f>
        <v>0</v>
      </c>
      <c r="V105" s="10">
        <f t="shared" ref="V105:V121" si="41">SUM(O105:S105)</f>
        <v>0</v>
      </c>
    </row>
    <row r="106" spans="3:22" hidden="1" outlineLevel="1" x14ac:dyDescent="0.35">
      <c r="E106" s="10" t="str">
        <f>InpC!$E$26</f>
        <v>Dŵr Cymru</v>
      </c>
      <c r="F106" s="10" t="str">
        <f>InpC!$F$26</f>
        <v>WSH</v>
      </c>
      <c r="G106" s="22" t="s">
        <v>39</v>
      </c>
      <c r="J106" s="172"/>
      <c r="K106" s="172"/>
      <c r="L106" s="172"/>
      <c r="M106" s="172"/>
      <c r="N106" s="172"/>
      <c r="O106" s="172"/>
      <c r="P106" s="172"/>
      <c r="Q106" s="172"/>
      <c r="R106" s="172"/>
      <c r="S106" s="172"/>
      <c r="T106" s="171"/>
      <c r="U106" s="10">
        <f t="shared" si="40"/>
        <v>0</v>
      </c>
      <c r="V106" s="10">
        <f t="shared" si="41"/>
        <v>0</v>
      </c>
    </row>
    <row r="107" spans="3:22" hidden="1" outlineLevel="1" x14ac:dyDescent="0.35">
      <c r="E107" s="10" t="str">
        <f>InpC!$E$27</f>
        <v>Hafren Dyfrdwy</v>
      </c>
      <c r="F107" s="10" t="str">
        <f>InpC!$F$27</f>
        <v>HDD</v>
      </c>
      <c r="G107" s="22" t="s">
        <v>39</v>
      </c>
      <c r="J107" s="172"/>
      <c r="K107" s="172"/>
      <c r="L107" s="172"/>
      <c r="M107" s="172"/>
      <c r="N107" s="172"/>
      <c r="O107" s="172"/>
      <c r="P107" s="172"/>
      <c r="Q107" s="172"/>
      <c r="R107" s="172"/>
      <c r="S107" s="172"/>
      <c r="T107" s="171"/>
      <c r="U107" s="10">
        <f t="shared" si="40"/>
        <v>0</v>
      </c>
      <c r="V107" s="10">
        <f t="shared" si="41"/>
        <v>0</v>
      </c>
    </row>
    <row r="108" spans="3:22" hidden="1" outlineLevel="1" x14ac:dyDescent="0.35">
      <c r="E108" s="10" t="str">
        <f>InpC!$E$28</f>
        <v>Northumbrian Water</v>
      </c>
      <c r="F108" s="10" t="str">
        <f>InpC!$F$28</f>
        <v>NES</v>
      </c>
      <c r="G108" s="22" t="s">
        <v>39</v>
      </c>
      <c r="J108" s="172"/>
      <c r="K108" s="172"/>
      <c r="L108" s="172"/>
      <c r="M108" s="172"/>
      <c r="N108" s="172"/>
      <c r="O108" s="172"/>
      <c r="P108" s="172"/>
      <c r="Q108" s="172"/>
      <c r="R108" s="172"/>
      <c r="S108" s="172"/>
      <c r="T108" s="171"/>
      <c r="U108" s="10">
        <f t="shared" si="40"/>
        <v>0</v>
      </c>
      <c r="V108" s="10">
        <f t="shared" si="41"/>
        <v>0</v>
      </c>
    </row>
    <row r="109" spans="3:22" hidden="1" outlineLevel="1" x14ac:dyDescent="0.35">
      <c r="E109" s="10" t="str">
        <f>InpC!$E$29</f>
        <v>Severn Trent Water</v>
      </c>
      <c r="F109" s="10" t="str">
        <f>InpC!$F$29</f>
        <v>SVE</v>
      </c>
      <c r="G109" s="22" t="s">
        <v>39</v>
      </c>
      <c r="J109" s="172"/>
      <c r="K109" s="172"/>
      <c r="L109" s="172"/>
      <c r="M109" s="172"/>
      <c r="N109" s="172"/>
      <c r="O109" s="172"/>
      <c r="P109" s="172"/>
      <c r="Q109" s="172"/>
      <c r="R109" s="172"/>
      <c r="S109" s="172"/>
      <c r="T109" s="171"/>
      <c r="U109" s="10">
        <f t="shared" si="40"/>
        <v>0</v>
      </c>
      <c r="V109" s="10">
        <f t="shared" si="41"/>
        <v>0</v>
      </c>
    </row>
    <row r="110" spans="3:22" hidden="1" outlineLevel="1" x14ac:dyDescent="0.35">
      <c r="E110" s="10" t="str">
        <f>InpC!$E$30</f>
        <v>Southern Water</v>
      </c>
      <c r="F110" s="10" t="str">
        <f>InpC!$F$30</f>
        <v>SRN</v>
      </c>
      <c r="G110" s="22" t="s">
        <v>39</v>
      </c>
      <c r="J110" s="172"/>
      <c r="K110" s="172"/>
      <c r="L110" s="172"/>
      <c r="M110" s="172"/>
      <c r="N110" s="172"/>
      <c r="O110" s="172"/>
      <c r="P110" s="172"/>
      <c r="Q110" s="172"/>
      <c r="R110" s="172"/>
      <c r="S110" s="172"/>
      <c r="T110" s="171"/>
      <c r="U110" s="10">
        <f t="shared" si="40"/>
        <v>0</v>
      </c>
      <c r="V110" s="10">
        <f t="shared" si="41"/>
        <v>0</v>
      </c>
    </row>
    <row r="111" spans="3:22" hidden="1" outlineLevel="1" x14ac:dyDescent="0.35">
      <c r="E111" s="10" t="str">
        <f>InpC!$E$31</f>
        <v>Thames Water</v>
      </c>
      <c r="F111" s="10" t="str">
        <f>InpC!$F$31</f>
        <v>TMS</v>
      </c>
      <c r="G111" s="22" t="s">
        <v>39</v>
      </c>
      <c r="J111" s="172"/>
      <c r="K111" s="172"/>
      <c r="L111" s="172"/>
      <c r="M111" s="172"/>
      <c r="N111" s="172"/>
      <c r="O111" s="172"/>
      <c r="P111" s="172"/>
      <c r="Q111" s="172"/>
      <c r="R111" s="172"/>
      <c r="S111" s="172"/>
      <c r="T111" s="171"/>
      <c r="U111" s="10">
        <f t="shared" si="40"/>
        <v>0</v>
      </c>
      <c r="V111" s="10">
        <f t="shared" si="41"/>
        <v>0</v>
      </c>
    </row>
    <row r="112" spans="3:22" hidden="1" outlineLevel="1" x14ac:dyDescent="0.35">
      <c r="E112" s="10" t="str">
        <f>InpC!$E$32</f>
        <v>United Utilities</v>
      </c>
      <c r="F112" s="10" t="str">
        <f>InpC!$F$32</f>
        <v>NWT</v>
      </c>
      <c r="G112" s="22" t="s">
        <v>39</v>
      </c>
      <c r="J112" s="172"/>
      <c r="K112" s="172"/>
      <c r="L112" s="172"/>
      <c r="M112" s="172"/>
      <c r="N112" s="172"/>
      <c r="O112" s="172"/>
      <c r="P112" s="172"/>
      <c r="Q112" s="172"/>
      <c r="R112" s="172"/>
      <c r="S112" s="172"/>
      <c r="T112" s="171"/>
      <c r="U112" s="10">
        <f t="shared" si="40"/>
        <v>0</v>
      </c>
      <c r="V112" s="10">
        <f t="shared" si="41"/>
        <v>0</v>
      </c>
    </row>
    <row r="113" spans="3:22" hidden="1" outlineLevel="1" x14ac:dyDescent="0.35">
      <c r="E113" s="10" t="str">
        <f>InpC!$E$33</f>
        <v>Wessex Water</v>
      </c>
      <c r="F113" s="10" t="str">
        <f>InpC!$F$33</f>
        <v>WSX</v>
      </c>
      <c r="G113" s="22" t="s">
        <v>39</v>
      </c>
      <c r="J113" s="172"/>
      <c r="K113" s="172"/>
      <c r="L113" s="172"/>
      <c r="M113" s="172"/>
      <c r="N113" s="172"/>
      <c r="O113" s="172"/>
      <c r="P113" s="172"/>
      <c r="Q113" s="172"/>
      <c r="R113" s="172"/>
      <c r="S113" s="172"/>
      <c r="T113" s="171"/>
      <c r="U113" s="10">
        <f t="shared" si="40"/>
        <v>0</v>
      </c>
      <c r="V113" s="10">
        <f t="shared" si="41"/>
        <v>0</v>
      </c>
    </row>
    <row r="114" spans="3:22" hidden="1" outlineLevel="1" x14ac:dyDescent="0.35">
      <c r="E114" s="10" t="str">
        <f>InpC!$E$34</f>
        <v>Yorkshire Water</v>
      </c>
      <c r="F114" s="10" t="str">
        <f>InpC!$F$34</f>
        <v>YKY</v>
      </c>
      <c r="G114" s="22" t="s">
        <v>39</v>
      </c>
      <c r="J114" s="172"/>
      <c r="K114" s="172"/>
      <c r="L114" s="172"/>
      <c r="M114" s="172"/>
      <c r="N114" s="172"/>
      <c r="O114" s="172"/>
      <c r="P114" s="172"/>
      <c r="Q114" s="172"/>
      <c r="R114" s="172"/>
      <c r="S114" s="172"/>
      <c r="T114" s="171"/>
      <c r="U114" s="10">
        <f t="shared" si="40"/>
        <v>0</v>
      </c>
      <c r="V114" s="10">
        <f t="shared" si="41"/>
        <v>0</v>
      </c>
    </row>
    <row r="115" spans="3:22" hidden="1" outlineLevel="1" x14ac:dyDescent="0.35">
      <c r="E115" s="10" t="str">
        <f>InpC!$E$35</f>
        <v>Affinity Water</v>
      </c>
      <c r="F115" s="10" t="str">
        <f>InpC!$F$35</f>
        <v>AFW</v>
      </c>
      <c r="G115" s="22" t="s">
        <v>39</v>
      </c>
      <c r="J115" s="172"/>
      <c r="K115" s="172"/>
      <c r="L115" s="172"/>
      <c r="M115" s="172"/>
      <c r="N115" s="172"/>
      <c r="O115" s="172"/>
      <c r="P115" s="172"/>
      <c r="Q115" s="172"/>
      <c r="R115" s="172"/>
      <c r="S115" s="172"/>
      <c r="T115" s="171"/>
      <c r="U115" s="10">
        <f t="shared" si="40"/>
        <v>0</v>
      </c>
      <c r="V115" s="10">
        <f t="shared" si="41"/>
        <v>0</v>
      </c>
    </row>
    <row r="116" spans="3:22" hidden="1" outlineLevel="1" x14ac:dyDescent="0.35">
      <c r="E116" s="10" t="str">
        <f>InpC!$E$36</f>
        <v>Portsmouth Water</v>
      </c>
      <c r="F116" s="10" t="str">
        <f>InpC!$F$36</f>
        <v>PRT</v>
      </c>
      <c r="G116" s="22" t="s">
        <v>39</v>
      </c>
      <c r="J116" s="172"/>
      <c r="K116" s="172"/>
      <c r="L116" s="172"/>
      <c r="M116" s="172"/>
      <c r="N116" s="172"/>
      <c r="O116" s="172"/>
      <c r="P116" s="172"/>
      <c r="Q116" s="172"/>
      <c r="R116" s="172"/>
      <c r="S116" s="172"/>
      <c r="T116" s="171"/>
      <c r="U116" s="10">
        <f t="shared" si="40"/>
        <v>0</v>
      </c>
      <c r="V116" s="10">
        <f t="shared" si="41"/>
        <v>0</v>
      </c>
    </row>
    <row r="117" spans="3:22" hidden="1" outlineLevel="1" x14ac:dyDescent="0.35">
      <c r="E117" s="10" t="str">
        <f>InpC!$E$37</f>
        <v>South East Water</v>
      </c>
      <c r="F117" s="10" t="str">
        <f>InpC!$F$37</f>
        <v>SEW</v>
      </c>
      <c r="G117" s="22" t="s">
        <v>39</v>
      </c>
      <c r="J117" s="172"/>
      <c r="K117" s="172"/>
      <c r="L117" s="172"/>
      <c r="M117" s="172"/>
      <c r="N117" s="172"/>
      <c r="O117" s="172"/>
      <c r="P117" s="172"/>
      <c r="Q117" s="172"/>
      <c r="R117" s="172"/>
      <c r="S117" s="172"/>
      <c r="T117" s="171"/>
      <c r="U117" s="10">
        <f t="shared" si="40"/>
        <v>0</v>
      </c>
      <c r="V117" s="10">
        <f t="shared" si="41"/>
        <v>0</v>
      </c>
    </row>
    <row r="118" spans="3:22" hidden="1" outlineLevel="1" x14ac:dyDescent="0.35">
      <c r="E118" s="10" t="str">
        <f>InpC!$E$38</f>
        <v>South Staffs Water</v>
      </c>
      <c r="F118" s="10" t="str">
        <f>InpC!$F$38</f>
        <v>SSC</v>
      </c>
      <c r="G118" s="22" t="s">
        <v>39</v>
      </c>
      <c r="J118" s="172"/>
      <c r="K118" s="172"/>
      <c r="L118" s="172"/>
      <c r="M118" s="172"/>
      <c r="N118" s="172"/>
      <c r="O118" s="172"/>
      <c r="P118" s="172"/>
      <c r="Q118" s="172"/>
      <c r="R118" s="172"/>
      <c r="S118" s="172"/>
      <c r="T118" s="171"/>
      <c r="U118" s="10">
        <f t="shared" si="40"/>
        <v>0</v>
      </c>
      <c r="V118" s="10">
        <f t="shared" si="41"/>
        <v>0</v>
      </c>
    </row>
    <row r="119" spans="3:22" hidden="1" outlineLevel="1" x14ac:dyDescent="0.35">
      <c r="E119" s="10" t="str">
        <f>InpC!$E$39</f>
        <v>SES Water</v>
      </c>
      <c r="F119" s="10" t="str">
        <f>InpC!$F$39</f>
        <v>SES</v>
      </c>
      <c r="G119" s="22" t="s">
        <v>39</v>
      </c>
      <c r="J119" s="172"/>
      <c r="K119" s="172"/>
      <c r="L119" s="172"/>
      <c r="M119" s="172"/>
      <c r="N119" s="172"/>
      <c r="O119" s="172"/>
      <c r="P119" s="172"/>
      <c r="Q119" s="172"/>
      <c r="R119" s="172"/>
      <c r="S119" s="172"/>
      <c r="T119" s="171"/>
      <c r="U119" s="10">
        <f t="shared" si="40"/>
        <v>0</v>
      </c>
      <c r="V119" s="10">
        <f t="shared" si="41"/>
        <v>0</v>
      </c>
    </row>
    <row r="120" spans="3:22" hidden="1" outlineLevel="1" x14ac:dyDescent="0.35">
      <c r="E120" s="10" t="str">
        <f>InpC!$E$40</f>
        <v>South West Water</v>
      </c>
      <c r="F120" s="10" t="str">
        <f>InpC!$F$40</f>
        <v>SWB</v>
      </c>
      <c r="G120" s="22" t="s">
        <v>39</v>
      </c>
      <c r="J120" s="172"/>
      <c r="K120" s="172"/>
      <c r="L120" s="172"/>
      <c r="M120" s="172"/>
      <c r="N120" s="172"/>
      <c r="O120" s="172"/>
      <c r="P120" s="172"/>
      <c r="Q120" s="172"/>
      <c r="R120" s="172"/>
      <c r="S120" s="172"/>
      <c r="T120" s="171"/>
      <c r="U120" s="10">
        <f t="shared" si="40"/>
        <v>0</v>
      </c>
      <c r="V120" s="10">
        <f t="shared" si="41"/>
        <v>0</v>
      </c>
    </row>
    <row r="121" spans="3:22" hidden="1" outlineLevel="1" x14ac:dyDescent="0.35">
      <c r="E121" s="10" t="str">
        <f>InpC!$E$41</f>
        <v>Bristol Water</v>
      </c>
      <c r="F121" s="10" t="str">
        <f>InpC!$F$41</f>
        <v>BRL</v>
      </c>
      <c r="G121" s="22" t="s">
        <v>39</v>
      </c>
      <c r="J121" s="172"/>
      <c r="K121" s="172"/>
      <c r="L121" s="172"/>
      <c r="M121" s="172"/>
      <c r="N121" s="172"/>
      <c r="O121" s="172"/>
      <c r="P121" s="172"/>
      <c r="Q121" s="172"/>
      <c r="R121" s="172"/>
      <c r="S121" s="172"/>
      <c r="T121" s="171"/>
      <c r="U121" s="10">
        <f t="shared" si="40"/>
        <v>0</v>
      </c>
      <c r="V121" s="10">
        <f t="shared" si="41"/>
        <v>0</v>
      </c>
    </row>
    <row r="122" spans="3:22" hidden="1" outlineLevel="1" x14ac:dyDescent="0.35">
      <c r="E122" s="10" t="s">
        <v>147</v>
      </c>
      <c r="G122" s="22" t="s">
        <v>39</v>
      </c>
      <c r="J122" s="170">
        <f>SUM(J105:J121)</f>
        <v>0</v>
      </c>
      <c r="K122" s="170">
        <f t="shared" ref="K122:S122" si="42">SUM(K105:K121)</f>
        <v>0</v>
      </c>
      <c r="L122" s="170">
        <f t="shared" si="42"/>
        <v>0</v>
      </c>
      <c r="M122" s="170">
        <f t="shared" si="42"/>
        <v>0</v>
      </c>
      <c r="N122" s="170">
        <f t="shared" si="42"/>
        <v>0</v>
      </c>
      <c r="O122" s="170">
        <f t="shared" si="42"/>
        <v>0</v>
      </c>
      <c r="P122" s="170">
        <f t="shared" si="42"/>
        <v>0</v>
      </c>
      <c r="Q122" s="170">
        <f t="shared" si="42"/>
        <v>0</v>
      </c>
      <c r="R122" s="170">
        <f t="shared" si="42"/>
        <v>0</v>
      </c>
      <c r="S122" s="170">
        <f t="shared" si="42"/>
        <v>0</v>
      </c>
      <c r="T122" s="171"/>
      <c r="U122" s="170">
        <f t="shared" ref="U122:V122" si="43">SUM(U105:U121)</f>
        <v>0</v>
      </c>
      <c r="V122" s="170">
        <f t="shared" si="43"/>
        <v>0</v>
      </c>
    </row>
    <row r="124" spans="3:22" x14ac:dyDescent="0.35">
      <c r="C124" s="11" t="str">
        <f>C78</f>
        <v>WWS1108CAS</v>
      </c>
      <c r="D124" s="5" t="str">
        <f>D78</f>
        <v>Traffic Management Act - Projects incurring costs associated with Traffic Management Act - Total</v>
      </c>
      <c r="F124" s="131">
        <f>F78</f>
        <v>6</v>
      </c>
      <c r="G124" s="22" t="s">
        <v>125</v>
      </c>
      <c r="J124" s="74">
        <f>J$2</f>
        <v>44286</v>
      </c>
      <c r="K124" s="74">
        <f t="shared" ref="K124:V124" si="44">K$2</f>
        <v>44651</v>
      </c>
      <c r="L124" s="74">
        <f t="shared" si="44"/>
        <v>45016</v>
      </c>
      <c r="M124" s="74">
        <f t="shared" si="44"/>
        <v>45382</v>
      </c>
      <c r="N124" s="74">
        <f t="shared" si="44"/>
        <v>45747</v>
      </c>
      <c r="O124" s="74">
        <f t="shared" si="44"/>
        <v>46112</v>
      </c>
      <c r="P124" s="74">
        <f t="shared" si="44"/>
        <v>46477</v>
      </c>
      <c r="Q124" s="74">
        <f t="shared" si="44"/>
        <v>46843</v>
      </c>
      <c r="R124" s="74">
        <f t="shared" si="44"/>
        <v>47208</v>
      </c>
      <c r="S124" s="74">
        <f t="shared" si="44"/>
        <v>47573</v>
      </c>
      <c r="U124" s="74" t="str">
        <f t="shared" si="44"/>
        <v>PR24 Average</v>
      </c>
      <c r="V124" s="74" t="str">
        <f t="shared" si="44"/>
        <v>PR24 Total</v>
      </c>
    </row>
    <row r="125" spans="3:22" x14ac:dyDescent="0.35">
      <c r="C125" s="5" t="str">
        <f>INDEX(InpC!$G$57:$G$62,'TMA Projects'!F124,)</f>
        <v>CWW2_018TOT_PR24</v>
      </c>
      <c r="D125" s="5" t="str">
        <f>INDEX(InpC!$G$48:$G$53,'TMA Projects'!F124,)</f>
        <v>Traffic Management Act - Projects incurring costs associated with Traffic Management Act - Total</v>
      </c>
      <c r="G125" s="22" t="s">
        <v>126</v>
      </c>
      <c r="J125" s="74"/>
      <c r="K125" s="74"/>
      <c r="L125" s="74"/>
      <c r="M125" s="74"/>
      <c r="N125" s="74"/>
      <c r="O125" s="74"/>
      <c r="P125" s="74"/>
      <c r="Q125" s="74"/>
      <c r="R125" s="74"/>
      <c r="S125" s="74"/>
      <c r="U125" s="74"/>
      <c r="V125" s="74"/>
    </row>
    <row r="126" spans="3:22" collapsed="1" x14ac:dyDescent="0.35">
      <c r="E126" s="5" t="s">
        <v>184</v>
      </c>
    </row>
    <row r="127" spans="3:22" hidden="1" outlineLevel="1" x14ac:dyDescent="0.35"/>
    <row r="128" spans="3:22" hidden="1" outlineLevel="1" x14ac:dyDescent="0.35">
      <c r="E128" s="10" t="str">
        <f>InpC!$E$25</f>
        <v>Anglian Water</v>
      </c>
      <c r="F128" s="10" t="str">
        <f>InpC!$F$25</f>
        <v>ANH</v>
      </c>
      <c r="G128" s="22" t="str">
        <f t="shared" ref="G128:G145" si="45">G105</f>
        <v>nr</v>
      </c>
      <c r="J128" s="10">
        <f t="shared" ref="J128:S128" si="46">IF(ISBLANK(J105),J82,J105)</f>
        <v>2322</v>
      </c>
      <c r="K128" s="10">
        <f t="shared" si="46"/>
        <v>1734</v>
      </c>
      <c r="L128" s="10">
        <f t="shared" si="46"/>
        <v>870</v>
      </c>
      <c r="M128" s="10">
        <f t="shared" si="46"/>
        <v>701</v>
      </c>
      <c r="N128" s="10">
        <f t="shared" si="46"/>
        <v>900</v>
      </c>
      <c r="O128" s="10">
        <f t="shared" si="46"/>
        <v>900</v>
      </c>
      <c r="P128" s="10">
        <f t="shared" si="46"/>
        <v>900</v>
      </c>
      <c r="Q128" s="10">
        <f t="shared" si="46"/>
        <v>900</v>
      </c>
      <c r="R128" s="10">
        <f t="shared" si="46"/>
        <v>900</v>
      </c>
      <c r="S128" s="10">
        <f t="shared" si="46"/>
        <v>900</v>
      </c>
      <c r="T128" s="171"/>
      <c r="U128" s="10">
        <f t="shared" ref="U128:U144" si="47">IFERROR(AVERAGE(O128:S128),0)</f>
        <v>900</v>
      </c>
      <c r="V128" s="10">
        <f t="shared" ref="V128:V144" si="48">SUM(O128:S128)</f>
        <v>4500</v>
      </c>
    </row>
    <row r="129" spans="5:22" hidden="1" outlineLevel="1" x14ac:dyDescent="0.35">
      <c r="E129" s="10" t="str">
        <f>InpC!$E$26</f>
        <v>Dŵr Cymru</v>
      </c>
      <c r="F129" s="10" t="str">
        <f>InpC!$F$26</f>
        <v>WSH</v>
      </c>
      <c r="G129" s="22" t="str">
        <f t="shared" si="45"/>
        <v>nr</v>
      </c>
      <c r="J129" s="10">
        <f t="shared" ref="J129:S129" si="49">IF(ISBLANK(J106),J83,J106)</f>
        <v>832</v>
      </c>
      <c r="K129" s="10">
        <f t="shared" si="49"/>
        <v>0</v>
      </c>
      <c r="L129" s="10">
        <f t="shared" si="49"/>
        <v>323</v>
      </c>
      <c r="M129" s="10">
        <f t="shared" si="49"/>
        <v>421</v>
      </c>
      <c r="N129" s="10">
        <f t="shared" si="49"/>
        <v>152.81800000000001</v>
      </c>
      <c r="O129" s="10">
        <f t="shared" si="49"/>
        <v>90.3</v>
      </c>
      <c r="P129" s="10">
        <f t="shared" si="49"/>
        <v>86.826999999999998</v>
      </c>
      <c r="Q129" s="10">
        <f t="shared" si="49"/>
        <v>86.826999999999998</v>
      </c>
      <c r="R129" s="10">
        <f t="shared" si="49"/>
        <v>83.353999999999999</v>
      </c>
      <c r="S129" s="10">
        <f t="shared" si="49"/>
        <v>83.353999999999999</v>
      </c>
      <c r="T129" s="171"/>
      <c r="U129" s="10">
        <f t="shared" si="47"/>
        <v>86.13239999999999</v>
      </c>
      <c r="V129" s="10">
        <f t="shared" si="48"/>
        <v>430.66199999999998</v>
      </c>
    </row>
    <row r="130" spans="5:22" hidden="1" outlineLevel="1" x14ac:dyDescent="0.35">
      <c r="E130" s="10" t="str">
        <f>InpC!$E$27</f>
        <v>Hafren Dyfrdwy</v>
      </c>
      <c r="F130" s="10" t="str">
        <f>InpC!$F$27</f>
        <v>HDD</v>
      </c>
      <c r="G130" s="22" t="str">
        <f t="shared" si="45"/>
        <v>nr</v>
      </c>
      <c r="J130" s="10">
        <f t="shared" ref="J130:S130" si="50">IF(ISBLANK(J107),J84,J107)</f>
        <v>0</v>
      </c>
      <c r="K130" s="10">
        <f t="shared" si="50"/>
        <v>0</v>
      </c>
      <c r="L130" s="10">
        <f t="shared" si="50"/>
        <v>0</v>
      </c>
      <c r="M130" s="10">
        <f t="shared" si="50"/>
        <v>0</v>
      </c>
      <c r="N130" s="10">
        <f t="shared" si="50"/>
        <v>0</v>
      </c>
      <c r="O130" s="10">
        <f t="shared" si="50"/>
        <v>0</v>
      </c>
      <c r="P130" s="10">
        <f t="shared" si="50"/>
        <v>0</v>
      </c>
      <c r="Q130" s="10">
        <f t="shared" si="50"/>
        <v>0</v>
      </c>
      <c r="R130" s="10">
        <f t="shared" si="50"/>
        <v>0</v>
      </c>
      <c r="S130" s="10">
        <f t="shared" si="50"/>
        <v>0</v>
      </c>
      <c r="T130" s="171"/>
      <c r="U130" s="10">
        <f t="shared" si="47"/>
        <v>0</v>
      </c>
      <c r="V130" s="10">
        <f t="shared" si="48"/>
        <v>0</v>
      </c>
    </row>
    <row r="131" spans="5:22" hidden="1" outlineLevel="1" x14ac:dyDescent="0.35">
      <c r="E131" s="10" t="str">
        <f>InpC!$E$28</f>
        <v>Northumbrian Water</v>
      </c>
      <c r="F131" s="10" t="str">
        <f>InpC!$F$28</f>
        <v>NES</v>
      </c>
      <c r="G131" s="22" t="str">
        <f t="shared" si="45"/>
        <v>nr</v>
      </c>
      <c r="J131" s="10">
        <f t="shared" ref="J131:S131" si="51">IF(ISBLANK(J108),J85,J108)</f>
        <v>5957</v>
      </c>
      <c r="K131" s="10">
        <f t="shared" si="51"/>
        <v>747</v>
      </c>
      <c r="L131" s="10">
        <f t="shared" si="51"/>
        <v>402</v>
      </c>
      <c r="M131" s="10">
        <f t="shared" si="51"/>
        <v>209</v>
      </c>
      <c r="N131" s="10">
        <f t="shared" si="51"/>
        <v>402</v>
      </c>
      <c r="O131" s="10">
        <f t="shared" si="51"/>
        <v>402</v>
      </c>
      <c r="P131" s="10">
        <f t="shared" si="51"/>
        <v>402</v>
      </c>
      <c r="Q131" s="10">
        <f t="shared" si="51"/>
        <v>402</v>
      </c>
      <c r="R131" s="10">
        <f t="shared" si="51"/>
        <v>402</v>
      </c>
      <c r="S131" s="10">
        <f t="shared" si="51"/>
        <v>402</v>
      </c>
      <c r="T131" s="171"/>
      <c r="U131" s="10">
        <f t="shared" si="47"/>
        <v>402</v>
      </c>
      <c r="V131" s="10">
        <f t="shared" si="48"/>
        <v>2010</v>
      </c>
    </row>
    <row r="132" spans="5:22" hidden="1" outlineLevel="1" x14ac:dyDescent="0.35">
      <c r="E132" s="10" t="str">
        <f>InpC!$E$29</f>
        <v>Severn Trent Water</v>
      </c>
      <c r="F132" s="10" t="str">
        <f>InpC!$F$29</f>
        <v>SVE</v>
      </c>
      <c r="G132" s="22" t="str">
        <f t="shared" si="45"/>
        <v>nr</v>
      </c>
      <c r="J132" s="10">
        <f t="shared" ref="J132:S132" si="52">IF(ISBLANK(J109),J86,J109)</f>
        <v>24</v>
      </c>
      <c r="K132" s="10">
        <f t="shared" si="52"/>
        <v>2142.5826656898398</v>
      </c>
      <c r="L132" s="10">
        <f t="shared" si="52"/>
        <v>178</v>
      </c>
      <c r="M132" s="10">
        <f t="shared" si="52"/>
        <v>750.05178911538451</v>
      </c>
      <c r="N132" s="10">
        <f t="shared" si="52"/>
        <v>5407.268567163791</v>
      </c>
      <c r="O132" s="10">
        <f t="shared" si="52"/>
        <v>5440.1926259542543</v>
      </c>
      <c r="P132" s="10">
        <f t="shared" si="52"/>
        <v>5473.317105308538</v>
      </c>
      <c r="Q132" s="10">
        <f t="shared" si="52"/>
        <v>5506.6433542240193</v>
      </c>
      <c r="R132" s="10">
        <f t="shared" si="52"/>
        <v>5540.172451964404</v>
      </c>
      <c r="S132" s="10">
        <f t="shared" si="52"/>
        <v>5573.9057723024243</v>
      </c>
      <c r="T132" s="171"/>
      <c r="U132" s="10">
        <f t="shared" si="47"/>
        <v>5506.8462619507281</v>
      </c>
      <c r="V132" s="10">
        <f t="shared" si="48"/>
        <v>27534.231309753639</v>
      </c>
    </row>
    <row r="133" spans="5:22" hidden="1" outlineLevel="1" x14ac:dyDescent="0.35">
      <c r="E133" s="10" t="str">
        <f>InpC!$E$30</f>
        <v>Southern Water</v>
      </c>
      <c r="F133" s="10" t="str">
        <f>InpC!$F$30</f>
        <v>SRN</v>
      </c>
      <c r="G133" s="22" t="str">
        <f t="shared" si="45"/>
        <v>nr</v>
      </c>
      <c r="J133" s="10">
        <f t="shared" ref="J133:S133" si="53">IF(ISBLANK(J110),J87,J110)</f>
        <v>3728</v>
      </c>
      <c r="K133" s="10">
        <f t="shared" si="53"/>
        <v>3776</v>
      </c>
      <c r="L133" s="10">
        <f t="shared" si="53"/>
        <v>4196</v>
      </c>
      <c r="M133" s="10">
        <f t="shared" si="53"/>
        <v>3729</v>
      </c>
      <c r="N133" s="10">
        <f t="shared" si="53"/>
        <v>4000</v>
      </c>
      <c r="O133" s="10">
        <f t="shared" si="53"/>
        <v>4000</v>
      </c>
      <c r="P133" s="10">
        <f t="shared" si="53"/>
        <v>4000</v>
      </c>
      <c r="Q133" s="10">
        <f t="shared" si="53"/>
        <v>4000</v>
      </c>
      <c r="R133" s="10">
        <f t="shared" si="53"/>
        <v>4000</v>
      </c>
      <c r="S133" s="10">
        <f t="shared" si="53"/>
        <v>4000</v>
      </c>
      <c r="T133" s="171"/>
      <c r="U133" s="10">
        <f t="shared" si="47"/>
        <v>4000</v>
      </c>
      <c r="V133" s="10">
        <f t="shared" si="48"/>
        <v>20000</v>
      </c>
    </row>
    <row r="134" spans="5:22" hidden="1" outlineLevel="1" x14ac:dyDescent="0.35">
      <c r="E134" s="10" t="str">
        <f>InpC!$E$31</f>
        <v>Thames Water</v>
      </c>
      <c r="F134" s="10" t="str">
        <f>InpC!$F$31</f>
        <v>TMS</v>
      </c>
      <c r="G134" s="22" t="str">
        <f t="shared" si="45"/>
        <v>nr</v>
      </c>
      <c r="J134" s="10">
        <f t="shared" ref="J134:S134" si="54">IF(ISBLANK(J111),J88,J111)</f>
        <v>6751</v>
      </c>
      <c r="K134" s="10">
        <f t="shared" si="54"/>
        <v>14011</v>
      </c>
      <c r="L134" s="10">
        <f t="shared" si="54"/>
        <v>7130</v>
      </c>
      <c r="M134" s="10">
        <f t="shared" si="54"/>
        <v>6725</v>
      </c>
      <c r="N134" s="10">
        <f t="shared" si="54"/>
        <v>7091</v>
      </c>
      <c r="O134" s="10">
        <f t="shared" si="54"/>
        <v>7143</v>
      </c>
      <c r="P134" s="10">
        <f t="shared" si="54"/>
        <v>7163</v>
      </c>
      <c r="Q134" s="10">
        <f t="shared" si="54"/>
        <v>7184</v>
      </c>
      <c r="R134" s="10">
        <f t="shared" si="54"/>
        <v>7206</v>
      </c>
      <c r="S134" s="10">
        <f t="shared" si="54"/>
        <v>7227</v>
      </c>
      <c r="T134" s="171"/>
      <c r="U134" s="10">
        <f t="shared" si="47"/>
        <v>7184.6</v>
      </c>
      <c r="V134" s="10">
        <f t="shared" si="48"/>
        <v>35923</v>
      </c>
    </row>
    <row r="135" spans="5:22" hidden="1" outlineLevel="1" x14ac:dyDescent="0.35">
      <c r="E135" s="10" t="str">
        <f>InpC!$E$32</f>
        <v>United Utilities</v>
      </c>
      <c r="F135" s="10" t="str">
        <f>InpC!$F$32</f>
        <v>NWT</v>
      </c>
      <c r="G135" s="22" t="str">
        <f t="shared" si="45"/>
        <v>nr</v>
      </c>
      <c r="J135" s="10">
        <f t="shared" ref="J135:S135" si="55">IF(ISBLANK(J112),J89,J112)</f>
        <v>3837.0067741360199</v>
      </c>
      <c r="K135" s="10">
        <f t="shared" si="55"/>
        <v>7023</v>
      </c>
      <c r="L135" s="10">
        <f t="shared" si="55"/>
        <v>8236</v>
      </c>
      <c r="M135" s="10">
        <f t="shared" si="55"/>
        <v>5660.9904389117037</v>
      </c>
      <c r="N135" s="10">
        <f t="shared" si="55"/>
        <v>5051</v>
      </c>
      <c r="O135" s="10">
        <f t="shared" si="55"/>
        <v>5088.1029506602217</v>
      </c>
      <c r="P135" s="10">
        <f t="shared" si="55"/>
        <v>5088.1029506602217</v>
      </c>
      <c r="Q135" s="10">
        <f t="shared" si="55"/>
        <v>5088.1029506602217</v>
      </c>
      <c r="R135" s="10">
        <f t="shared" si="55"/>
        <v>5088.1029506602217</v>
      </c>
      <c r="S135" s="10">
        <f t="shared" si="55"/>
        <v>5088.1029506602217</v>
      </c>
      <c r="T135" s="171"/>
      <c r="U135" s="10">
        <f t="shared" si="47"/>
        <v>5088.1029506602217</v>
      </c>
      <c r="V135" s="10">
        <f t="shared" si="48"/>
        <v>25440.514753301108</v>
      </c>
    </row>
    <row r="136" spans="5:22" hidden="1" outlineLevel="1" x14ac:dyDescent="0.35">
      <c r="E136" s="10" t="str">
        <f>InpC!$E$33</f>
        <v>Wessex Water</v>
      </c>
      <c r="F136" s="10" t="str">
        <f>InpC!$F$33</f>
        <v>WSX</v>
      </c>
      <c r="G136" s="22" t="str">
        <f t="shared" si="45"/>
        <v>nr</v>
      </c>
      <c r="J136" s="10">
        <f t="shared" ref="J136:S136" si="56">IF(ISBLANK(J113),J90,J113)</f>
        <v>223</v>
      </c>
      <c r="K136" s="10">
        <f t="shared" si="56"/>
        <v>461</v>
      </c>
      <c r="L136" s="10">
        <f t="shared" si="56"/>
        <v>390</v>
      </c>
      <c r="M136" s="10">
        <f t="shared" si="56"/>
        <v>283</v>
      </c>
      <c r="N136" s="10">
        <f t="shared" si="56"/>
        <v>350</v>
      </c>
      <c r="O136" s="10">
        <f t="shared" si="56"/>
        <v>350</v>
      </c>
      <c r="P136" s="10">
        <f t="shared" si="56"/>
        <v>350</v>
      </c>
      <c r="Q136" s="10">
        <f t="shared" si="56"/>
        <v>350</v>
      </c>
      <c r="R136" s="10">
        <f t="shared" si="56"/>
        <v>350</v>
      </c>
      <c r="S136" s="10">
        <f t="shared" si="56"/>
        <v>350</v>
      </c>
      <c r="T136" s="171"/>
      <c r="U136" s="10">
        <f t="shared" si="47"/>
        <v>350</v>
      </c>
      <c r="V136" s="10">
        <f t="shared" si="48"/>
        <v>1750</v>
      </c>
    </row>
    <row r="137" spans="5:22" hidden="1" outlineLevel="1" x14ac:dyDescent="0.35">
      <c r="E137" s="10" t="str">
        <f>InpC!$E$34</f>
        <v>Yorkshire Water</v>
      </c>
      <c r="F137" s="10" t="str">
        <f>InpC!$F$34</f>
        <v>YKY</v>
      </c>
      <c r="G137" s="22" t="str">
        <f t="shared" si="45"/>
        <v>nr</v>
      </c>
      <c r="J137" s="10">
        <f t="shared" ref="J137:S137" si="57">IF(ISBLANK(J114),J91,J114)</f>
        <v>1500</v>
      </c>
      <c r="K137" s="10">
        <f t="shared" si="57"/>
        <v>811.94</v>
      </c>
      <c r="L137" s="10">
        <f t="shared" si="57"/>
        <v>811</v>
      </c>
      <c r="M137" s="10">
        <f t="shared" si="57"/>
        <v>1916</v>
      </c>
      <c r="N137" s="10">
        <f t="shared" si="57"/>
        <v>815</v>
      </c>
      <c r="O137" s="10">
        <f t="shared" si="57"/>
        <v>815</v>
      </c>
      <c r="P137" s="10">
        <f t="shared" si="57"/>
        <v>815</v>
      </c>
      <c r="Q137" s="10">
        <f t="shared" si="57"/>
        <v>815</v>
      </c>
      <c r="R137" s="10">
        <f t="shared" si="57"/>
        <v>815</v>
      </c>
      <c r="S137" s="10">
        <f t="shared" si="57"/>
        <v>815</v>
      </c>
      <c r="T137" s="171"/>
      <c r="U137" s="10">
        <f t="shared" si="47"/>
        <v>815</v>
      </c>
      <c r="V137" s="10">
        <f t="shared" si="48"/>
        <v>4075</v>
      </c>
    </row>
    <row r="138" spans="5:22" hidden="1" outlineLevel="1" x14ac:dyDescent="0.35">
      <c r="E138" s="10" t="str">
        <f>InpC!$E$35</f>
        <v>Affinity Water</v>
      </c>
      <c r="F138" s="10" t="str">
        <f>InpC!$F$35</f>
        <v>AFW</v>
      </c>
      <c r="G138" s="22" t="str">
        <f t="shared" si="45"/>
        <v>nr</v>
      </c>
      <c r="J138" s="10">
        <f t="shared" ref="J138:S138" si="58">IF(ISBLANK(J115),J92,J115)</f>
        <v>0</v>
      </c>
      <c r="K138" s="10">
        <f t="shared" si="58"/>
        <v>0</v>
      </c>
      <c r="L138" s="10">
        <f t="shared" si="58"/>
        <v>0</v>
      </c>
      <c r="M138" s="10">
        <f t="shared" si="58"/>
        <v>0</v>
      </c>
      <c r="N138" s="10">
        <f t="shared" si="58"/>
        <v>0</v>
      </c>
      <c r="O138" s="10">
        <f t="shared" si="58"/>
        <v>0</v>
      </c>
      <c r="P138" s="10">
        <f t="shared" si="58"/>
        <v>0</v>
      </c>
      <c r="Q138" s="10">
        <f t="shared" si="58"/>
        <v>0</v>
      </c>
      <c r="R138" s="10">
        <f t="shared" si="58"/>
        <v>0</v>
      </c>
      <c r="S138" s="10">
        <f t="shared" si="58"/>
        <v>0</v>
      </c>
      <c r="T138" s="171"/>
      <c r="U138" s="10">
        <f t="shared" si="47"/>
        <v>0</v>
      </c>
      <c r="V138" s="10">
        <f t="shared" si="48"/>
        <v>0</v>
      </c>
    </row>
    <row r="139" spans="5:22" hidden="1" outlineLevel="1" x14ac:dyDescent="0.35">
      <c r="E139" s="10" t="str">
        <f>InpC!$E$36</f>
        <v>Portsmouth Water</v>
      </c>
      <c r="F139" s="10" t="str">
        <f>InpC!$F$36</f>
        <v>PRT</v>
      </c>
      <c r="G139" s="22" t="str">
        <f t="shared" si="45"/>
        <v>nr</v>
      </c>
      <c r="J139" s="10">
        <f t="shared" ref="J139:S139" si="59">IF(ISBLANK(J116),J93,J116)</f>
        <v>0</v>
      </c>
      <c r="K139" s="10">
        <f t="shared" si="59"/>
        <v>0</v>
      </c>
      <c r="L139" s="10">
        <f t="shared" si="59"/>
        <v>0</v>
      </c>
      <c r="M139" s="10">
        <f t="shared" si="59"/>
        <v>0</v>
      </c>
      <c r="N139" s="10">
        <f t="shared" si="59"/>
        <v>0</v>
      </c>
      <c r="O139" s="10">
        <f t="shared" si="59"/>
        <v>0</v>
      </c>
      <c r="P139" s="10">
        <f t="shared" si="59"/>
        <v>0</v>
      </c>
      <c r="Q139" s="10">
        <f t="shared" si="59"/>
        <v>0</v>
      </c>
      <c r="R139" s="10">
        <f t="shared" si="59"/>
        <v>0</v>
      </c>
      <c r="S139" s="10">
        <f t="shared" si="59"/>
        <v>0</v>
      </c>
      <c r="T139" s="171"/>
      <c r="U139" s="10">
        <f t="shared" si="47"/>
        <v>0</v>
      </c>
      <c r="V139" s="10">
        <f t="shared" si="48"/>
        <v>0</v>
      </c>
    </row>
    <row r="140" spans="5:22" hidden="1" outlineLevel="1" x14ac:dyDescent="0.35">
      <c r="E140" s="10" t="str">
        <f>InpC!$E$37</f>
        <v>South East Water</v>
      </c>
      <c r="F140" s="10" t="str">
        <f>InpC!$F$37</f>
        <v>SEW</v>
      </c>
      <c r="G140" s="22" t="str">
        <f t="shared" si="45"/>
        <v>nr</v>
      </c>
      <c r="J140" s="10">
        <f t="shared" ref="J140:S140" si="60">IF(ISBLANK(J117),J94,J117)</f>
        <v>0</v>
      </c>
      <c r="K140" s="10">
        <f t="shared" si="60"/>
        <v>0</v>
      </c>
      <c r="L140" s="10">
        <f t="shared" si="60"/>
        <v>0</v>
      </c>
      <c r="M140" s="10">
        <f t="shared" si="60"/>
        <v>0</v>
      </c>
      <c r="N140" s="10">
        <f t="shared" si="60"/>
        <v>0</v>
      </c>
      <c r="O140" s="10">
        <f t="shared" si="60"/>
        <v>0</v>
      </c>
      <c r="P140" s="10">
        <f t="shared" si="60"/>
        <v>0</v>
      </c>
      <c r="Q140" s="10">
        <f t="shared" si="60"/>
        <v>0</v>
      </c>
      <c r="R140" s="10">
        <f t="shared" si="60"/>
        <v>0</v>
      </c>
      <c r="S140" s="10">
        <f t="shared" si="60"/>
        <v>0</v>
      </c>
      <c r="T140" s="171"/>
      <c r="U140" s="10">
        <f t="shared" si="47"/>
        <v>0</v>
      </c>
      <c r="V140" s="10">
        <f t="shared" si="48"/>
        <v>0</v>
      </c>
    </row>
    <row r="141" spans="5:22" hidden="1" outlineLevel="1" x14ac:dyDescent="0.35">
      <c r="E141" s="10" t="str">
        <f>InpC!$E$38</f>
        <v>South Staffs Water</v>
      </c>
      <c r="F141" s="10" t="str">
        <f>InpC!$F$38</f>
        <v>SSC</v>
      </c>
      <c r="G141" s="22" t="str">
        <f t="shared" si="45"/>
        <v>nr</v>
      </c>
      <c r="J141" s="10">
        <f t="shared" ref="J141:S141" si="61">IF(ISBLANK(J118),J95,J118)</f>
        <v>0</v>
      </c>
      <c r="K141" s="10">
        <f t="shared" si="61"/>
        <v>0</v>
      </c>
      <c r="L141" s="10">
        <f t="shared" si="61"/>
        <v>0</v>
      </c>
      <c r="M141" s="10">
        <f t="shared" si="61"/>
        <v>0</v>
      </c>
      <c r="N141" s="10">
        <f t="shared" si="61"/>
        <v>0</v>
      </c>
      <c r="O141" s="10">
        <f t="shared" si="61"/>
        <v>0</v>
      </c>
      <c r="P141" s="10">
        <f t="shared" si="61"/>
        <v>0</v>
      </c>
      <c r="Q141" s="10">
        <f t="shared" si="61"/>
        <v>0</v>
      </c>
      <c r="R141" s="10">
        <f t="shared" si="61"/>
        <v>0</v>
      </c>
      <c r="S141" s="10">
        <f t="shared" si="61"/>
        <v>0</v>
      </c>
      <c r="T141" s="171"/>
      <c r="U141" s="10">
        <f t="shared" si="47"/>
        <v>0</v>
      </c>
      <c r="V141" s="10">
        <f t="shared" si="48"/>
        <v>0</v>
      </c>
    </row>
    <row r="142" spans="5:22" hidden="1" outlineLevel="1" x14ac:dyDescent="0.35">
      <c r="E142" s="10" t="str">
        <f>InpC!$E$39</f>
        <v>SES Water</v>
      </c>
      <c r="F142" s="10" t="str">
        <f>InpC!$F$39</f>
        <v>SES</v>
      </c>
      <c r="G142" s="22" t="str">
        <f t="shared" si="45"/>
        <v>nr</v>
      </c>
      <c r="J142" s="10">
        <f t="shared" ref="J142:S142" si="62">IF(ISBLANK(J119),J96,J119)</f>
        <v>0</v>
      </c>
      <c r="K142" s="10">
        <f t="shared" si="62"/>
        <v>0</v>
      </c>
      <c r="L142" s="10">
        <f t="shared" si="62"/>
        <v>0</v>
      </c>
      <c r="M142" s="10">
        <f t="shared" si="62"/>
        <v>0</v>
      </c>
      <c r="N142" s="10">
        <f t="shared" si="62"/>
        <v>0</v>
      </c>
      <c r="O142" s="10">
        <f t="shared" si="62"/>
        <v>0</v>
      </c>
      <c r="P142" s="10">
        <f t="shared" si="62"/>
        <v>0</v>
      </c>
      <c r="Q142" s="10">
        <f t="shared" si="62"/>
        <v>0</v>
      </c>
      <c r="R142" s="10">
        <f t="shared" si="62"/>
        <v>0</v>
      </c>
      <c r="S142" s="10">
        <f t="shared" si="62"/>
        <v>0</v>
      </c>
      <c r="T142" s="171"/>
      <c r="U142" s="10">
        <f t="shared" si="47"/>
        <v>0</v>
      </c>
      <c r="V142" s="10">
        <f t="shared" si="48"/>
        <v>0</v>
      </c>
    </row>
    <row r="143" spans="5:22" hidden="1" outlineLevel="1" x14ac:dyDescent="0.35">
      <c r="E143" s="10" t="str">
        <f>InpC!$E$40</f>
        <v>South West Water</v>
      </c>
      <c r="F143" s="10" t="str">
        <f>InpC!$F$40</f>
        <v>SWB</v>
      </c>
      <c r="G143" s="22" t="str">
        <f t="shared" si="45"/>
        <v>nr</v>
      </c>
      <c r="J143" s="10">
        <f t="shared" ref="J143:S143" si="63">IF(ISBLANK(J120),J97,J120)</f>
        <v>0</v>
      </c>
      <c r="K143" s="10">
        <f t="shared" si="63"/>
        <v>0</v>
      </c>
      <c r="L143" s="10">
        <f t="shared" si="63"/>
        <v>0</v>
      </c>
      <c r="M143" s="10">
        <f t="shared" si="63"/>
        <v>0</v>
      </c>
      <c r="N143" s="10">
        <f t="shared" si="63"/>
        <v>2743</v>
      </c>
      <c r="O143" s="10">
        <f t="shared" si="63"/>
        <v>2743</v>
      </c>
      <c r="P143" s="10">
        <f t="shared" si="63"/>
        <v>2743</v>
      </c>
      <c r="Q143" s="10">
        <f t="shared" si="63"/>
        <v>2743</v>
      </c>
      <c r="R143" s="10">
        <f t="shared" si="63"/>
        <v>2743</v>
      </c>
      <c r="S143" s="10">
        <f t="shared" si="63"/>
        <v>2743</v>
      </c>
      <c r="T143" s="171"/>
      <c r="U143" s="10">
        <f t="shared" si="47"/>
        <v>2743</v>
      </c>
      <c r="V143" s="10">
        <f t="shared" si="48"/>
        <v>13715</v>
      </c>
    </row>
    <row r="144" spans="5:22" hidden="1" outlineLevel="1" x14ac:dyDescent="0.35">
      <c r="E144" s="10" t="str">
        <f>InpC!$E$41</f>
        <v>Bristol Water</v>
      </c>
      <c r="F144" s="10" t="str">
        <f>InpC!$F$41</f>
        <v>BRL</v>
      </c>
      <c r="G144" s="22" t="str">
        <f t="shared" si="45"/>
        <v>nr</v>
      </c>
      <c r="J144" s="10">
        <f t="shared" ref="J144:S144" si="64">IF(ISBLANK(J121),J98,J121)</f>
        <v>0</v>
      </c>
      <c r="K144" s="10">
        <f t="shared" si="64"/>
        <v>0</v>
      </c>
      <c r="L144" s="10">
        <f t="shared" si="64"/>
        <v>0</v>
      </c>
      <c r="M144" s="10">
        <f t="shared" si="64"/>
        <v>0</v>
      </c>
      <c r="N144" s="10">
        <f t="shared" si="64"/>
        <v>0</v>
      </c>
      <c r="O144" s="10">
        <f t="shared" si="64"/>
        <v>0</v>
      </c>
      <c r="P144" s="10">
        <f t="shared" si="64"/>
        <v>0</v>
      </c>
      <c r="Q144" s="10">
        <f t="shared" si="64"/>
        <v>0</v>
      </c>
      <c r="R144" s="10">
        <f t="shared" si="64"/>
        <v>0</v>
      </c>
      <c r="S144" s="10">
        <f t="shared" si="64"/>
        <v>0</v>
      </c>
      <c r="T144" s="171"/>
      <c r="U144" s="10">
        <f t="shared" si="47"/>
        <v>0</v>
      </c>
      <c r="V144" s="10">
        <f t="shared" si="48"/>
        <v>0</v>
      </c>
    </row>
    <row r="145" spans="1:27" hidden="1" outlineLevel="1" x14ac:dyDescent="0.35">
      <c r="E145" s="10" t="s">
        <v>147</v>
      </c>
      <c r="G145" s="22" t="str">
        <f t="shared" si="45"/>
        <v>nr</v>
      </c>
      <c r="J145" s="170">
        <f>SUM(J128:J144)</f>
        <v>25174.006774136018</v>
      </c>
      <c r="K145" s="170">
        <f t="shared" ref="K145:S145" si="65">SUM(K128:K144)</f>
        <v>30706.522665689838</v>
      </c>
      <c r="L145" s="170">
        <f t="shared" si="65"/>
        <v>22536</v>
      </c>
      <c r="M145" s="170">
        <f t="shared" si="65"/>
        <v>20395.042228027087</v>
      </c>
      <c r="N145" s="170">
        <f t="shared" si="65"/>
        <v>26912.086567163791</v>
      </c>
      <c r="O145" s="170">
        <f t="shared" si="65"/>
        <v>26971.595576614476</v>
      </c>
      <c r="P145" s="170">
        <f t="shared" si="65"/>
        <v>27021.247055968757</v>
      </c>
      <c r="Q145" s="170">
        <f t="shared" si="65"/>
        <v>27075.573304884241</v>
      </c>
      <c r="R145" s="170">
        <f t="shared" si="65"/>
        <v>27127.629402624625</v>
      </c>
      <c r="S145" s="170">
        <f t="shared" si="65"/>
        <v>27182.362722962644</v>
      </c>
      <c r="T145" s="171"/>
      <c r="U145" s="170">
        <f t="shared" ref="U145:V145" si="66">SUM(U128:U144)</f>
        <v>27075.681612610948</v>
      </c>
      <c r="V145" s="170">
        <f t="shared" si="66"/>
        <v>135378.40806305473</v>
      </c>
    </row>
    <row r="147" spans="1:27" x14ac:dyDescent="0.35">
      <c r="A147" s="149"/>
      <c r="B147" s="149"/>
      <c r="C147" s="150"/>
      <c r="D147" s="151" t="str">
        <f>InpC!$H$50</f>
        <v>Traffic Management Act - Projects</v>
      </c>
      <c r="E147" s="152"/>
      <c r="F147" s="152"/>
      <c r="G147" s="22" t="s">
        <v>125</v>
      </c>
      <c r="H147" s="152"/>
      <c r="I147" s="153"/>
      <c r="J147" s="74">
        <f>J$2</f>
        <v>44286</v>
      </c>
      <c r="K147" s="74">
        <f t="shared" ref="K147:V147" si="67">K$2</f>
        <v>44651</v>
      </c>
      <c r="L147" s="74">
        <f t="shared" si="67"/>
        <v>45016</v>
      </c>
      <c r="M147" s="74">
        <f t="shared" si="67"/>
        <v>45382</v>
      </c>
      <c r="N147" s="74">
        <f t="shared" si="67"/>
        <v>45747</v>
      </c>
      <c r="O147" s="74">
        <f t="shared" si="67"/>
        <v>46112</v>
      </c>
      <c r="P147" s="74">
        <f t="shared" si="67"/>
        <v>46477</v>
      </c>
      <c r="Q147" s="74">
        <f t="shared" si="67"/>
        <v>46843</v>
      </c>
      <c r="R147" s="74">
        <f t="shared" si="67"/>
        <v>47208</v>
      </c>
      <c r="S147" s="74">
        <f t="shared" si="67"/>
        <v>47573</v>
      </c>
      <c r="T147" s="74"/>
      <c r="U147" s="74" t="str">
        <f t="shared" si="67"/>
        <v>PR24 Average</v>
      </c>
      <c r="V147" s="74" t="str">
        <f t="shared" si="67"/>
        <v>PR24 Total</v>
      </c>
      <c r="W147" s="74"/>
      <c r="X147" s="74"/>
      <c r="Z147" s="74"/>
      <c r="AA147" s="74"/>
    </row>
    <row r="148" spans="1:27" collapsed="1" x14ac:dyDescent="0.35">
      <c r="A148" s="149"/>
      <c r="B148" s="149"/>
      <c r="C148" s="150"/>
      <c r="D148" s="154"/>
      <c r="E148" s="5" t="s">
        <v>182</v>
      </c>
      <c r="F148" s="152"/>
      <c r="H148" s="152"/>
      <c r="I148" s="153"/>
      <c r="J148" s="152"/>
      <c r="K148" s="152"/>
      <c r="L148" s="152"/>
      <c r="M148" s="152"/>
      <c r="N148" s="152"/>
      <c r="O148" s="152"/>
      <c r="P148" s="152"/>
      <c r="Q148" s="152"/>
      <c r="R148" s="152"/>
      <c r="S148" s="152"/>
      <c r="T148" s="152"/>
      <c r="U148" s="152"/>
      <c r="V148" s="152"/>
      <c r="W148" s="152"/>
      <c r="X148" s="152"/>
      <c r="Z148" s="152"/>
      <c r="AA148" s="152"/>
    </row>
    <row r="149" spans="1:27" hidden="1" outlineLevel="1" x14ac:dyDescent="0.35">
      <c r="A149" s="149"/>
      <c r="B149" s="149"/>
      <c r="C149" s="150"/>
      <c r="D149" s="154"/>
      <c r="E149" s="152"/>
      <c r="F149" s="152"/>
      <c r="H149" s="152"/>
      <c r="I149" s="153"/>
      <c r="J149" s="152"/>
      <c r="K149" s="152"/>
      <c r="L149" s="152"/>
      <c r="M149" s="152"/>
      <c r="N149" s="152"/>
      <c r="O149" s="152"/>
      <c r="P149" s="152"/>
      <c r="Q149" s="152"/>
      <c r="R149" s="152"/>
      <c r="S149" s="152"/>
      <c r="T149" s="152"/>
      <c r="U149" s="152"/>
      <c r="V149" s="152"/>
      <c r="W149" s="152"/>
      <c r="X149" s="152"/>
      <c r="Z149" s="152"/>
      <c r="AA149" s="152"/>
    </row>
    <row r="150" spans="1:27" hidden="1" outlineLevel="1" x14ac:dyDescent="0.35">
      <c r="A150" s="149"/>
      <c r="B150" s="149"/>
      <c r="C150" s="150"/>
      <c r="D150" s="151"/>
      <c r="E150" s="152"/>
      <c r="F150" s="152"/>
      <c r="G150" s="22" t="s">
        <v>126</v>
      </c>
      <c r="H150" s="152"/>
      <c r="I150" s="153"/>
      <c r="J150" s="74"/>
      <c r="K150" s="74"/>
      <c r="L150" s="74"/>
      <c r="M150" s="74"/>
      <c r="N150" s="74"/>
      <c r="O150" s="74"/>
      <c r="P150" s="74"/>
      <c r="Q150" s="74"/>
      <c r="R150" s="74"/>
      <c r="S150" s="74"/>
      <c r="T150" s="74"/>
      <c r="U150" s="74"/>
      <c r="V150" s="74"/>
      <c r="W150" s="74"/>
      <c r="X150" s="74"/>
      <c r="Z150" s="74"/>
      <c r="AA150" s="74"/>
    </row>
    <row r="151" spans="1:27" hidden="1" outlineLevel="1" x14ac:dyDescent="0.35">
      <c r="A151" s="149"/>
      <c r="B151" s="149"/>
      <c r="C151" s="150"/>
      <c r="D151" s="154"/>
      <c r="E151" s="10" t="str">
        <f>InpC!$E$25</f>
        <v>Anglian Water</v>
      </c>
      <c r="F151" s="10" t="str">
        <f>InpC!$F$25</f>
        <v>ANH</v>
      </c>
      <c r="G151" s="22" t="s">
        <v>39</v>
      </c>
      <c r="H151" s="152"/>
      <c r="I151" s="153"/>
      <c r="J151" s="152">
        <f t="shared" ref="J151:S151" si="68">J13+J82</f>
        <v>34836</v>
      </c>
      <c r="K151" s="152">
        <f t="shared" si="68"/>
        <v>34250</v>
      </c>
      <c r="L151" s="152">
        <f t="shared" si="68"/>
        <v>18872</v>
      </c>
      <c r="M151" s="152">
        <f t="shared" si="68"/>
        <v>13043</v>
      </c>
      <c r="N151" s="152">
        <f t="shared" si="68"/>
        <v>19900</v>
      </c>
      <c r="O151" s="152">
        <f t="shared" si="68"/>
        <v>19900</v>
      </c>
      <c r="P151" s="152">
        <f t="shared" si="68"/>
        <v>19900</v>
      </c>
      <c r="Q151" s="152">
        <f t="shared" si="68"/>
        <v>19900</v>
      </c>
      <c r="R151" s="152">
        <f t="shared" si="68"/>
        <v>19900</v>
      </c>
      <c r="S151" s="152">
        <f t="shared" si="68"/>
        <v>19900</v>
      </c>
      <c r="T151" s="171"/>
      <c r="U151" s="152">
        <f t="shared" ref="U151:U167" si="69">IFERROR(AVERAGE(O151:S151),0)</f>
        <v>19900</v>
      </c>
      <c r="V151" s="152">
        <f t="shared" ref="V151:V167" si="70">SUM(O151:S151)</f>
        <v>99500</v>
      </c>
      <c r="W151" s="156"/>
      <c r="X151" s="156"/>
    </row>
    <row r="152" spans="1:27" hidden="1" outlineLevel="1" x14ac:dyDescent="0.35">
      <c r="A152" s="149"/>
      <c r="B152" s="149"/>
      <c r="C152" s="150"/>
      <c r="D152" s="154"/>
      <c r="E152" s="10" t="str">
        <f>InpC!$E$26</f>
        <v>Dŵr Cymru</v>
      </c>
      <c r="F152" s="10" t="str">
        <f>InpC!$F$26</f>
        <v>WSH</v>
      </c>
      <c r="G152" s="22" t="s">
        <v>39</v>
      </c>
      <c r="H152" s="152"/>
      <c r="I152" s="153"/>
      <c r="J152" s="152">
        <f t="shared" ref="J152:S152" si="71">J14+J83</f>
        <v>877</v>
      </c>
      <c r="K152" s="152">
        <f t="shared" si="71"/>
        <v>0</v>
      </c>
      <c r="L152" s="152">
        <f t="shared" si="71"/>
        <v>2138</v>
      </c>
      <c r="M152" s="152">
        <f t="shared" si="71"/>
        <v>4051</v>
      </c>
      <c r="N152" s="152">
        <f t="shared" si="71"/>
        <v>1186.818</v>
      </c>
      <c r="O152" s="152">
        <f t="shared" si="71"/>
        <v>929.49399999999991</v>
      </c>
      <c r="P152" s="152">
        <f t="shared" si="71"/>
        <v>886.98799999999994</v>
      </c>
      <c r="Q152" s="152">
        <f t="shared" si="71"/>
        <v>867.47199999999998</v>
      </c>
      <c r="R152" s="152">
        <f t="shared" si="71"/>
        <v>844.48300000000006</v>
      </c>
      <c r="S152" s="152">
        <f t="shared" si="71"/>
        <v>844.48300000000006</v>
      </c>
      <c r="T152" s="171"/>
      <c r="U152" s="152">
        <f t="shared" si="69"/>
        <v>874.58400000000006</v>
      </c>
      <c r="V152" s="152">
        <f t="shared" si="70"/>
        <v>4372.92</v>
      </c>
      <c r="W152" s="156"/>
      <c r="X152" s="156"/>
    </row>
    <row r="153" spans="1:27" hidden="1" outlineLevel="1" x14ac:dyDescent="0.35">
      <c r="A153" s="149"/>
      <c r="B153" s="149"/>
      <c r="C153" s="150"/>
      <c r="D153" s="154"/>
      <c r="E153" s="10" t="str">
        <f>InpC!$E$27</f>
        <v>Hafren Dyfrdwy</v>
      </c>
      <c r="F153" s="10" t="str">
        <f>InpC!$F$27</f>
        <v>HDD</v>
      </c>
      <c r="G153" s="22" t="s">
        <v>39</v>
      </c>
      <c r="H153" s="152"/>
      <c r="I153" s="153"/>
      <c r="J153" s="152">
        <f t="shared" ref="J153:S153" si="72">J15+J84</f>
        <v>0</v>
      </c>
      <c r="K153" s="152">
        <f t="shared" si="72"/>
        <v>0</v>
      </c>
      <c r="L153" s="152">
        <f t="shared" si="72"/>
        <v>0</v>
      </c>
      <c r="M153" s="152">
        <f t="shared" si="72"/>
        <v>0</v>
      </c>
      <c r="N153" s="152">
        <f t="shared" si="72"/>
        <v>0</v>
      </c>
      <c r="O153" s="152">
        <f t="shared" si="72"/>
        <v>0</v>
      </c>
      <c r="P153" s="152">
        <f t="shared" si="72"/>
        <v>0</v>
      </c>
      <c r="Q153" s="152">
        <f t="shared" si="72"/>
        <v>0</v>
      </c>
      <c r="R153" s="152">
        <f t="shared" si="72"/>
        <v>0</v>
      </c>
      <c r="S153" s="152">
        <f t="shared" si="72"/>
        <v>0</v>
      </c>
      <c r="T153" s="171"/>
      <c r="U153" s="152">
        <f t="shared" si="69"/>
        <v>0</v>
      </c>
      <c r="V153" s="152">
        <f t="shared" si="70"/>
        <v>0</v>
      </c>
      <c r="W153" s="156"/>
      <c r="X153" s="156"/>
    </row>
    <row r="154" spans="1:27" hidden="1" outlineLevel="1" x14ac:dyDescent="0.35">
      <c r="A154" s="149"/>
      <c r="B154" s="149"/>
      <c r="C154" s="150"/>
      <c r="D154" s="154"/>
      <c r="E154" s="10" t="str">
        <f>InpC!$E$28</f>
        <v>Northumbrian Water</v>
      </c>
      <c r="F154" s="10" t="str">
        <f>InpC!$F$28</f>
        <v>NES</v>
      </c>
      <c r="G154" s="22" t="s">
        <v>39</v>
      </c>
      <c r="H154" s="152"/>
      <c r="I154" s="153"/>
      <c r="J154" s="152">
        <f t="shared" ref="J154:S154" si="73">J16+J85</f>
        <v>14055</v>
      </c>
      <c r="K154" s="152">
        <f t="shared" si="73"/>
        <v>9862</v>
      </c>
      <c r="L154" s="152">
        <f t="shared" si="73"/>
        <v>9567</v>
      </c>
      <c r="M154" s="152">
        <f t="shared" si="73"/>
        <v>8485</v>
      </c>
      <c r="N154" s="152">
        <f t="shared" si="73"/>
        <v>10418</v>
      </c>
      <c r="O154" s="152">
        <f t="shared" si="73"/>
        <v>10937</v>
      </c>
      <c r="P154" s="152">
        <f t="shared" si="73"/>
        <v>11476</v>
      </c>
      <c r="Q154" s="152">
        <f t="shared" si="73"/>
        <v>12015</v>
      </c>
      <c r="R154" s="152">
        <f t="shared" si="73"/>
        <v>12532</v>
      </c>
      <c r="S154" s="152">
        <f t="shared" si="73"/>
        <v>13071</v>
      </c>
      <c r="T154" s="171"/>
      <c r="U154" s="152">
        <f t="shared" si="69"/>
        <v>12006.2</v>
      </c>
      <c r="V154" s="152">
        <f t="shared" si="70"/>
        <v>60031</v>
      </c>
      <c r="W154" s="156"/>
      <c r="X154" s="156"/>
    </row>
    <row r="155" spans="1:27" hidden="1" outlineLevel="1" x14ac:dyDescent="0.35">
      <c r="A155" s="149"/>
      <c r="B155" s="149"/>
      <c r="C155" s="150"/>
      <c r="D155" s="154"/>
      <c r="E155" s="10" t="str">
        <f>InpC!$E$29</f>
        <v>Severn Trent Water</v>
      </c>
      <c r="F155" s="10" t="str">
        <f>InpC!$F$29</f>
        <v>SVE</v>
      </c>
      <c r="G155" s="22" t="s">
        <v>39</v>
      </c>
      <c r="H155" s="152"/>
      <c r="I155" s="153"/>
      <c r="J155" s="152">
        <f t="shared" ref="J155:S155" si="74">J17+J86</f>
        <v>800</v>
      </c>
      <c r="K155" s="152">
        <f t="shared" si="74"/>
        <v>40869.000000000044</v>
      </c>
      <c r="L155" s="152">
        <f t="shared" si="74"/>
        <v>58244</v>
      </c>
      <c r="M155" s="152">
        <f t="shared" si="74"/>
        <v>38789.241789115389</v>
      </c>
      <c r="N155" s="152">
        <f t="shared" si="74"/>
        <v>37363.324768572238</v>
      </c>
      <c r="O155" s="152">
        <f t="shared" si="74"/>
        <v>58445.483046376794</v>
      </c>
      <c r="P155" s="152">
        <f t="shared" si="74"/>
        <v>58926.06688911136</v>
      </c>
      <c r="Q155" s="152">
        <f t="shared" si="74"/>
        <v>59406.852501407127</v>
      </c>
      <c r="R155" s="152">
        <f t="shared" si="74"/>
        <v>59906.485102668637</v>
      </c>
      <c r="S155" s="152">
        <f t="shared" si="74"/>
        <v>60387.677786386936</v>
      </c>
      <c r="T155" s="171"/>
      <c r="U155" s="152">
        <f t="shared" si="69"/>
        <v>59414.513065190171</v>
      </c>
      <c r="V155" s="152">
        <f t="shared" si="70"/>
        <v>297072.56532595085</v>
      </c>
      <c r="W155" s="156"/>
      <c r="X155" s="156"/>
    </row>
    <row r="156" spans="1:27" hidden="1" outlineLevel="1" x14ac:dyDescent="0.35">
      <c r="A156" s="149"/>
      <c r="B156" s="149"/>
      <c r="C156" s="150"/>
      <c r="D156" s="154"/>
      <c r="E156" s="10" t="str">
        <f>InpC!$E$30</f>
        <v>Southern Water</v>
      </c>
      <c r="F156" s="10" t="str">
        <f>InpC!$F$30</f>
        <v>SRN</v>
      </c>
      <c r="G156" s="22" t="s">
        <v>39</v>
      </c>
      <c r="H156" s="152"/>
      <c r="I156" s="153"/>
      <c r="J156" s="152">
        <f t="shared" ref="J156:S156" si="75">J18+J87</f>
        <v>37274</v>
      </c>
      <c r="K156" s="152">
        <f t="shared" si="75"/>
        <v>37768</v>
      </c>
      <c r="L156" s="152">
        <f t="shared" si="75"/>
        <v>41956</v>
      </c>
      <c r="M156" s="152">
        <f t="shared" si="75"/>
        <v>37296</v>
      </c>
      <c r="N156" s="152">
        <f t="shared" si="75"/>
        <v>38000</v>
      </c>
      <c r="O156" s="152">
        <f t="shared" si="75"/>
        <v>38000</v>
      </c>
      <c r="P156" s="152">
        <f t="shared" si="75"/>
        <v>38000</v>
      </c>
      <c r="Q156" s="152">
        <f t="shared" si="75"/>
        <v>38000</v>
      </c>
      <c r="R156" s="152">
        <f t="shared" si="75"/>
        <v>38000</v>
      </c>
      <c r="S156" s="152">
        <f t="shared" si="75"/>
        <v>38000</v>
      </c>
      <c r="T156" s="171"/>
      <c r="U156" s="152">
        <f t="shared" si="69"/>
        <v>38000</v>
      </c>
      <c r="V156" s="152">
        <f t="shared" si="70"/>
        <v>190000</v>
      </c>
      <c r="W156" s="156"/>
      <c r="X156" s="156"/>
    </row>
    <row r="157" spans="1:27" hidden="1" outlineLevel="1" x14ac:dyDescent="0.35">
      <c r="A157" s="149"/>
      <c r="B157" s="149"/>
      <c r="C157" s="150"/>
      <c r="D157" s="154"/>
      <c r="E157" s="10" t="str">
        <f>InpC!$E$31</f>
        <v>Thames Water</v>
      </c>
      <c r="F157" s="10" t="str">
        <f>InpC!$F$31</f>
        <v>TMS</v>
      </c>
      <c r="G157" s="22" t="s">
        <v>39</v>
      </c>
      <c r="H157" s="152"/>
      <c r="I157" s="153"/>
      <c r="J157" s="152">
        <f t="shared" ref="J157:S157" si="76">J19+J88</f>
        <v>61790</v>
      </c>
      <c r="K157" s="152">
        <f t="shared" si="76"/>
        <v>103213</v>
      </c>
      <c r="L157" s="152">
        <f t="shared" si="76"/>
        <v>96332</v>
      </c>
      <c r="M157" s="152">
        <f t="shared" si="76"/>
        <v>74411</v>
      </c>
      <c r="N157" s="152">
        <f t="shared" si="76"/>
        <v>99140</v>
      </c>
      <c r="O157" s="152">
        <f t="shared" si="76"/>
        <v>101575</v>
      </c>
      <c r="P157" s="152">
        <f t="shared" si="76"/>
        <v>101595</v>
      </c>
      <c r="Q157" s="152">
        <f t="shared" si="76"/>
        <v>101616.00900000001</v>
      </c>
      <c r="R157" s="152">
        <f t="shared" si="76"/>
        <v>101638.00900000001</v>
      </c>
      <c r="S157" s="152">
        <f t="shared" si="76"/>
        <v>101659</v>
      </c>
      <c r="T157" s="171"/>
      <c r="U157" s="152">
        <f t="shared" si="69"/>
        <v>101616.6036</v>
      </c>
      <c r="V157" s="152">
        <f t="shared" si="70"/>
        <v>508083.01800000004</v>
      </c>
      <c r="W157" s="156"/>
      <c r="X157" s="156"/>
    </row>
    <row r="158" spans="1:27" hidden="1" outlineLevel="1" x14ac:dyDescent="0.35">
      <c r="A158" s="149"/>
      <c r="B158" s="149"/>
      <c r="C158" s="150"/>
      <c r="D158" s="154"/>
      <c r="E158" s="10" t="str">
        <f>InpC!$E$32</f>
        <v>United Utilities</v>
      </c>
      <c r="F158" s="10" t="str">
        <f>InpC!$F$32</f>
        <v>NWT</v>
      </c>
      <c r="G158" s="22" t="s">
        <v>39</v>
      </c>
      <c r="H158" s="152"/>
      <c r="I158" s="153"/>
      <c r="J158" s="152">
        <f t="shared" ref="J158:S158" si="77">J20+J89</f>
        <v>37489.680582310619</v>
      </c>
      <c r="K158" s="152">
        <f t="shared" si="77"/>
        <v>44728</v>
      </c>
      <c r="L158" s="152">
        <f t="shared" si="77"/>
        <v>41943</v>
      </c>
      <c r="M158" s="152">
        <f t="shared" si="77"/>
        <v>31440.998780800823</v>
      </c>
      <c r="N158" s="152">
        <f t="shared" si="77"/>
        <v>32859</v>
      </c>
      <c r="O158" s="152">
        <f t="shared" si="77"/>
        <v>32896.102950660221</v>
      </c>
      <c r="P158" s="152">
        <f t="shared" si="77"/>
        <v>32896.102950660221</v>
      </c>
      <c r="Q158" s="152">
        <f t="shared" si="77"/>
        <v>32896.102950660221</v>
      </c>
      <c r="R158" s="152">
        <f t="shared" si="77"/>
        <v>32896.102950660221</v>
      </c>
      <c r="S158" s="152">
        <f t="shared" si="77"/>
        <v>32896.102950660221</v>
      </c>
      <c r="T158" s="171"/>
      <c r="U158" s="152">
        <f t="shared" si="69"/>
        <v>32896.102950660221</v>
      </c>
      <c r="V158" s="152">
        <f t="shared" si="70"/>
        <v>164480.5147533011</v>
      </c>
      <c r="W158" s="156"/>
      <c r="X158" s="156"/>
    </row>
    <row r="159" spans="1:27" hidden="1" outlineLevel="1" x14ac:dyDescent="0.35">
      <c r="A159" s="149"/>
      <c r="B159" s="149"/>
      <c r="C159" s="150"/>
      <c r="D159" s="154"/>
      <c r="E159" s="10" t="str">
        <f>InpC!$E$33</f>
        <v>Wessex Water</v>
      </c>
      <c r="F159" s="10" t="str">
        <f>InpC!$F$33</f>
        <v>WSX</v>
      </c>
      <c r="G159" s="22" t="s">
        <v>39</v>
      </c>
      <c r="H159" s="152"/>
      <c r="I159" s="153"/>
      <c r="J159" s="152">
        <f t="shared" ref="J159:S159" si="78">J21+J90</f>
        <v>2876</v>
      </c>
      <c r="K159" s="152">
        <f t="shared" si="78"/>
        <v>4073</v>
      </c>
      <c r="L159" s="152">
        <f t="shared" si="78"/>
        <v>4583</v>
      </c>
      <c r="M159" s="152">
        <f t="shared" si="78"/>
        <v>2751</v>
      </c>
      <c r="N159" s="152">
        <f t="shared" si="78"/>
        <v>3850</v>
      </c>
      <c r="O159" s="152">
        <f t="shared" si="78"/>
        <v>3850</v>
      </c>
      <c r="P159" s="152">
        <f t="shared" si="78"/>
        <v>3850</v>
      </c>
      <c r="Q159" s="152">
        <f t="shared" si="78"/>
        <v>3850</v>
      </c>
      <c r="R159" s="152">
        <f t="shared" si="78"/>
        <v>3850</v>
      </c>
      <c r="S159" s="152">
        <f t="shared" si="78"/>
        <v>3850</v>
      </c>
      <c r="T159" s="171"/>
      <c r="U159" s="152">
        <f t="shared" si="69"/>
        <v>3850</v>
      </c>
      <c r="V159" s="152">
        <f t="shared" si="70"/>
        <v>19250</v>
      </c>
      <c r="W159" s="156"/>
      <c r="X159" s="156"/>
    </row>
    <row r="160" spans="1:27" hidden="1" outlineLevel="1" x14ac:dyDescent="0.35">
      <c r="A160" s="149"/>
      <c r="B160" s="149"/>
      <c r="C160" s="150"/>
      <c r="D160" s="154"/>
      <c r="E160" s="10" t="str">
        <f>InpC!$E$34</f>
        <v>Yorkshire Water</v>
      </c>
      <c r="F160" s="10" t="str">
        <f>InpC!$F$34</f>
        <v>YKY</v>
      </c>
      <c r="G160" s="22" t="s">
        <v>39</v>
      </c>
      <c r="H160" s="152"/>
      <c r="I160" s="153"/>
      <c r="J160" s="152">
        <f t="shared" ref="J160:S160" si="79">J22+J91</f>
        <v>28708</v>
      </c>
      <c r="K160" s="152">
        <f t="shared" si="79"/>
        <v>22242.109999999997</v>
      </c>
      <c r="L160" s="152">
        <f t="shared" si="79"/>
        <v>21611</v>
      </c>
      <c r="M160" s="152">
        <f t="shared" si="79"/>
        <v>25523</v>
      </c>
      <c r="N160" s="152">
        <f t="shared" si="79"/>
        <v>21742</v>
      </c>
      <c r="O160" s="152">
        <f t="shared" si="79"/>
        <v>21742</v>
      </c>
      <c r="P160" s="152">
        <f t="shared" si="79"/>
        <v>21742</v>
      </c>
      <c r="Q160" s="152">
        <f t="shared" si="79"/>
        <v>21742</v>
      </c>
      <c r="R160" s="152">
        <f t="shared" si="79"/>
        <v>21742</v>
      </c>
      <c r="S160" s="152">
        <f t="shared" si="79"/>
        <v>21742</v>
      </c>
      <c r="T160" s="171"/>
      <c r="U160" s="152">
        <f t="shared" si="69"/>
        <v>21742</v>
      </c>
      <c r="V160" s="152">
        <f t="shared" si="70"/>
        <v>108710</v>
      </c>
      <c r="W160" s="156"/>
      <c r="X160" s="156"/>
    </row>
    <row r="161" spans="1:27" hidden="1" outlineLevel="1" x14ac:dyDescent="0.35">
      <c r="A161" s="149"/>
      <c r="B161" s="149"/>
      <c r="C161" s="150"/>
      <c r="D161" s="154"/>
      <c r="E161" s="10" t="str">
        <f>InpC!$E$35</f>
        <v>Affinity Water</v>
      </c>
      <c r="F161" s="10" t="str">
        <f>InpC!$F$35</f>
        <v>AFW</v>
      </c>
      <c r="G161" s="22" t="s">
        <v>39</v>
      </c>
      <c r="H161" s="152"/>
      <c r="I161" s="153"/>
      <c r="J161" s="152">
        <f t="shared" ref="J161:S161" si="80">J23+J92</f>
        <v>25.216000000000001</v>
      </c>
      <c r="K161" s="152">
        <f t="shared" si="80"/>
        <v>24441.440867070502</v>
      </c>
      <c r="L161" s="152">
        <f t="shared" si="80"/>
        <v>25354.19091949637</v>
      </c>
      <c r="M161" s="152">
        <f t="shared" si="80"/>
        <v>23744.716</v>
      </c>
      <c r="N161" s="152">
        <f t="shared" si="80"/>
        <v>25000</v>
      </c>
      <c r="O161" s="152">
        <f t="shared" si="80"/>
        <v>25000</v>
      </c>
      <c r="P161" s="152">
        <f t="shared" si="80"/>
        <v>25000</v>
      </c>
      <c r="Q161" s="152">
        <f t="shared" si="80"/>
        <v>25000</v>
      </c>
      <c r="R161" s="152">
        <f t="shared" si="80"/>
        <v>25000</v>
      </c>
      <c r="S161" s="152">
        <f t="shared" si="80"/>
        <v>25000</v>
      </c>
      <c r="T161" s="171"/>
      <c r="U161" s="152">
        <f t="shared" si="69"/>
        <v>25000</v>
      </c>
      <c r="V161" s="152">
        <f t="shared" si="70"/>
        <v>125000</v>
      </c>
      <c r="W161" s="156"/>
      <c r="X161" s="156"/>
    </row>
    <row r="162" spans="1:27" hidden="1" outlineLevel="1" x14ac:dyDescent="0.35">
      <c r="A162" s="149"/>
      <c r="B162" s="149"/>
      <c r="C162" s="150"/>
      <c r="D162" s="154"/>
      <c r="E162" s="10" t="str">
        <f>InpC!$E$36</f>
        <v>Portsmouth Water</v>
      </c>
      <c r="F162" s="10" t="str">
        <f>InpC!$F$36</f>
        <v>PRT</v>
      </c>
      <c r="G162" s="22" t="s">
        <v>39</v>
      </c>
      <c r="H162" s="152"/>
      <c r="I162" s="153"/>
      <c r="J162" s="152">
        <f t="shared" ref="J162:S162" si="81">J24+J93</f>
        <v>0</v>
      </c>
      <c r="K162" s="152">
        <f t="shared" si="81"/>
        <v>0</v>
      </c>
      <c r="L162" s="152">
        <f t="shared" si="81"/>
        <v>0</v>
      </c>
      <c r="M162" s="152">
        <f t="shared" si="81"/>
        <v>4120</v>
      </c>
      <c r="N162" s="152">
        <f t="shared" si="81"/>
        <v>5857</v>
      </c>
      <c r="O162" s="152">
        <f t="shared" si="81"/>
        <v>6957</v>
      </c>
      <c r="P162" s="152">
        <f t="shared" si="81"/>
        <v>7569</v>
      </c>
      <c r="Q162" s="152">
        <f t="shared" si="81"/>
        <v>6957</v>
      </c>
      <c r="R162" s="152">
        <f t="shared" si="81"/>
        <v>6957</v>
      </c>
      <c r="S162" s="152">
        <f t="shared" si="81"/>
        <v>6957</v>
      </c>
      <c r="T162" s="171"/>
      <c r="U162" s="152">
        <f t="shared" si="69"/>
        <v>7079.4</v>
      </c>
      <c r="V162" s="152">
        <f t="shared" si="70"/>
        <v>35397</v>
      </c>
      <c r="W162" s="156"/>
      <c r="X162" s="156"/>
    </row>
    <row r="163" spans="1:27" hidden="1" outlineLevel="1" x14ac:dyDescent="0.35">
      <c r="A163" s="149"/>
      <c r="B163" s="149"/>
      <c r="C163" s="150"/>
      <c r="D163" s="154"/>
      <c r="E163" s="10" t="str">
        <f>InpC!$E$37</f>
        <v>South East Water</v>
      </c>
      <c r="F163" s="10" t="str">
        <f>InpC!$F$37</f>
        <v>SEW</v>
      </c>
      <c r="G163" s="22" t="s">
        <v>39</v>
      </c>
      <c r="H163" s="152"/>
      <c r="I163" s="153"/>
      <c r="J163" s="152">
        <f t="shared" ref="J163:S163" si="82">J25+J94</f>
        <v>24470</v>
      </c>
      <c r="K163" s="152">
        <f t="shared" si="82"/>
        <v>22888</v>
      </c>
      <c r="L163" s="152">
        <f t="shared" si="82"/>
        <v>18931</v>
      </c>
      <c r="M163" s="152">
        <f t="shared" si="82"/>
        <v>21517</v>
      </c>
      <c r="N163" s="152">
        <f t="shared" si="82"/>
        <v>21662</v>
      </c>
      <c r="O163" s="152">
        <f t="shared" si="82"/>
        <v>21749</v>
      </c>
      <c r="P163" s="152">
        <f t="shared" si="82"/>
        <v>21827</v>
      </c>
      <c r="Q163" s="152">
        <f t="shared" si="82"/>
        <v>21936</v>
      </c>
      <c r="R163" s="152">
        <f t="shared" si="82"/>
        <v>22070</v>
      </c>
      <c r="S163" s="152">
        <f t="shared" si="82"/>
        <v>22253</v>
      </c>
      <c r="T163" s="171"/>
      <c r="U163" s="152">
        <f t="shared" si="69"/>
        <v>21967</v>
      </c>
      <c r="V163" s="152">
        <f t="shared" si="70"/>
        <v>109835</v>
      </c>
      <c r="W163" s="156"/>
      <c r="X163" s="156"/>
    </row>
    <row r="164" spans="1:27" hidden="1" outlineLevel="1" x14ac:dyDescent="0.35">
      <c r="A164" s="149"/>
      <c r="B164" s="149"/>
      <c r="C164" s="150"/>
      <c r="D164" s="154"/>
      <c r="E164" s="10" t="str">
        <f>InpC!$E$38</f>
        <v>South Staffs Water</v>
      </c>
      <c r="F164" s="10" t="str">
        <f>InpC!$F$38</f>
        <v>SSC</v>
      </c>
      <c r="G164" s="22" t="s">
        <v>39</v>
      </c>
      <c r="H164" s="152"/>
      <c r="I164" s="153"/>
      <c r="J164" s="152">
        <f t="shared" ref="J164:S164" si="83">J26+J95</f>
        <v>6108</v>
      </c>
      <c r="K164" s="152">
        <f t="shared" si="83"/>
        <v>4117</v>
      </c>
      <c r="L164" s="152">
        <f t="shared" si="83"/>
        <v>9974</v>
      </c>
      <c r="M164" s="152">
        <f t="shared" si="83"/>
        <v>9974</v>
      </c>
      <c r="N164" s="152">
        <f t="shared" si="83"/>
        <v>9974</v>
      </c>
      <c r="O164" s="152">
        <f t="shared" si="83"/>
        <v>9974</v>
      </c>
      <c r="P164" s="152">
        <f t="shared" si="83"/>
        <v>9974</v>
      </c>
      <c r="Q164" s="152">
        <f t="shared" si="83"/>
        <v>9974</v>
      </c>
      <c r="R164" s="152">
        <f t="shared" si="83"/>
        <v>9974</v>
      </c>
      <c r="S164" s="152">
        <f t="shared" si="83"/>
        <v>9974</v>
      </c>
      <c r="T164" s="171"/>
      <c r="U164" s="152">
        <f t="shared" si="69"/>
        <v>9974</v>
      </c>
      <c r="V164" s="152">
        <f t="shared" si="70"/>
        <v>49870</v>
      </c>
      <c r="W164" s="156"/>
      <c r="X164" s="156"/>
    </row>
    <row r="165" spans="1:27" hidden="1" outlineLevel="1" x14ac:dyDescent="0.35">
      <c r="A165" s="149"/>
      <c r="B165" s="149"/>
      <c r="C165" s="150"/>
      <c r="D165" s="154"/>
      <c r="E165" s="10" t="str">
        <f>InpC!$E$39</f>
        <v>SES Water</v>
      </c>
      <c r="F165" s="10" t="str">
        <f>InpC!$F$39</f>
        <v>SES</v>
      </c>
      <c r="G165" s="22" t="s">
        <v>39</v>
      </c>
      <c r="H165" s="152"/>
      <c r="I165" s="153"/>
      <c r="J165" s="152">
        <f t="shared" ref="J165:S165" si="84">J27+J96</f>
        <v>3538</v>
      </c>
      <c r="K165" s="152">
        <f t="shared" si="84"/>
        <v>7606</v>
      </c>
      <c r="L165" s="152">
        <f t="shared" si="84"/>
        <v>6275</v>
      </c>
      <c r="M165" s="152">
        <f t="shared" si="84"/>
        <v>248</v>
      </c>
      <c r="N165" s="152">
        <f t="shared" si="84"/>
        <v>6650</v>
      </c>
      <c r="O165" s="152">
        <f t="shared" si="84"/>
        <v>6650</v>
      </c>
      <c r="P165" s="152">
        <f t="shared" si="84"/>
        <v>6650</v>
      </c>
      <c r="Q165" s="152">
        <f t="shared" si="84"/>
        <v>6650</v>
      </c>
      <c r="R165" s="152">
        <f t="shared" si="84"/>
        <v>6650</v>
      </c>
      <c r="S165" s="152">
        <f t="shared" si="84"/>
        <v>6650</v>
      </c>
      <c r="T165" s="171"/>
      <c r="U165" s="152">
        <f t="shared" si="69"/>
        <v>6650</v>
      </c>
      <c r="V165" s="152">
        <f t="shared" si="70"/>
        <v>33250</v>
      </c>
      <c r="W165" s="156"/>
      <c r="X165" s="156"/>
    </row>
    <row r="166" spans="1:27" hidden="1" outlineLevel="1" x14ac:dyDescent="0.35">
      <c r="A166" s="149"/>
      <c r="B166" s="149"/>
      <c r="C166" s="150"/>
      <c r="D166" s="154"/>
      <c r="E166" s="10" t="str">
        <f>InpC!$E$40</f>
        <v>South West Water</v>
      </c>
      <c r="F166" s="10" t="str">
        <f>InpC!$F$40</f>
        <v>SWB</v>
      </c>
      <c r="G166" s="22" t="s">
        <v>39</v>
      </c>
      <c r="H166" s="152"/>
      <c r="I166" s="153"/>
      <c r="J166" s="152">
        <f t="shared" ref="J166:S166" si="85">J28+J97</f>
        <v>0</v>
      </c>
      <c r="K166" s="152">
        <f t="shared" si="85"/>
        <v>0</v>
      </c>
      <c r="L166" s="152">
        <f t="shared" si="85"/>
        <v>0</v>
      </c>
      <c r="M166" s="152">
        <f t="shared" si="85"/>
        <v>4597</v>
      </c>
      <c r="N166" s="152">
        <f t="shared" si="85"/>
        <v>26993</v>
      </c>
      <c r="O166" s="152">
        <f t="shared" si="85"/>
        <v>25266</v>
      </c>
      <c r="P166" s="152">
        <f t="shared" si="85"/>
        <v>25266</v>
      </c>
      <c r="Q166" s="152">
        <f t="shared" si="85"/>
        <v>25266</v>
      </c>
      <c r="R166" s="152">
        <f t="shared" si="85"/>
        <v>25266</v>
      </c>
      <c r="S166" s="152">
        <f t="shared" si="85"/>
        <v>25266</v>
      </c>
      <c r="T166" s="171"/>
      <c r="U166" s="152">
        <f t="shared" si="69"/>
        <v>25266</v>
      </c>
      <c r="V166" s="152">
        <f t="shared" si="70"/>
        <v>126330</v>
      </c>
      <c r="W166" s="156"/>
      <c r="X166" s="156"/>
    </row>
    <row r="167" spans="1:27" hidden="1" outlineLevel="1" x14ac:dyDescent="0.35">
      <c r="A167" s="149"/>
      <c r="B167" s="149"/>
      <c r="C167" s="150"/>
      <c r="D167" s="154"/>
      <c r="E167" s="10" t="str">
        <f>InpC!$E$41</f>
        <v>Bristol Water</v>
      </c>
      <c r="F167" s="10" t="str">
        <f>InpC!$F$41</f>
        <v>BRL</v>
      </c>
      <c r="G167" s="22" t="s">
        <v>39</v>
      </c>
      <c r="H167" s="152"/>
      <c r="I167" s="153"/>
      <c r="J167" s="152">
        <f t="shared" ref="J167:S167" si="86">J29+J98</f>
        <v>181</v>
      </c>
      <c r="K167" s="152">
        <f t="shared" si="86"/>
        <v>11681</v>
      </c>
      <c r="L167" s="152">
        <f t="shared" si="86"/>
        <v>13989</v>
      </c>
      <c r="M167" s="152">
        <f t="shared" si="86"/>
        <v>14099</v>
      </c>
      <c r="N167" s="152">
        <f t="shared" si="86"/>
        <v>13989</v>
      </c>
      <c r="O167" s="152">
        <f t="shared" si="86"/>
        <v>22523</v>
      </c>
      <c r="P167" s="152">
        <f t="shared" si="86"/>
        <v>22523</v>
      </c>
      <c r="Q167" s="152">
        <f t="shared" si="86"/>
        <v>22523</v>
      </c>
      <c r="R167" s="152">
        <f t="shared" si="86"/>
        <v>22523</v>
      </c>
      <c r="S167" s="152">
        <f t="shared" si="86"/>
        <v>22523</v>
      </c>
      <c r="T167" s="171"/>
      <c r="U167" s="152">
        <f t="shared" si="69"/>
        <v>22523</v>
      </c>
      <c r="V167" s="152">
        <f t="shared" si="70"/>
        <v>112615</v>
      </c>
      <c r="W167" s="156"/>
      <c r="X167" s="156"/>
    </row>
    <row r="168" spans="1:27" hidden="1" outlineLevel="1" x14ac:dyDescent="0.35">
      <c r="A168" s="149"/>
      <c r="B168" s="149"/>
      <c r="C168" s="150"/>
      <c r="D168" s="154"/>
      <c r="E168" s="10" t="s">
        <v>147</v>
      </c>
      <c r="G168" s="22" t="s">
        <v>39</v>
      </c>
      <c r="H168" s="152"/>
      <c r="I168" s="153"/>
      <c r="J168" s="173">
        <f>SUM(J151:J167)</f>
        <v>253027.89658231061</v>
      </c>
      <c r="K168" s="173">
        <f t="shared" ref="K168:S168" si="87">SUM(K151:K167)</f>
        <v>367738.55086707056</v>
      </c>
      <c r="L168" s="173">
        <f t="shared" si="87"/>
        <v>369769.19091949635</v>
      </c>
      <c r="M168" s="173">
        <f t="shared" si="87"/>
        <v>314089.95656991622</v>
      </c>
      <c r="N168" s="173">
        <f t="shared" si="87"/>
        <v>374584.1427685722</v>
      </c>
      <c r="O168" s="173">
        <f t="shared" si="87"/>
        <v>406394.07999703701</v>
      </c>
      <c r="P168" s="173">
        <f t="shared" si="87"/>
        <v>408081.15783977159</v>
      </c>
      <c r="Q168" s="173">
        <f t="shared" si="87"/>
        <v>408599.43645206734</v>
      </c>
      <c r="R168" s="173">
        <f t="shared" si="87"/>
        <v>409749.08005332889</v>
      </c>
      <c r="S168" s="173">
        <f t="shared" si="87"/>
        <v>410973.26373704715</v>
      </c>
      <c r="T168" s="171"/>
      <c r="U168" s="173">
        <f t="shared" ref="U168:V168" si="88">SUM(U151:U167)</f>
        <v>408759.40361585043</v>
      </c>
      <c r="V168" s="173">
        <f t="shared" si="88"/>
        <v>2043797.018079252</v>
      </c>
      <c r="W168" s="156"/>
      <c r="X168" s="156"/>
    </row>
    <row r="169" spans="1:27" x14ac:dyDescent="0.35">
      <c r="A169" s="149"/>
      <c r="B169" s="149"/>
      <c r="C169" s="150"/>
      <c r="D169" s="154"/>
      <c r="E169" s="152"/>
      <c r="F169" s="152"/>
      <c r="H169" s="152"/>
      <c r="I169" s="153"/>
      <c r="J169" s="152"/>
      <c r="K169" s="152"/>
      <c r="L169" s="152"/>
      <c r="M169" s="152"/>
      <c r="N169" s="152"/>
      <c r="O169" s="152"/>
      <c r="P169" s="152"/>
      <c r="Q169" s="152"/>
      <c r="R169" s="152"/>
      <c r="S169" s="152"/>
      <c r="T169" s="152"/>
      <c r="U169" s="152"/>
      <c r="V169" s="152"/>
      <c r="W169" s="152"/>
      <c r="X169" s="152"/>
      <c r="Z169" s="152"/>
      <c r="AA169" s="152"/>
    </row>
    <row r="170" spans="1:27" x14ac:dyDescent="0.35">
      <c r="A170" s="149"/>
      <c r="B170" s="149"/>
      <c r="C170" s="150"/>
      <c r="D170" s="151" t="str">
        <f>D147</f>
        <v>Traffic Management Act - Projects</v>
      </c>
      <c r="E170" s="152"/>
      <c r="F170" s="152"/>
      <c r="G170" s="22" t="s">
        <v>125</v>
      </c>
      <c r="H170" s="152"/>
      <c r="I170" s="153"/>
      <c r="J170" s="74">
        <f>J$2</f>
        <v>44286</v>
      </c>
      <c r="K170" s="74">
        <f t="shared" ref="K170:V170" si="89">K$2</f>
        <v>44651</v>
      </c>
      <c r="L170" s="74">
        <f t="shared" si="89"/>
        <v>45016</v>
      </c>
      <c r="M170" s="74">
        <f t="shared" si="89"/>
        <v>45382</v>
      </c>
      <c r="N170" s="74">
        <f t="shared" si="89"/>
        <v>45747</v>
      </c>
      <c r="O170" s="74">
        <f t="shared" si="89"/>
        <v>46112</v>
      </c>
      <c r="P170" s="74">
        <f t="shared" si="89"/>
        <v>46477</v>
      </c>
      <c r="Q170" s="74">
        <f t="shared" si="89"/>
        <v>46843</v>
      </c>
      <c r="R170" s="74">
        <f t="shared" si="89"/>
        <v>47208</v>
      </c>
      <c r="S170" s="74">
        <f t="shared" si="89"/>
        <v>47573</v>
      </c>
      <c r="T170" s="74"/>
      <c r="U170" s="74" t="str">
        <f t="shared" si="89"/>
        <v>PR24 Average</v>
      </c>
      <c r="V170" s="74" t="str">
        <f t="shared" si="89"/>
        <v>PR24 Total</v>
      </c>
      <c r="W170" s="74"/>
      <c r="X170" s="74"/>
      <c r="Z170" s="74"/>
      <c r="AA170" s="74"/>
    </row>
    <row r="171" spans="1:27" collapsed="1" x14ac:dyDescent="0.35">
      <c r="A171" s="149"/>
      <c r="B171" s="149"/>
      <c r="C171" s="150"/>
      <c r="D171" s="154"/>
      <c r="E171" s="5" t="s">
        <v>183</v>
      </c>
      <c r="F171" s="152"/>
      <c r="H171" s="152"/>
      <c r="I171" s="153"/>
      <c r="J171" s="152"/>
      <c r="K171" s="152"/>
      <c r="L171" s="152"/>
      <c r="M171" s="152"/>
      <c r="N171" s="152"/>
      <c r="O171" s="152"/>
      <c r="P171" s="152"/>
      <c r="Q171" s="152"/>
      <c r="R171" s="152"/>
      <c r="S171" s="152"/>
      <c r="T171" s="152"/>
      <c r="U171" s="152"/>
      <c r="V171" s="152"/>
      <c r="W171" s="152"/>
      <c r="X171" s="152"/>
      <c r="Z171" s="152"/>
      <c r="AA171" s="152"/>
    </row>
    <row r="172" spans="1:27" hidden="1" outlineLevel="1" x14ac:dyDescent="0.35">
      <c r="A172" s="149"/>
      <c r="B172" s="149"/>
      <c r="C172" s="150"/>
      <c r="D172" s="154"/>
      <c r="E172" s="152"/>
      <c r="F172" s="152"/>
      <c r="H172" s="152"/>
      <c r="I172" s="153"/>
      <c r="J172" s="152"/>
      <c r="K172" s="152"/>
      <c r="L172" s="152"/>
      <c r="M172" s="152"/>
      <c r="N172" s="152"/>
      <c r="O172" s="152"/>
      <c r="P172" s="152"/>
      <c r="Q172" s="152"/>
      <c r="R172" s="152"/>
      <c r="S172" s="152"/>
      <c r="T172" s="152"/>
      <c r="U172" s="152"/>
      <c r="V172" s="152"/>
      <c r="W172" s="152"/>
      <c r="X172" s="152"/>
      <c r="Z172" s="152"/>
      <c r="AA172" s="152"/>
    </row>
    <row r="173" spans="1:27" hidden="1" outlineLevel="1" x14ac:dyDescent="0.35">
      <c r="A173" s="149"/>
      <c r="B173" s="149"/>
      <c r="C173" s="150"/>
      <c r="D173" s="151"/>
      <c r="E173" s="152"/>
      <c r="F173" s="152"/>
      <c r="G173" s="22" t="s">
        <v>126</v>
      </c>
      <c r="H173" s="152"/>
      <c r="I173" s="153"/>
      <c r="J173" s="74"/>
      <c r="K173" s="74"/>
      <c r="L173" s="74"/>
      <c r="M173" s="74"/>
      <c r="N173" s="74"/>
      <c r="O173" s="74"/>
      <c r="P173" s="74"/>
      <c r="Q173" s="74"/>
      <c r="R173" s="74"/>
      <c r="S173" s="74"/>
      <c r="T173" s="74"/>
      <c r="U173" s="74"/>
      <c r="V173" s="74"/>
      <c r="W173" s="74"/>
      <c r="X173" s="74"/>
      <c r="Z173" s="74"/>
      <c r="AA173" s="74"/>
    </row>
    <row r="174" spans="1:27" hidden="1" outlineLevel="1" x14ac:dyDescent="0.35">
      <c r="A174" s="149"/>
      <c r="B174" s="149"/>
      <c r="C174" s="150"/>
      <c r="D174" s="154"/>
      <c r="E174" s="10" t="str">
        <f>InpC!$E$25</f>
        <v>Anglian Water</v>
      </c>
      <c r="F174" s="10" t="str">
        <f>InpC!$F$25</f>
        <v>ANH</v>
      </c>
      <c r="G174" s="22" t="str">
        <f t="shared" ref="G174:G191" si="90" xml:space="preserve"> G151</f>
        <v>nr</v>
      </c>
      <c r="H174" s="152"/>
      <c r="I174" s="153"/>
      <c r="J174" s="152">
        <f t="shared" ref="J174:S174" si="91">J36+J105</f>
        <v>0</v>
      </c>
      <c r="K174" s="152">
        <f t="shared" si="91"/>
        <v>0</v>
      </c>
      <c r="L174" s="152">
        <f t="shared" si="91"/>
        <v>0</v>
      </c>
      <c r="M174" s="152">
        <f t="shared" si="91"/>
        <v>0</v>
      </c>
      <c r="N174" s="152">
        <f t="shared" si="91"/>
        <v>0</v>
      </c>
      <c r="O174" s="152">
        <f t="shared" si="91"/>
        <v>0</v>
      </c>
      <c r="P174" s="152">
        <f t="shared" si="91"/>
        <v>0</v>
      </c>
      <c r="Q174" s="152">
        <f t="shared" si="91"/>
        <v>0</v>
      </c>
      <c r="R174" s="152">
        <f t="shared" si="91"/>
        <v>0</v>
      </c>
      <c r="S174" s="152">
        <f t="shared" si="91"/>
        <v>0</v>
      </c>
      <c r="T174" s="171"/>
      <c r="U174" s="152">
        <f t="shared" ref="U174:U190" si="92">IFERROR(AVERAGE(O174:S174),0)</f>
        <v>0</v>
      </c>
      <c r="V174" s="152">
        <f t="shared" ref="V174:V190" si="93">SUM(O174:S174)</f>
        <v>0</v>
      </c>
      <c r="W174" s="156"/>
      <c r="X174" s="156"/>
    </row>
    <row r="175" spans="1:27" hidden="1" outlineLevel="1" x14ac:dyDescent="0.35">
      <c r="A175" s="149"/>
      <c r="B175" s="149"/>
      <c r="C175" s="150"/>
      <c r="D175" s="154"/>
      <c r="E175" s="10" t="str">
        <f>InpC!$E$26</f>
        <v>Dŵr Cymru</v>
      </c>
      <c r="F175" s="10" t="str">
        <f>InpC!$F$26</f>
        <v>WSH</v>
      </c>
      <c r="G175" s="22" t="str">
        <f t="shared" si="90"/>
        <v>nr</v>
      </c>
      <c r="H175" s="152"/>
      <c r="I175" s="153"/>
      <c r="J175" s="152">
        <f t="shared" ref="J175:S175" si="94">J37+J106</f>
        <v>0</v>
      </c>
      <c r="K175" s="152">
        <f t="shared" si="94"/>
        <v>0</v>
      </c>
      <c r="L175" s="152">
        <f t="shared" si="94"/>
        <v>0</v>
      </c>
      <c r="M175" s="152">
        <f t="shared" si="94"/>
        <v>0</v>
      </c>
      <c r="N175" s="152">
        <f t="shared" si="94"/>
        <v>0</v>
      </c>
      <c r="O175" s="152">
        <f t="shared" si="94"/>
        <v>0</v>
      </c>
      <c r="P175" s="152">
        <f t="shared" si="94"/>
        <v>0</v>
      </c>
      <c r="Q175" s="152">
        <f t="shared" si="94"/>
        <v>0</v>
      </c>
      <c r="R175" s="152">
        <f t="shared" si="94"/>
        <v>0</v>
      </c>
      <c r="S175" s="152">
        <f t="shared" si="94"/>
        <v>0</v>
      </c>
      <c r="T175" s="171"/>
      <c r="U175" s="152">
        <f t="shared" si="92"/>
        <v>0</v>
      </c>
      <c r="V175" s="152">
        <f t="shared" si="93"/>
        <v>0</v>
      </c>
      <c r="W175" s="156"/>
      <c r="X175" s="156"/>
    </row>
    <row r="176" spans="1:27" hidden="1" outlineLevel="1" x14ac:dyDescent="0.35">
      <c r="A176" s="149"/>
      <c r="B176" s="149"/>
      <c r="C176" s="150"/>
      <c r="D176" s="154"/>
      <c r="E176" s="10" t="str">
        <f>InpC!$E$27</f>
        <v>Hafren Dyfrdwy</v>
      </c>
      <c r="F176" s="10" t="str">
        <f>InpC!$F$27</f>
        <v>HDD</v>
      </c>
      <c r="G176" s="22" t="str">
        <f t="shared" si="90"/>
        <v>nr</v>
      </c>
      <c r="H176" s="152"/>
      <c r="I176" s="153"/>
      <c r="J176" s="152">
        <f t="shared" ref="J176:S176" si="95">J38+J107</f>
        <v>0</v>
      </c>
      <c r="K176" s="152">
        <f t="shared" si="95"/>
        <v>0</v>
      </c>
      <c r="L176" s="152">
        <f t="shared" si="95"/>
        <v>0</v>
      </c>
      <c r="M176" s="152">
        <f t="shared" si="95"/>
        <v>0</v>
      </c>
      <c r="N176" s="152">
        <f t="shared" si="95"/>
        <v>0</v>
      </c>
      <c r="O176" s="152">
        <f t="shared" si="95"/>
        <v>0</v>
      </c>
      <c r="P176" s="152">
        <f t="shared" si="95"/>
        <v>0</v>
      </c>
      <c r="Q176" s="152">
        <f t="shared" si="95"/>
        <v>0</v>
      </c>
      <c r="R176" s="152">
        <f t="shared" si="95"/>
        <v>0</v>
      </c>
      <c r="S176" s="152">
        <f t="shared" si="95"/>
        <v>0</v>
      </c>
      <c r="T176" s="171"/>
      <c r="U176" s="152">
        <f t="shared" si="92"/>
        <v>0</v>
      </c>
      <c r="V176" s="152">
        <f t="shared" si="93"/>
        <v>0</v>
      </c>
      <c r="W176" s="156"/>
      <c r="X176" s="156"/>
    </row>
    <row r="177" spans="1:27" hidden="1" outlineLevel="1" x14ac:dyDescent="0.35">
      <c r="A177" s="149"/>
      <c r="B177" s="149"/>
      <c r="C177" s="150"/>
      <c r="D177" s="154"/>
      <c r="E177" s="10" t="str">
        <f>InpC!$E$28</f>
        <v>Northumbrian Water</v>
      </c>
      <c r="F177" s="10" t="str">
        <f>InpC!$F$28</f>
        <v>NES</v>
      </c>
      <c r="G177" s="22" t="str">
        <f t="shared" si="90"/>
        <v>nr</v>
      </c>
      <c r="H177" s="152"/>
      <c r="I177" s="153"/>
      <c r="J177" s="152">
        <f t="shared" ref="J177:S177" si="96">J39+J108</f>
        <v>0</v>
      </c>
      <c r="K177" s="152">
        <f t="shared" si="96"/>
        <v>0</v>
      </c>
      <c r="L177" s="152">
        <f t="shared" si="96"/>
        <v>0</v>
      </c>
      <c r="M177" s="152">
        <f t="shared" si="96"/>
        <v>0</v>
      </c>
      <c r="N177" s="152">
        <f t="shared" si="96"/>
        <v>0</v>
      </c>
      <c r="O177" s="152">
        <f t="shared" si="96"/>
        <v>0</v>
      </c>
      <c r="P177" s="152">
        <f t="shared" si="96"/>
        <v>0</v>
      </c>
      <c r="Q177" s="152">
        <f t="shared" si="96"/>
        <v>0</v>
      </c>
      <c r="R177" s="152">
        <f t="shared" si="96"/>
        <v>0</v>
      </c>
      <c r="S177" s="152">
        <f t="shared" si="96"/>
        <v>0</v>
      </c>
      <c r="T177" s="171"/>
      <c r="U177" s="152">
        <f t="shared" si="92"/>
        <v>0</v>
      </c>
      <c r="V177" s="152">
        <f t="shared" si="93"/>
        <v>0</v>
      </c>
      <c r="W177" s="156"/>
      <c r="X177" s="156"/>
    </row>
    <row r="178" spans="1:27" hidden="1" outlineLevel="1" x14ac:dyDescent="0.35">
      <c r="A178" s="149"/>
      <c r="B178" s="149"/>
      <c r="C178" s="150"/>
      <c r="D178" s="154"/>
      <c r="E178" s="10" t="str">
        <f>InpC!$E$29</f>
        <v>Severn Trent Water</v>
      </c>
      <c r="F178" s="10" t="str">
        <f>InpC!$F$29</f>
        <v>SVE</v>
      </c>
      <c r="G178" s="22" t="str">
        <f t="shared" si="90"/>
        <v>nr</v>
      </c>
      <c r="H178" s="152"/>
      <c r="I178" s="153"/>
      <c r="J178" s="152">
        <f t="shared" ref="J178:S178" si="97">J40+J109</f>
        <v>0</v>
      </c>
      <c r="K178" s="152">
        <f t="shared" si="97"/>
        <v>0</v>
      </c>
      <c r="L178" s="152">
        <f t="shared" si="97"/>
        <v>0</v>
      </c>
      <c r="M178" s="152">
        <f t="shared" si="97"/>
        <v>0</v>
      </c>
      <c r="N178" s="152">
        <f t="shared" si="97"/>
        <v>0</v>
      </c>
      <c r="O178" s="152">
        <f t="shared" si="97"/>
        <v>0</v>
      </c>
      <c r="P178" s="152">
        <f t="shared" si="97"/>
        <v>0</v>
      </c>
      <c r="Q178" s="152">
        <f t="shared" si="97"/>
        <v>0</v>
      </c>
      <c r="R178" s="152">
        <f t="shared" si="97"/>
        <v>0</v>
      </c>
      <c r="S178" s="152">
        <f t="shared" si="97"/>
        <v>0</v>
      </c>
      <c r="T178" s="171"/>
      <c r="U178" s="152">
        <f t="shared" si="92"/>
        <v>0</v>
      </c>
      <c r="V178" s="152">
        <f t="shared" si="93"/>
        <v>0</v>
      </c>
      <c r="W178" s="156"/>
      <c r="X178" s="156"/>
    </row>
    <row r="179" spans="1:27" hidden="1" outlineLevel="1" x14ac:dyDescent="0.35">
      <c r="A179" s="149"/>
      <c r="B179" s="149"/>
      <c r="C179" s="150"/>
      <c r="D179" s="154"/>
      <c r="E179" s="10" t="str">
        <f>InpC!$E$30</f>
        <v>Southern Water</v>
      </c>
      <c r="F179" s="10" t="str">
        <f>InpC!$F$30</f>
        <v>SRN</v>
      </c>
      <c r="G179" s="22" t="str">
        <f t="shared" si="90"/>
        <v>nr</v>
      </c>
      <c r="H179" s="152"/>
      <c r="I179" s="153"/>
      <c r="J179" s="152">
        <f t="shared" ref="J179:S179" si="98">J41+J110</f>
        <v>0</v>
      </c>
      <c r="K179" s="152">
        <f t="shared" si="98"/>
        <v>0</v>
      </c>
      <c r="L179" s="152">
        <f t="shared" si="98"/>
        <v>0</v>
      </c>
      <c r="M179" s="152">
        <f t="shared" si="98"/>
        <v>0</v>
      </c>
      <c r="N179" s="152">
        <f t="shared" si="98"/>
        <v>0</v>
      </c>
      <c r="O179" s="152">
        <f t="shared" si="98"/>
        <v>0</v>
      </c>
      <c r="P179" s="152">
        <f t="shared" si="98"/>
        <v>0</v>
      </c>
      <c r="Q179" s="152">
        <f t="shared" si="98"/>
        <v>0</v>
      </c>
      <c r="R179" s="152">
        <f t="shared" si="98"/>
        <v>0</v>
      </c>
      <c r="S179" s="152">
        <f t="shared" si="98"/>
        <v>0</v>
      </c>
      <c r="T179" s="171"/>
      <c r="U179" s="152">
        <f t="shared" si="92"/>
        <v>0</v>
      </c>
      <c r="V179" s="152">
        <f t="shared" si="93"/>
        <v>0</v>
      </c>
      <c r="W179" s="156"/>
      <c r="X179" s="156"/>
    </row>
    <row r="180" spans="1:27" hidden="1" outlineLevel="1" x14ac:dyDescent="0.35">
      <c r="A180" s="149"/>
      <c r="B180" s="149"/>
      <c r="C180" s="150"/>
      <c r="D180" s="154"/>
      <c r="E180" s="10" t="str">
        <f>InpC!$E$31</f>
        <v>Thames Water</v>
      </c>
      <c r="F180" s="10" t="str">
        <f>InpC!$F$31</f>
        <v>TMS</v>
      </c>
      <c r="G180" s="22" t="str">
        <f t="shared" si="90"/>
        <v>nr</v>
      </c>
      <c r="H180" s="152"/>
      <c r="I180" s="153"/>
      <c r="J180" s="152">
        <f t="shared" ref="J180:S180" si="99">J42+J111</f>
        <v>0</v>
      </c>
      <c r="K180" s="152">
        <f t="shared" si="99"/>
        <v>0</v>
      </c>
      <c r="L180" s="152">
        <f t="shared" si="99"/>
        <v>0</v>
      </c>
      <c r="M180" s="152">
        <f t="shared" si="99"/>
        <v>0</v>
      </c>
      <c r="N180" s="152">
        <f t="shared" si="99"/>
        <v>0</v>
      </c>
      <c r="O180" s="152">
        <f t="shared" si="99"/>
        <v>0</v>
      </c>
      <c r="P180" s="152">
        <f t="shared" si="99"/>
        <v>0</v>
      </c>
      <c r="Q180" s="152">
        <f t="shared" si="99"/>
        <v>0</v>
      </c>
      <c r="R180" s="152">
        <f t="shared" si="99"/>
        <v>0</v>
      </c>
      <c r="S180" s="152">
        <f t="shared" si="99"/>
        <v>0</v>
      </c>
      <c r="T180" s="171"/>
      <c r="U180" s="152">
        <f t="shared" si="92"/>
        <v>0</v>
      </c>
      <c r="V180" s="152">
        <f t="shared" si="93"/>
        <v>0</v>
      </c>
      <c r="W180" s="156"/>
      <c r="X180" s="156"/>
    </row>
    <row r="181" spans="1:27" hidden="1" outlineLevel="1" x14ac:dyDescent="0.35">
      <c r="A181" s="149"/>
      <c r="B181" s="149"/>
      <c r="C181" s="150"/>
      <c r="D181" s="154"/>
      <c r="E181" s="10" t="str">
        <f>InpC!$E$32</f>
        <v>United Utilities</v>
      </c>
      <c r="F181" s="10" t="str">
        <f>InpC!$F$32</f>
        <v>NWT</v>
      </c>
      <c r="G181" s="22" t="str">
        <f t="shared" si="90"/>
        <v>nr</v>
      </c>
      <c r="H181" s="152"/>
      <c r="I181" s="153"/>
      <c r="J181" s="152">
        <f t="shared" ref="J181:S181" si="100">J43+J112</f>
        <v>0</v>
      </c>
      <c r="K181" s="152">
        <f t="shared" si="100"/>
        <v>0</v>
      </c>
      <c r="L181" s="152">
        <f t="shared" si="100"/>
        <v>0</v>
      </c>
      <c r="M181" s="152">
        <f t="shared" si="100"/>
        <v>0</v>
      </c>
      <c r="N181" s="152">
        <f t="shared" si="100"/>
        <v>0</v>
      </c>
      <c r="O181" s="152">
        <f t="shared" si="100"/>
        <v>0</v>
      </c>
      <c r="P181" s="152">
        <f t="shared" si="100"/>
        <v>0</v>
      </c>
      <c r="Q181" s="152">
        <f t="shared" si="100"/>
        <v>0</v>
      </c>
      <c r="R181" s="152">
        <f t="shared" si="100"/>
        <v>0</v>
      </c>
      <c r="S181" s="152">
        <f t="shared" si="100"/>
        <v>0</v>
      </c>
      <c r="T181" s="171"/>
      <c r="U181" s="152">
        <f t="shared" si="92"/>
        <v>0</v>
      </c>
      <c r="V181" s="152">
        <f t="shared" si="93"/>
        <v>0</v>
      </c>
      <c r="W181" s="156"/>
      <c r="X181" s="156"/>
    </row>
    <row r="182" spans="1:27" hidden="1" outlineLevel="1" x14ac:dyDescent="0.35">
      <c r="A182" s="149"/>
      <c r="B182" s="149"/>
      <c r="C182" s="150"/>
      <c r="D182" s="154"/>
      <c r="E182" s="10" t="str">
        <f>InpC!$E$33</f>
        <v>Wessex Water</v>
      </c>
      <c r="F182" s="10" t="str">
        <f>InpC!$F$33</f>
        <v>WSX</v>
      </c>
      <c r="G182" s="22" t="str">
        <f t="shared" si="90"/>
        <v>nr</v>
      </c>
      <c r="H182" s="152"/>
      <c r="I182" s="153"/>
      <c r="J182" s="152">
        <f t="shared" ref="J182:S182" si="101">J44+J113</f>
        <v>0</v>
      </c>
      <c r="K182" s="152">
        <f t="shared" si="101"/>
        <v>0</v>
      </c>
      <c r="L182" s="152">
        <f t="shared" si="101"/>
        <v>0</v>
      </c>
      <c r="M182" s="152">
        <f t="shared" si="101"/>
        <v>0</v>
      </c>
      <c r="N182" s="152">
        <f t="shared" si="101"/>
        <v>0</v>
      </c>
      <c r="O182" s="152">
        <f t="shared" si="101"/>
        <v>0</v>
      </c>
      <c r="P182" s="152">
        <f t="shared" si="101"/>
        <v>0</v>
      </c>
      <c r="Q182" s="152">
        <f t="shared" si="101"/>
        <v>0</v>
      </c>
      <c r="R182" s="152">
        <f t="shared" si="101"/>
        <v>0</v>
      </c>
      <c r="S182" s="152">
        <f t="shared" si="101"/>
        <v>0</v>
      </c>
      <c r="T182" s="171"/>
      <c r="U182" s="152">
        <f t="shared" si="92"/>
        <v>0</v>
      </c>
      <c r="V182" s="152">
        <f t="shared" si="93"/>
        <v>0</v>
      </c>
      <c r="W182" s="156"/>
      <c r="X182" s="156"/>
    </row>
    <row r="183" spans="1:27" hidden="1" outlineLevel="1" x14ac:dyDescent="0.35">
      <c r="A183" s="149"/>
      <c r="B183" s="149"/>
      <c r="C183" s="150"/>
      <c r="D183" s="154"/>
      <c r="E183" s="10" t="str">
        <f>InpC!$E$34</f>
        <v>Yorkshire Water</v>
      </c>
      <c r="F183" s="10" t="str">
        <f>InpC!$F$34</f>
        <v>YKY</v>
      </c>
      <c r="G183" s="22" t="str">
        <f t="shared" si="90"/>
        <v>nr</v>
      </c>
      <c r="H183" s="152"/>
      <c r="I183" s="153"/>
      <c r="J183" s="152">
        <f t="shared" ref="J183:S183" si="102">J45+J114</f>
        <v>0</v>
      </c>
      <c r="K183" s="152">
        <f t="shared" si="102"/>
        <v>0</v>
      </c>
      <c r="L183" s="152">
        <f t="shared" si="102"/>
        <v>0</v>
      </c>
      <c r="M183" s="152">
        <f t="shared" si="102"/>
        <v>0</v>
      </c>
      <c r="N183" s="152">
        <f t="shared" si="102"/>
        <v>0</v>
      </c>
      <c r="O183" s="152">
        <f t="shared" si="102"/>
        <v>0</v>
      </c>
      <c r="P183" s="152">
        <f t="shared" si="102"/>
        <v>0</v>
      </c>
      <c r="Q183" s="152">
        <f t="shared" si="102"/>
        <v>0</v>
      </c>
      <c r="R183" s="152">
        <f t="shared" si="102"/>
        <v>0</v>
      </c>
      <c r="S183" s="152">
        <f t="shared" si="102"/>
        <v>0</v>
      </c>
      <c r="T183" s="171"/>
      <c r="U183" s="152">
        <f t="shared" si="92"/>
        <v>0</v>
      </c>
      <c r="V183" s="152">
        <f t="shared" si="93"/>
        <v>0</v>
      </c>
      <c r="W183" s="156"/>
      <c r="X183" s="156"/>
    </row>
    <row r="184" spans="1:27" hidden="1" outlineLevel="1" x14ac:dyDescent="0.35">
      <c r="A184" s="149"/>
      <c r="B184" s="149"/>
      <c r="C184" s="150"/>
      <c r="D184" s="154"/>
      <c r="E184" s="10" t="str">
        <f>InpC!$E$35</f>
        <v>Affinity Water</v>
      </c>
      <c r="F184" s="10" t="str">
        <f>InpC!$F$35</f>
        <v>AFW</v>
      </c>
      <c r="G184" s="22" t="str">
        <f t="shared" si="90"/>
        <v>nr</v>
      </c>
      <c r="H184" s="152"/>
      <c r="I184" s="153"/>
      <c r="J184" s="152">
        <f t="shared" ref="J184:S184" si="103">J46+J115</f>
        <v>25216</v>
      </c>
      <c r="K184" s="152">
        <f t="shared" si="103"/>
        <v>0</v>
      </c>
      <c r="L184" s="152">
        <f t="shared" si="103"/>
        <v>0</v>
      </c>
      <c r="M184" s="152">
        <f t="shared" si="103"/>
        <v>0</v>
      </c>
      <c r="N184" s="152">
        <f t="shared" si="103"/>
        <v>0</v>
      </c>
      <c r="O184" s="152">
        <f t="shared" si="103"/>
        <v>0</v>
      </c>
      <c r="P184" s="152">
        <f t="shared" si="103"/>
        <v>0</v>
      </c>
      <c r="Q184" s="152">
        <f t="shared" si="103"/>
        <v>0</v>
      </c>
      <c r="R184" s="152">
        <f t="shared" si="103"/>
        <v>0</v>
      </c>
      <c r="S184" s="152">
        <f t="shared" si="103"/>
        <v>0</v>
      </c>
      <c r="T184" s="171"/>
      <c r="U184" s="152">
        <f t="shared" si="92"/>
        <v>0</v>
      </c>
      <c r="V184" s="152">
        <f t="shared" si="93"/>
        <v>0</v>
      </c>
      <c r="W184" s="156"/>
      <c r="X184" s="156"/>
    </row>
    <row r="185" spans="1:27" hidden="1" outlineLevel="1" x14ac:dyDescent="0.35">
      <c r="A185" s="149"/>
      <c r="B185" s="149"/>
      <c r="C185" s="150"/>
      <c r="D185" s="154"/>
      <c r="E185" s="10" t="str">
        <f>InpC!$E$36</f>
        <v>Portsmouth Water</v>
      </c>
      <c r="F185" s="10" t="str">
        <f>InpC!$F$36</f>
        <v>PRT</v>
      </c>
      <c r="G185" s="22" t="str">
        <f t="shared" si="90"/>
        <v>nr</v>
      </c>
      <c r="H185" s="152"/>
      <c r="I185" s="153"/>
      <c r="J185" s="152">
        <f t="shared" ref="J185:S185" si="104">J47+J116</f>
        <v>0</v>
      </c>
      <c r="K185" s="152">
        <f t="shared" si="104"/>
        <v>0</v>
      </c>
      <c r="L185" s="152">
        <f t="shared" si="104"/>
        <v>0</v>
      </c>
      <c r="M185" s="152">
        <f t="shared" si="104"/>
        <v>0</v>
      </c>
      <c r="N185" s="152">
        <f t="shared" si="104"/>
        <v>0</v>
      </c>
      <c r="O185" s="152">
        <f t="shared" si="104"/>
        <v>0</v>
      </c>
      <c r="P185" s="152">
        <f t="shared" si="104"/>
        <v>0</v>
      </c>
      <c r="Q185" s="152">
        <f t="shared" si="104"/>
        <v>0</v>
      </c>
      <c r="R185" s="152">
        <f t="shared" si="104"/>
        <v>0</v>
      </c>
      <c r="S185" s="152">
        <f t="shared" si="104"/>
        <v>0</v>
      </c>
      <c r="T185" s="171"/>
      <c r="U185" s="152">
        <f t="shared" si="92"/>
        <v>0</v>
      </c>
      <c r="V185" s="152">
        <f t="shared" si="93"/>
        <v>0</v>
      </c>
      <c r="W185" s="156"/>
      <c r="X185" s="156"/>
    </row>
    <row r="186" spans="1:27" hidden="1" outlineLevel="1" x14ac:dyDescent="0.35">
      <c r="A186" s="149"/>
      <c r="B186" s="149"/>
      <c r="C186" s="150"/>
      <c r="D186" s="154"/>
      <c r="E186" s="10" t="str">
        <f>InpC!$E$37</f>
        <v>South East Water</v>
      </c>
      <c r="F186" s="10" t="str">
        <f>InpC!$F$37</f>
        <v>SEW</v>
      </c>
      <c r="G186" s="22" t="str">
        <f t="shared" si="90"/>
        <v>nr</v>
      </c>
      <c r="H186" s="152"/>
      <c r="I186" s="153"/>
      <c r="J186" s="152">
        <f t="shared" ref="J186:S186" si="105">J48+J117</f>
        <v>0</v>
      </c>
      <c r="K186" s="152">
        <f t="shared" si="105"/>
        <v>0</v>
      </c>
      <c r="L186" s="152">
        <f t="shared" si="105"/>
        <v>0</v>
      </c>
      <c r="M186" s="152">
        <f t="shared" si="105"/>
        <v>0</v>
      </c>
      <c r="N186" s="152">
        <f t="shared" si="105"/>
        <v>0</v>
      </c>
      <c r="O186" s="152">
        <f t="shared" si="105"/>
        <v>0</v>
      </c>
      <c r="P186" s="152">
        <f t="shared" si="105"/>
        <v>0</v>
      </c>
      <c r="Q186" s="152">
        <f t="shared" si="105"/>
        <v>0</v>
      </c>
      <c r="R186" s="152">
        <f t="shared" si="105"/>
        <v>0</v>
      </c>
      <c r="S186" s="152">
        <f t="shared" si="105"/>
        <v>0</v>
      </c>
      <c r="T186" s="171"/>
      <c r="U186" s="152">
        <f t="shared" si="92"/>
        <v>0</v>
      </c>
      <c r="V186" s="152">
        <f t="shared" si="93"/>
        <v>0</v>
      </c>
      <c r="W186" s="156"/>
      <c r="X186" s="156"/>
    </row>
    <row r="187" spans="1:27" hidden="1" outlineLevel="1" x14ac:dyDescent="0.35">
      <c r="A187" s="149"/>
      <c r="B187" s="149"/>
      <c r="C187" s="150"/>
      <c r="D187" s="154"/>
      <c r="E187" s="10" t="str">
        <f>InpC!$E$38</f>
        <v>South Staffs Water</v>
      </c>
      <c r="F187" s="10" t="str">
        <f>InpC!$F$38</f>
        <v>SSC</v>
      </c>
      <c r="G187" s="22" t="str">
        <f t="shared" si="90"/>
        <v>nr</v>
      </c>
      <c r="H187" s="152"/>
      <c r="I187" s="153"/>
      <c r="J187" s="152">
        <f t="shared" ref="J187:S187" si="106">J49+J118</f>
        <v>0</v>
      </c>
      <c r="K187" s="152">
        <f t="shared" si="106"/>
        <v>0</v>
      </c>
      <c r="L187" s="152">
        <f t="shared" si="106"/>
        <v>0</v>
      </c>
      <c r="M187" s="152">
        <f t="shared" si="106"/>
        <v>0</v>
      </c>
      <c r="N187" s="152">
        <f t="shared" si="106"/>
        <v>0</v>
      </c>
      <c r="O187" s="152">
        <f t="shared" si="106"/>
        <v>0</v>
      </c>
      <c r="P187" s="152">
        <f t="shared" si="106"/>
        <v>0</v>
      </c>
      <c r="Q187" s="152">
        <f t="shared" si="106"/>
        <v>0</v>
      </c>
      <c r="R187" s="152">
        <f t="shared" si="106"/>
        <v>0</v>
      </c>
      <c r="S187" s="152">
        <f t="shared" si="106"/>
        <v>0</v>
      </c>
      <c r="T187" s="171"/>
      <c r="U187" s="152">
        <f t="shared" si="92"/>
        <v>0</v>
      </c>
      <c r="V187" s="152">
        <f t="shared" si="93"/>
        <v>0</v>
      </c>
      <c r="W187" s="156"/>
      <c r="X187" s="156"/>
    </row>
    <row r="188" spans="1:27" hidden="1" outlineLevel="1" x14ac:dyDescent="0.35">
      <c r="A188" s="149"/>
      <c r="B188" s="149"/>
      <c r="C188" s="150"/>
      <c r="D188" s="154"/>
      <c r="E188" s="10" t="str">
        <f>InpC!$E$39</f>
        <v>SES Water</v>
      </c>
      <c r="F188" s="10" t="str">
        <f>InpC!$F$39</f>
        <v>SES</v>
      </c>
      <c r="G188" s="22" t="str">
        <f t="shared" si="90"/>
        <v>nr</v>
      </c>
      <c r="H188" s="152"/>
      <c r="I188" s="153"/>
      <c r="J188" s="152">
        <f t="shared" ref="J188:S188" si="107">J50+J119</f>
        <v>0</v>
      </c>
      <c r="K188" s="152">
        <f t="shared" si="107"/>
        <v>0</v>
      </c>
      <c r="L188" s="152">
        <f t="shared" si="107"/>
        <v>0</v>
      </c>
      <c r="M188" s="152">
        <f t="shared" si="107"/>
        <v>0</v>
      </c>
      <c r="N188" s="152">
        <f t="shared" si="107"/>
        <v>0</v>
      </c>
      <c r="O188" s="152">
        <f t="shared" si="107"/>
        <v>0</v>
      </c>
      <c r="P188" s="152">
        <f t="shared" si="107"/>
        <v>0</v>
      </c>
      <c r="Q188" s="152">
        <f t="shared" si="107"/>
        <v>0</v>
      </c>
      <c r="R188" s="152">
        <f t="shared" si="107"/>
        <v>0</v>
      </c>
      <c r="S188" s="152">
        <f t="shared" si="107"/>
        <v>0</v>
      </c>
      <c r="T188" s="171"/>
      <c r="U188" s="152">
        <f t="shared" si="92"/>
        <v>0</v>
      </c>
      <c r="V188" s="152">
        <f t="shared" si="93"/>
        <v>0</v>
      </c>
      <c r="W188" s="156"/>
      <c r="X188" s="156"/>
    </row>
    <row r="189" spans="1:27" hidden="1" outlineLevel="1" x14ac:dyDescent="0.35">
      <c r="A189" s="149"/>
      <c r="B189" s="149"/>
      <c r="C189" s="150"/>
      <c r="D189" s="154"/>
      <c r="E189" s="10" t="str">
        <f>InpC!$E$40</f>
        <v>South West Water</v>
      </c>
      <c r="F189" s="10" t="str">
        <f>InpC!$F$40</f>
        <v>SWB</v>
      </c>
      <c r="G189" s="22" t="str">
        <f t="shared" si="90"/>
        <v>nr</v>
      </c>
      <c r="H189" s="152"/>
      <c r="I189" s="153"/>
      <c r="J189" s="152">
        <f t="shared" ref="J189:S189" si="108">J51+J120</f>
        <v>0</v>
      </c>
      <c r="K189" s="152">
        <f t="shared" si="108"/>
        <v>0</v>
      </c>
      <c r="L189" s="152">
        <f t="shared" si="108"/>
        <v>0</v>
      </c>
      <c r="M189" s="152">
        <f t="shared" si="108"/>
        <v>0</v>
      </c>
      <c r="N189" s="152">
        <f t="shared" si="108"/>
        <v>0</v>
      </c>
      <c r="O189" s="152">
        <f t="shared" si="108"/>
        <v>0</v>
      </c>
      <c r="P189" s="152">
        <f t="shared" si="108"/>
        <v>0</v>
      </c>
      <c r="Q189" s="152">
        <f t="shared" si="108"/>
        <v>0</v>
      </c>
      <c r="R189" s="152">
        <f t="shared" si="108"/>
        <v>0</v>
      </c>
      <c r="S189" s="152">
        <f t="shared" si="108"/>
        <v>0</v>
      </c>
      <c r="T189" s="171"/>
      <c r="U189" s="152">
        <f t="shared" si="92"/>
        <v>0</v>
      </c>
      <c r="V189" s="152">
        <f t="shared" si="93"/>
        <v>0</v>
      </c>
      <c r="W189" s="156"/>
      <c r="X189" s="156"/>
    </row>
    <row r="190" spans="1:27" hidden="1" outlineLevel="1" x14ac:dyDescent="0.35">
      <c r="A190" s="149"/>
      <c r="B190" s="149"/>
      <c r="C190" s="150"/>
      <c r="D190" s="154"/>
      <c r="E190" s="10" t="str">
        <f>InpC!$E$41</f>
        <v>Bristol Water</v>
      </c>
      <c r="F190" s="10" t="str">
        <f>InpC!$F$41</f>
        <v>BRL</v>
      </c>
      <c r="G190" s="22" t="str">
        <f t="shared" si="90"/>
        <v>nr</v>
      </c>
      <c r="H190" s="152"/>
      <c r="I190" s="153"/>
      <c r="J190" s="152">
        <f t="shared" ref="J190:S190" si="109">J52+J121</f>
        <v>0</v>
      </c>
      <c r="K190" s="152">
        <f t="shared" si="109"/>
        <v>0</v>
      </c>
      <c r="L190" s="152">
        <f t="shared" si="109"/>
        <v>0</v>
      </c>
      <c r="M190" s="152">
        <f t="shared" si="109"/>
        <v>0</v>
      </c>
      <c r="N190" s="152">
        <f t="shared" si="109"/>
        <v>0</v>
      </c>
      <c r="O190" s="152">
        <f t="shared" si="109"/>
        <v>0</v>
      </c>
      <c r="P190" s="152">
        <f t="shared" si="109"/>
        <v>0</v>
      </c>
      <c r="Q190" s="152">
        <f t="shared" si="109"/>
        <v>0</v>
      </c>
      <c r="R190" s="152">
        <f t="shared" si="109"/>
        <v>0</v>
      </c>
      <c r="S190" s="152">
        <f t="shared" si="109"/>
        <v>0</v>
      </c>
      <c r="T190" s="171"/>
      <c r="U190" s="152">
        <f t="shared" si="92"/>
        <v>0</v>
      </c>
      <c r="V190" s="152">
        <f t="shared" si="93"/>
        <v>0</v>
      </c>
      <c r="W190" s="156"/>
      <c r="X190" s="156"/>
    </row>
    <row r="191" spans="1:27" hidden="1" outlineLevel="1" x14ac:dyDescent="0.35">
      <c r="A191" s="149"/>
      <c r="B191" s="149"/>
      <c r="C191" s="150"/>
      <c r="D191" s="154"/>
      <c r="E191" s="10" t="s">
        <v>147</v>
      </c>
      <c r="G191" s="22" t="str">
        <f t="shared" si="90"/>
        <v>nr</v>
      </c>
      <c r="H191" s="152"/>
      <c r="I191" s="153"/>
      <c r="J191" s="173">
        <f>SUM(J174:J190)</f>
        <v>25216</v>
      </c>
      <c r="K191" s="173">
        <f t="shared" ref="K191:S191" si="110">SUM(K174:K190)</f>
        <v>0</v>
      </c>
      <c r="L191" s="173">
        <f t="shared" si="110"/>
        <v>0</v>
      </c>
      <c r="M191" s="173">
        <f t="shared" si="110"/>
        <v>0</v>
      </c>
      <c r="N191" s="173">
        <f t="shared" si="110"/>
        <v>0</v>
      </c>
      <c r="O191" s="173">
        <f t="shared" si="110"/>
        <v>0</v>
      </c>
      <c r="P191" s="173">
        <f t="shared" si="110"/>
        <v>0</v>
      </c>
      <c r="Q191" s="173">
        <f t="shared" si="110"/>
        <v>0</v>
      </c>
      <c r="R191" s="173">
        <f t="shared" si="110"/>
        <v>0</v>
      </c>
      <c r="S191" s="173">
        <f t="shared" si="110"/>
        <v>0</v>
      </c>
      <c r="T191" s="171"/>
      <c r="U191" s="173">
        <f t="shared" ref="U191:V191" si="111">SUM(U174:U190)</f>
        <v>0</v>
      </c>
      <c r="V191" s="173">
        <f t="shared" si="111"/>
        <v>0</v>
      </c>
      <c r="W191" s="156"/>
      <c r="X191" s="156"/>
    </row>
    <row r="192" spans="1:27" x14ac:dyDescent="0.35">
      <c r="A192" s="149"/>
      <c r="B192" s="149"/>
      <c r="C192" s="150"/>
      <c r="D192" s="154"/>
      <c r="E192" s="152"/>
      <c r="F192" s="152"/>
      <c r="H192" s="152"/>
      <c r="I192" s="153"/>
      <c r="J192" s="152"/>
      <c r="K192" s="152"/>
      <c r="L192" s="152"/>
      <c r="M192" s="152"/>
      <c r="N192" s="152"/>
      <c r="O192" s="152"/>
      <c r="P192" s="152"/>
      <c r="Q192" s="152"/>
      <c r="R192" s="152"/>
      <c r="S192" s="152"/>
      <c r="T192" s="152"/>
      <c r="U192" s="152"/>
      <c r="V192" s="152"/>
      <c r="W192" s="152"/>
      <c r="X192" s="152"/>
      <c r="Z192" s="152"/>
      <c r="AA192" s="152"/>
    </row>
    <row r="193" spans="1:27" x14ac:dyDescent="0.35">
      <c r="A193" s="149"/>
      <c r="B193" s="149"/>
      <c r="C193" s="150"/>
      <c r="D193" s="151" t="str">
        <f>D147</f>
        <v>Traffic Management Act - Projects</v>
      </c>
      <c r="E193" s="152"/>
      <c r="F193" s="152"/>
      <c r="G193" s="22" t="s">
        <v>125</v>
      </c>
      <c r="H193" s="152"/>
      <c r="I193" s="153"/>
      <c r="J193" s="74">
        <f>J$2</f>
        <v>44286</v>
      </c>
      <c r="K193" s="74">
        <f t="shared" ref="K193:V193" si="112">K$2</f>
        <v>44651</v>
      </c>
      <c r="L193" s="74">
        <f t="shared" si="112"/>
        <v>45016</v>
      </c>
      <c r="M193" s="74">
        <f t="shared" si="112"/>
        <v>45382</v>
      </c>
      <c r="N193" s="74">
        <f t="shared" si="112"/>
        <v>45747</v>
      </c>
      <c r="O193" s="74">
        <f t="shared" si="112"/>
        <v>46112</v>
      </c>
      <c r="P193" s="74">
        <f t="shared" si="112"/>
        <v>46477</v>
      </c>
      <c r="Q193" s="74">
        <f t="shared" si="112"/>
        <v>46843</v>
      </c>
      <c r="R193" s="74">
        <f t="shared" si="112"/>
        <v>47208</v>
      </c>
      <c r="S193" s="74">
        <f t="shared" si="112"/>
        <v>47573</v>
      </c>
      <c r="T193" s="74"/>
      <c r="U193" s="74" t="str">
        <f t="shared" si="112"/>
        <v>PR24 Average</v>
      </c>
      <c r="V193" s="74" t="str">
        <f t="shared" si="112"/>
        <v>PR24 Total</v>
      </c>
      <c r="W193" s="74"/>
      <c r="X193" s="74"/>
      <c r="Z193" s="74"/>
      <c r="AA193" s="74"/>
    </row>
    <row r="194" spans="1:27" collapsed="1" x14ac:dyDescent="0.35">
      <c r="A194" s="149"/>
      <c r="B194" s="149"/>
      <c r="C194" s="150"/>
      <c r="D194" s="154"/>
      <c r="E194" s="5" t="s">
        <v>184</v>
      </c>
      <c r="F194" s="152"/>
      <c r="H194" s="152"/>
      <c r="I194" s="153"/>
      <c r="J194" s="152"/>
      <c r="K194" s="152"/>
      <c r="L194" s="152"/>
      <c r="M194" s="152"/>
      <c r="N194" s="152"/>
      <c r="O194" s="152"/>
      <c r="P194" s="152"/>
      <c r="Q194" s="152"/>
      <c r="R194" s="152"/>
      <c r="S194" s="152"/>
      <c r="T194" s="152"/>
      <c r="U194" s="152"/>
      <c r="V194" s="152"/>
      <c r="W194" s="152"/>
      <c r="X194" s="152"/>
      <c r="Z194" s="152"/>
      <c r="AA194" s="152"/>
    </row>
    <row r="195" spans="1:27" hidden="1" outlineLevel="1" x14ac:dyDescent="0.35">
      <c r="A195" s="149"/>
      <c r="B195" s="149"/>
      <c r="C195" s="150"/>
      <c r="D195" s="154"/>
      <c r="E195" s="152"/>
      <c r="F195" s="152"/>
      <c r="H195" s="152"/>
      <c r="I195" s="153"/>
      <c r="J195" s="152"/>
      <c r="K195" s="152"/>
      <c r="L195" s="152"/>
      <c r="M195" s="152"/>
      <c r="N195" s="152"/>
      <c r="O195" s="152"/>
      <c r="P195" s="152"/>
      <c r="Q195" s="152"/>
      <c r="R195" s="152"/>
      <c r="S195" s="152"/>
      <c r="T195" s="152"/>
      <c r="U195" s="152"/>
      <c r="V195" s="152"/>
      <c r="W195" s="152"/>
      <c r="X195" s="152"/>
      <c r="Z195" s="152"/>
      <c r="AA195" s="152"/>
    </row>
    <row r="196" spans="1:27" hidden="1" outlineLevel="1" x14ac:dyDescent="0.35">
      <c r="A196" s="149"/>
      <c r="B196" s="149"/>
      <c r="C196" s="150"/>
      <c r="D196" s="151"/>
      <c r="E196" s="152"/>
      <c r="F196" s="152"/>
      <c r="G196" s="22" t="s">
        <v>126</v>
      </c>
      <c r="H196" s="152"/>
      <c r="I196" s="153"/>
      <c r="J196" s="74"/>
      <c r="K196" s="74"/>
      <c r="L196" s="74"/>
      <c r="M196" s="74"/>
      <c r="N196" s="74"/>
      <c r="O196" s="74"/>
      <c r="P196" s="74"/>
      <c r="Q196" s="74"/>
      <c r="R196" s="74"/>
      <c r="S196" s="74"/>
      <c r="T196" s="74"/>
      <c r="U196" s="74"/>
      <c r="V196" s="74"/>
      <c r="W196" s="74"/>
      <c r="X196" s="74"/>
      <c r="Z196" s="74"/>
      <c r="AA196" s="74"/>
    </row>
    <row r="197" spans="1:27" hidden="1" outlineLevel="1" x14ac:dyDescent="0.35">
      <c r="A197" s="149"/>
      <c r="B197" s="149"/>
      <c r="C197" s="150"/>
      <c r="D197" s="154"/>
      <c r="E197" s="10" t="str">
        <f>InpC!$E$25</f>
        <v>Anglian Water</v>
      </c>
      <c r="F197" s="10" t="str">
        <f>InpC!$F$25</f>
        <v>ANH</v>
      </c>
      <c r="G197" s="22" t="str">
        <f t="shared" ref="G197:G214" si="113" xml:space="preserve"> G151</f>
        <v>nr</v>
      </c>
      <c r="H197" s="152"/>
      <c r="I197" s="153"/>
      <c r="J197" s="152">
        <f t="shared" ref="J197:S197" si="114">J59+J128</f>
        <v>34836</v>
      </c>
      <c r="K197" s="152">
        <f t="shared" si="114"/>
        <v>34250</v>
      </c>
      <c r="L197" s="152">
        <f t="shared" si="114"/>
        <v>18872</v>
      </c>
      <c r="M197" s="152">
        <f t="shared" si="114"/>
        <v>13043</v>
      </c>
      <c r="N197" s="152">
        <f t="shared" si="114"/>
        <v>19900</v>
      </c>
      <c r="O197" s="152">
        <f t="shared" si="114"/>
        <v>19900</v>
      </c>
      <c r="P197" s="152">
        <f t="shared" si="114"/>
        <v>19900</v>
      </c>
      <c r="Q197" s="152">
        <f t="shared" si="114"/>
        <v>19900</v>
      </c>
      <c r="R197" s="152">
        <f t="shared" si="114"/>
        <v>19900</v>
      </c>
      <c r="S197" s="152">
        <f t="shared" si="114"/>
        <v>19900</v>
      </c>
      <c r="T197" s="171"/>
      <c r="U197" s="152">
        <f t="shared" ref="U197:U213" si="115">IFERROR(AVERAGE(O197:S197),0)</f>
        <v>19900</v>
      </c>
      <c r="V197" s="152">
        <f t="shared" ref="V197:V213" si="116">SUM(O197:S197)</f>
        <v>99500</v>
      </c>
      <c r="W197" s="156"/>
      <c r="X197" s="156"/>
    </row>
    <row r="198" spans="1:27" hidden="1" outlineLevel="1" x14ac:dyDescent="0.35">
      <c r="A198" s="149"/>
      <c r="B198" s="149"/>
      <c r="C198" s="150"/>
      <c r="D198" s="154"/>
      <c r="E198" s="10" t="str">
        <f>InpC!$E$26</f>
        <v>Dŵr Cymru</v>
      </c>
      <c r="F198" s="10" t="str">
        <f>InpC!$F$26</f>
        <v>WSH</v>
      </c>
      <c r="G198" s="22" t="str">
        <f t="shared" si="113"/>
        <v>nr</v>
      </c>
      <c r="H198" s="152"/>
      <c r="I198" s="153"/>
      <c r="J198" s="152">
        <f t="shared" ref="J198:S198" si="117">J60+J129</f>
        <v>877</v>
      </c>
      <c r="K198" s="152">
        <f t="shared" si="117"/>
        <v>0</v>
      </c>
      <c r="L198" s="152">
        <f t="shared" si="117"/>
        <v>2138</v>
      </c>
      <c r="M198" s="152">
        <f t="shared" si="117"/>
        <v>4051</v>
      </c>
      <c r="N198" s="152">
        <f t="shared" si="117"/>
        <v>1186.818</v>
      </c>
      <c r="O198" s="152">
        <f t="shared" si="117"/>
        <v>929.49399999999991</v>
      </c>
      <c r="P198" s="152">
        <f t="shared" si="117"/>
        <v>886.98799999999994</v>
      </c>
      <c r="Q198" s="152">
        <f t="shared" si="117"/>
        <v>867.47199999999998</v>
      </c>
      <c r="R198" s="152">
        <f t="shared" si="117"/>
        <v>844.48300000000006</v>
      </c>
      <c r="S198" s="152">
        <f t="shared" si="117"/>
        <v>844.48300000000006</v>
      </c>
      <c r="T198" s="171"/>
      <c r="U198" s="152">
        <f t="shared" si="115"/>
        <v>874.58400000000006</v>
      </c>
      <c r="V198" s="152">
        <f t="shared" si="116"/>
        <v>4372.92</v>
      </c>
      <c r="W198" s="156"/>
      <c r="X198" s="156"/>
    </row>
    <row r="199" spans="1:27" hidden="1" outlineLevel="1" x14ac:dyDescent="0.35">
      <c r="A199" s="149"/>
      <c r="B199" s="149"/>
      <c r="C199" s="150"/>
      <c r="D199" s="154"/>
      <c r="E199" s="10" t="str">
        <f>InpC!$E$27</f>
        <v>Hafren Dyfrdwy</v>
      </c>
      <c r="F199" s="10" t="str">
        <f>InpC!$F$27</f>
        <v>HDD</v>
      </c>
      <c r="G199" s="22" t="str">
        <f t="shared" si="113"/>
        <v>nr</v>
      </c>
      <c r="H199" s="152"/>
      <c r="I199" s="153"/>
      <c r="J199" s="152">
        <f t="shared" ref="J199:S199" si="118">J61+J130</f>
        <v>0</v>
      </c>
      <c r="K199" s="152">
        <f t="shared" si="118"/>
        <v>0</v>
      </c>
      <c r="L199" s="152">
        <f t="shared" si="118"/>
        <v>0</v>
      </c>
      <c r="M199" s="152">
        <f t="shared" si="118"/>
        <v>0</v>
      </c>
      <c r="N199" s="152">
        <f t="shared" si="118"/>
        <v>0</v>
      </c>
      <c r="O199" s="152">
        <f t="shared" si="118"/>
        <v>0</v>
      </c>
      <c r="P199" s="152">
        <f t="shared" si="118"/>
        <v>0</v>
      </c>
      <c r="Q199" s="152">
        <f t="shared" si="118"/>
        <v>0</v>
      </c>
      <c r="R199" s="152">
        <f t="shared" si="118"/>
        <v>0</v>
      </c>
      <c r="S199" s="152">
        <f t="shared" si="118"/>
        <v>0</v>
      </c>
      <c r="T199" s="171"/>
      <c r="U199" s="152">
        <f t="shared" si="115"/>
        <v>0</v>
      </c>
      <c r="V199" s="152">
        <f t="shared" si="116"/>
        <v>0</v>
      </c>
      <c r="W199" s="156"/>
      <c r="X199" s="156"/>
    </row>
    <row r="200" spans="1:27" hidden="1" outlineLevel="1" x14ac:dyDescent="0.35">
      <c r="A200" s="149"/>
      <c r="B200" s="149"/>
      <c r="C200" s="150"/>
      <c r="D200" s="154"/>
      <c r="E200" s="10" t="str">
        <f>InpC!$E$28</f>
        <v>Northumbrian Water</v>
      </c>
      <c r="F200" s="10" t="str">
        <f>InpC!$F$28</f>
        <v>NES</v>
      </c>
      <c r="G200" s="22" t="str">
        <f t="shared" si="113"/>
        <v>nr</v>
      </c>
      <c r="H200" s="152"/>
      <c r="I200" s="153"/>
      <c r="J200" s="152">
        <f t="shared" ref="J200:S200" si="119">J62+J131</f>
        <v>14055</v>
      </c>
      <c r="K200" s="152">
        <f t="shared" si="119"/>
        <v>9862</v>
      </c>
      <c r="L200" s="152">
        <f t="shared" si="119"/>
        <v>9567</v>
      </c>
      <c r="M200" s="152">
        <f t="shared" si="119"/>
        <v>8485</v>
      </c>
      <c r="N200" s="152">
        <f t="shared" si="119"/>
        <v>10418</v>
      </c>
      <c r="O200" s="152">
        <f t="shared" si="119"/>
        <v>10937</v>
      </c>
      <c r="P200" s="152">
        <f t="shared" si="119"/>
        <v>11476</v>
      </c>
      <c r="Q200" s="152">
        <f t="shared" si="119"/>
        <v>12015</v>
      </c>
      <c r="R200" s="152">
        <f t="shared" si="119"/>
        <v>12532</v>
      </c>
      <c r="S200" s="152">
        <f t="shared" si="119"/>
        <v>13071</v>
      </c>
      <c r="T200" s="171"/>
      <c r="U200" s="152">
        <f t="shared" si="115"/>
        <v>12006.2</v>
      </c>
      <c r="V200" s="152">
        <f t="shared" si="116"/>
        <v>60031</v>
      </c>
      <c r="W200" s="156"/>
      <c r="X200" s="156"/>
    </row>
    <row r="201" spans="1:27" hidden="1" outlineLevel="1" x14ac:dyDescent="0.35">
      <c r="A201" s="149"/>
      <c r="B201" s="149"/>
      <c r="C201" s="150"/>
      <c r="D201" s="154"/>
      <c r="E201" s="10" t="str">
        <f>InpC!$E$29</f>
        <v>Severn Trent Water</v>
      </c>
      <c r="F201" s="10" t="str">
        <f>InpC!$F$29</f>
        <v>SVE</v>
      </c>
      <c r="G201" s="22" t="str">
        <f t="shared" si="113"/>
        <v>nr</v>
      </c>
      <c r="H201" s="152"/>
      <c r="I201" s="153"/>
      <c r="J201" s="152">
        <f t="shared" ref="J201:S201" si="120">J63+J132</f>
        <v>800</v>
      </c>
      <c r="K201" s="152">
        <f t="shared" si="120"/>
        <v>40869.000000000044</v>
      </c>
      <c r="L201" s="152">
        <f t="shared" si="120"/>
        <v>58244</v>
      </c>
      <c r="M201" s="152">
        <f t="shared" si="120"/>
        <v>38789.241789115389</v>
      </c>
      <c r="N201" s="152">
        <f t="shared" si="120"/>
        <v>37363.324768572238</v>
      </c>
      <c r="O201" s="152">
        <f t="shared" si="120"/>
        <v>58445.483046376794</v>
      </c>
      <c r="P201" s="152">
        <f t="shared" si="120"/>
        <v>58926.06688911136</v>
      </c>
      <c r="Q201" s="152">
        <f t="shared" si="120"/>
        <v>59406.852501407127</v>
      </c>
      <c r="R201" s="152">
        <f t="shared" si="120"/>
        <v>59906.485102668637</v>
      </c>
      <c r="S201" s="152">
        <f t="shared" si="120"/>
        <v>60387.677786386936</v>
      </c>
      <c r="T201" s="171"/>
      <c r="U201" s="152">
        <f t="shared" si="115"/>
        <v>59414.513065190171</v>
      </c>
      <c r="V201" s="152">
        <f t="shared" si="116"/>
        <v>297072.56532595085</v>
      </c>
      <c r="W201" s="156"/>
      <c r="X201" s="156"/>
    </row>
    <row r="202" spans="1:27" hidden="1" outlineLevel="1" x14ac:dyDescent="0.35">
      <c r="A202" s="149"/>
      <c r="B202" s="149"/>
      <c r="C202" s="150"/>
      <c r="D202" s="154"/>
      <c r="E202" s="10" t="str">
        <f>InpC!$E$30</f>
        <v>Southern Water</v>
      </c>
      <c r="F202" s="10" t="str">
        <f>InpC!$F$30</f>
        <v>SRN</v>
      </c>
      <c r="G202" s="22" t="str">
        <f t="shared" si="113"/>
        <v>nr</v>
      </c>
      <c r="H202" s="152"/>
      <c r="I202" s="153"/>
      <c r="J202" s="152">
        <f t="shared" ref="J202:S202" si="121">J64+J133</f>
        <v>37274</v>
      </c>
      <c r="K202" s="152">
        <f t="shared" si="121"/>
        <v>37768</v>
      </c>
      <c r="L202" s="152">
        <f t="shared" si="121"/>
        <v>41956</v>
      </c>
      <c r="M202" s="152">
        <f t="shared" si="121"/>
        <v>37296</v>
      </c>
      <c r="N202" s="152">
        <f t="shared" si="121"/>
        <v>38000</v>
      </c>
      <c r="O202" s="152">
        <f t="shared" si="121"/>
        <v>38000</v>
      </c>
      <c r="P202" s="152">
        <f t="shared" si="121"/>
        <v>38000</v>
      </c>
      <c r="Q202" s="152">
        <f t="shared" si="121"/>
        <v>38000</v>
      </c>
      <c r="R202" s="152">
        <f t="shared" si="121"/>
        <v>38000</v>
      </c>
      <c r="S202" s="152">
        <f t="shared" si="121"/>
        <v>38000</v>
      </c>
      <c r="T202" s="171"/>
      <c r="U202" s="152">
        <f t="shared" si="115"/>
        <v>38000</v>
      </c>
      <c r="V202" s="152">
        <f t="shared" si="116"/>
        <v>190000</v>
      </c>
      <c r="W202" s="156"/>
      <c r="X202" s="156"/>
    </row>
    <row r="203" spans="1:27" hidden="1" outlineLevel="1" x14ac:dyDescent="0.35">
      <c r="A203" s="149"/>
      <c r="B203" s="149"/>
      <c r="C203" s="150"/>
      <c r="D203" s="154"/>
      <c r="E203" s="10" t="str">
        <f>InpC!$E$31</f>
        <v>Thames Water</v>
      </c>
      <c r="F203" s="10" t="str">
        <f>InpC!$F$31</f>
        <v>TMS</v>
      </c>
      <c r="G203" s="22" t="str">
        <f t="shared" si="113"/>
        <v>nr</v>
      </c>
      <c r="H203" s="152"/>
      <c r="I203" s="153"/>
      <c r="J203" s="152">
        <f t="shared" ref="J203:S203" si="122">J65+J134</f>
        <v>61790</v>
      </c>
      <c r="K203" s="152">
        <f t="shared" si="122"/>
        <v>103213</v>
      </c>
      <c r="L203" s="152">
        <f t="shared" si="122"/>
        <v>96332</v>
      </c>
      <c r="M203" s="152">
        <f t="shared" si="122"/>
        <v>74411</v>
      </c>
      <c r="N203" s="152">
        <f t="shared" si="122"/>
        <v>99140</v>
      </c>
      <c r="O203" s="152">
        <f t="shared" si="122"/>
        <v>101575</v>
      </c>
      <c r="P203" s="152">
        <f t="shared" si="122"/>
        <v>101595</v>
      </c>
      <c r="Q203" s="152">
        <f t="shared" si="122"/>
        <v>101616.00900000001</v>
      </c>
      <c r="R203" s="152">
        <f t="shared" si="122"/>
        <v>101638.00900000001</v>
      </c>
      <c r="S203" s="152">
        <f t="shared" si="122"/>
        <v>101659</v>
      </c>
      <c r="T203" s="171"/>
      <c r="U203" s="152">
        <f t="shared" si="115"/>
        <v>101616.6036</v>
      </c>
      <c r="V203" s="152">
        <f t="shared" si="116"/>
        <v>508083.01800000004</v>
      </c>
      <c r="W203" s="156"/>
      <c r="X203" s="156"/>
    </row>
    <row r="204" spans="1:27" hidden="1" outlineLevel="1" x14ac:dyDescent="0.35">
      <c r="A204" s="149"/>
      <c r="B204" s="149"/>
      <c r="C204" s="150"/>
      <c r="D204" s="154"/>
      <c r="E204" s="10" t="str">
        <f>InpC!$E$32</f>
        <v>United Utilities</v>
      </c>
      <c r="F204" s="10" t="str">
        <f>InpC!$F$32</f>
        <v>NWT</v>
      </c>
      <c r="G204" s="22" t="str">
        <f t="shared" si="113"/>
        <v>nr</v>
      </c>
      <c r="H204" s="152"/>
      <c r="I204" s="153"/>
      <c r="J204" s="152">
        <f t="shared" ref="J204:S204" si="123">J66+J135</f>
        <v>37489.680582310619</v>
      </c>
      <c r="K204" s="152">
        <f t="shared" si="123"/>
        <v>44728</v>
      </c>
      <c r="L204" s="152">
        <f t="shared" si="123"/>
        <v>41943</v>
      </c>
      <c r="M204" s="152">
        <f t="shared" si="123"/>
        <v>31440.998780800823</v>
      </c>
      <c r="N204" s="152">
        <f t="shared" si="123"/>
        <v>32859</v>
      </c>
      <c r="O204" s="152">
        <f t="shared" si="123"/>
        <v>32896.102950660221</v>
      </c>
      <c r="P204" s="152">
        <f t="shared" si="123"/>
        <v>32896.102950660221</v>
      </c>
      <c r="Q204" s="152">
        <f t="shared" si="123"/>
        <v>32896.102950660221</v>
      </c>
      <c r="R204" s="152">
        <f t="shared" si="123"/>
        <v>32896.102950660221</v>
      </c>
      <c r="S204" s="152">
        <f t="shared" si="123"/>
        <v>32896.102950660221</v>
      </c>
      <c r="T204" s="171"/>
      <c r="U204" s="152">
        <f t="shared" si="115"/>
        <v>32896.102950660221</v>
      </c>
      <c r="V204" s="152">
        <f t="shared" si="116"/>
        <v>164480.5147533011</v>
      </c>
      <c r="W204" s="156"/>
      <c r="X204" s="156"/>
    </row>
    <row r="205" spans="1:27" hidden="1" outlineLevel="1" x14ac:dyDescent="0.35">
      <c r="A205" s="149"/>
      <c r="B205" s="149"/>
      <c r="C205" s="150"/>
      <c r="D205" s="154"/>
      <c r="E205" s="10" t="str">
        <f>InpC!$E$33</f>
        <v>Wessex Water</v>
      </c>
      <c r="F205" s="10" t="str">
        <f>InpC!$F$33</f>
        <v>WSX</v>
      </c>
      <c r="G205" s="22" t="str">
        <f t="shared" si="113"/>
        <v>nr</v>
      </c>
      <c r="H205" s="152"/>
      <c r="I205" s="153"/>
      <c r="J205" s="152">
        <f t="shared" ref="J205:S205" si="124">J67+J136</f>
        <v>2876</v>
      </c>
      <c r="K205" s="152">
        <f t="shared" si="124"/>
        <v>4073</v>
      </c>
      <c r="L205" s="152">
        <f t="shared" si="124"/>
        <v>4583</v>
      </c>
      <c r="M205" s="152">
        <f t="shared" si="124"/>
        <v>2751</v>
      </c>
      <c r="N205" s="152">
        <f t="shared" si="124"/>
        <v>3850</v>
      </c>
      <c r="O205" s="152">
        <f t="shared" si="124"/>
        <v>3850</v>
      </c>
      <c r="P205" s="152">
        <f t="shared" si="124"/>
        <v>3850</v>
      </c>
      <c r="Q205" s="152">
        <f t="shared" si="124"/>
        <v>3850</v>
      </c>
      <c r="R205" s="152">
        <f t="shared" si="124"/>
        <v>3850</v>
      </c>
      <c r="S205" s="152">
        <f t="shared" si="124"/>
        <v>3850</v>
      </c>
      <c r="T205" s="171"/>
      <c r="U205" s="152">
        <f t="shared" si="115"/>
        <v>3850</v>
      </c>
      <c r="V205" s="152">
        <f t="shared" si="116"/>
        <v>19250</v>
      </c>
      <c r="W205" s="156"/>
      <c r="X205" s="156"/>
    </row>
    <row r="206" spans="1:27" hidden="1" outlineLevel="1" x14ac:dyDescent="0.35">
      <c r="A206" s="149"/>
      <c r="B206" s="149"/>
      <c r="C206" s="150"/>
      <c r="D206" s="154"/>
      <c r="E206" s="10" t="str">
        <f>InpC!$E$34</f>
        <v>Yorkshire Water</v>
      </c>
      <c r="F206" s="10" t="str">
        <f>InpC!$F$34</f>
        <v>YKY</v>
      </c>
      <c r="G206" s="22" t="str">
        <f t="shared" si="113"/>
        <v>nr</v>
      </c>
      <c r="H206" s="152"/>
      <c r="I206" s="153"/>
      <c r="J206" s="152">
        <f t="shared" ref="J206:S206" si="125">J68+J137</f>
        <v>28708</v>
      </c>
      <c r="K206" s="152">
        <f t="shared" si="125"/>
        <v>22242.109999999997</v>
      </c>
      <c r="L206" s="152">
        <f t="shared" si="125"/>
        <v>21611</v>
      </c>
      <c r="M206" s="152">
        <f t="shared" si="125"/>
        <v>25523</v>
      </c>
      <c r="N206" s="152">
        <f t="shared" si="125"/>
        <v>21742</v>
      </c>
      <c r="O206" s="152">
        <f t="shared" si="125"/>
        <v>21742</v>
      </c>
      <c r="P206" s="152">
        <f t="shared" si="125"/>
        <v>21742</v>
      </c>
      <c r="Q206" s="152">
        <f t="shared" si="125"/>
        <v>21742</v>
      </c>
      <c r="R206" s="152">
        <f t="shared" si="125"/>
        <v>21742</v>
      </c>
      <c r="S206" s="152">
        <f t="shared" si="125"/>
        <v>21742</v>
      </c>
      <c r="T206" s="171"/>
      <c r="U206" s="152">
        <f t="shared" si="115"/>
        <v>21742</v>
      </c>
      <c r="V206" s="152">
        <f t="shared" si="116"/>
        <v>108710</v>
      </c>
      <c r="W206" s="156"/>
      <c r="X206" s="156"/>
    </row>
    <row r="207" spans="1:27" hidden="1" outlineLevel="1" x14ac:dyDescent="0.35">
      <c r="A207" s="149"/>
      <c r="B207" s="149"/>
      <c r="C207" s="150"/>
      <c r="D207" s="154"/>
      <c r="E207" s="10" t="str">
        <f>InpC!$E$35</f>
        <v>Affinity Water</v>
      </c>
      <c r="F207" s="10" t="str">
        <f>InpC!$F$35</f>
        <v>AFW</v>
      </c>
      <c r="G207" s="22" t="str">
        <f t="shared" si="113"/>
        <v>nr</v>
      </c>
      <c r="H207" s="152"/>
      <c r="I207" s="153"/>
      <c r="J207" s="152">
        <f t="shared" ref="J207:S207" si="126">J69+J138</f>
        <v>25216</v>
      </c>
      <c r="K207" s="152">
        <f t="shared" si="126"/>
        <v>24441.440867070502</v>
      </c>
      <c r="L207" s="152">
        <f t="shared" si="126"/>
        <v>25354.19091949637</v>
      </c>
      <c r="M207" s="152">
        <f t="shared" si="126"/>
        <v>23744.716</v>
      </c>
      <c r="N207" s="152">
        <f t="shared" si="126"/>
        <v>25000</v>
      </c>
      <c r="O207" s="152">
        <f t="shared" si="126"/>
        <v>25000</v>
      </c>
      <c r="P207" s="152">
        <f t="shared" si="126"/>
        <v>25000</v>
      </c>
      <c r="Q207" s="152">
        <f t="shared" si="126"/>
        <v>25000</v>
      </c>
      <c r="R207" s="152">
        <f t="shared" si="126"/>
        <v>25000</v>
      </c>
      <c r="S207" s="152">
        <f t="shared" si="126"/>
        <v>25000</v>
      </c>
      <c r="T207" s="171"/>
      <c r="U207" s="152">
        <f t="shared" si="115"/>
        <v>25000</v>
      </c>
      <c r="V207" s="152">
        <f t="shared" si="116"/>
        <v>125000</v>
      </c>
      <c r="W207" s="156"/>
      <c r="X207" s="156"/>
    </row>
    <row r="208" spans="1:27" hidden="1" outlineLevel="1" x14ac:dyDescent="0.35">
      <c r="A208" s="149"/>
      <c r="B208" s="149"/>
      <c r="C208" s="150"/>
      <c r="D208" s="154"/>
      <c r="E208" s="10" t="str">
        <f>InpC!$E$36</f>
        <v>Portsmouth Water</v>
      </c>
      <c r="F208" s="10" t="str">
        <f>InpC!$F$36</f>
        <v>PRT</v>
      </c>
      <c r="G208" s="22" t="str">
        <f t="shared" si="113"/>
        <v>nr</v>
      </c>
      <c r="H208" s="152"/>
      <c r="I208" s="153"/>
      <c r="J208" s="152">
        <f t="shared" ref="J208:S208" si="127">J70+J139</f>
        <v>0</v>
      </c>
      <c r="K208" s="152">
        <f t="shared" si="127"/>
        <v>0</v>
      </c>
      <c r="L208" s="152">
        <f t="shared" si="127"/>
        <v>0</v>
      </c>
      <c r="M208" s="152">
        <f t="shared" si="127"/>
        <v>4120</v>
      </c>
      <c r="N208" s="152">
        <f t="shared" si="127"/>
        <v>5857</v>
      </c>
      <c r="O208" s="152">
        <f t="shared" si="127"/>
        <v>6957</v>
      </c>
      <c r="P208" s="152">
        <f t="shared" si="127"/>
        <v>7569</v>
      </c>
      <c r="Q208" s="152">
        <f t="shared" si="127"/>
        <v>6957</v>
      </c>
      <c r="R208" s="152">
        <f t="shared" si="127"/>
        <v>6957</v>
      </c>
      <c r="S208" s="152">
        <f t="shared" si="127"/>
        <v>6957</v>
      </c>
      <c r="T208" s="171"/>
      <c r="U208" s="152">
        <f t="shared" si="115"/>
        <v>7079.4</v>
      </c>
      <c r="V208" s="152">
        <f t="shared" si="116"/>
        <v>35397</v>
      </c>
      <c r="W208" s="156"/>
      <c r="X208" s="156"/>
    </row>
    <row r="209" spans="1:27" hidden="1" outlineLevel="1" x14ac:dyDescent="0.35">
      <c r="A209" s="149"/>
      <c r="B209" s="149"/>
      <c r="C209" s="150"/>
      <c r="D209" s="154"/>
      <c r="E209" s="10" t="str">
        <f>InpC!$E$37</f>
        <v>South East Water</v>
      </c>
      <c r="F209" s="10" t="str">
        <f>InpC!$F$37</f>
        <v>SEW</v>
      </c>
      <c r="G209" s="22" t="str">
        <f t="shared" si="113"/>
        <v>nr</v>
      </c>
      <c r="H209" s="152"/>
      <c r="I209" s="153"/>
      <c r="J209" s="152">
        <f t="shared" ref="J209:S209" si="128">J71+J140</f>
        <v>24470</v>
      </c>
      <c r="K209" s="152">
        <f t="shared" si="128"/>
        <v>22888</v>
      </c>
      <c r="L209" s="152">
        <f t="shared" si="128"/>
        <v>18931</v>
      </c>
      <c r="M209" s="152">
        <f t="shared" si="128"/>
        <v>21517</v>
      </c>
      <c r="N209" s="152">
        <f t="shared" si="128"/>
        <v>21662</v>
      </c>
      <c r="O209" s="152">
        <f t="shared" si="128"/>
        <v>21749</v>
      </c>
      <c r="P209" s="152">
        <f t="shared" si="128"/>
        <v>21827</v>
      </c>
      <c r="Q209" s="152">
        <f t="shared" si="128"/>
        <v>21936</v>
      </c>
      <c r="R209" s="152">
        <f t="shared" si="128"/>
        <v>22070</v>
      </c>
      <c r="S209" s="152">
        <f t="shared" si="128"/>
        <v>22253</v>
      </c>
      <c r="T209" s="171"/>
      <c r="U209" s="152">
        <f t="shared" si="115"/>
        <v>21967</v>
      </c>
      <c r="V209" s="152">
        <f t="shared" si="116"/>
        <v>109835</v>
      </c>
      <c r="W209" s="156"/>
      <c r="X209" s="156"/>
    </row>
    <row r="210" spans="1:27" hidden="1" outlineLevel="1" x14ac:dyDescent="0.35">
      <c r="A210" s="149"/>
      <c r="B210" s="149"/>
      <c r="C210" s="150"/>
      <c r="D210" s="154"/>
      <c r="E210" s="10" t="str">
        <f>InpC!$E$38</f>
        <v>South Staffs Water</v>
      </c>
      <c r="F210" s="10" t="str">
        <f>InpC!$F$38</f>
        <v>SSC</v>
      </c>
      <c r="G210" s="22" t="str">
        <f t="shared" si="113"/>
        <v>nr</v>
      </c>
      <c r="H210" s="152"/>
      <c r="I210" s="153"/>
      <c r="J210" s="152">
        <f t="shared" ref="J210:S210" si="129">J72+J141</f>
        <v>6108</v>
      </c>
      <c r="K210" s="152">
        <f t="shared" si="129"/>
        <v>4117</v>
      </c>
      <c r="L210" s="152">
        <f t="shared" si="129"/>
        <v>9974</v>
      </c>
      <c r="M210" s="152">
        <f t="shared" si="129"/>
        <v>9974</v>
      </c>
      <c r="N210" s="152">
        <f t="shared" si="129"/>
        <v>9974</v>
      </c>
      <c r="O210" s="152">
        <f t="shared" si="129"/>
        <v>9974</v>
      </c>
      <c r="P210" s="152">
        <f t="shared" si="129"/>
        <v>9974</v>
      </c>
      <c r="Q210" s="152">
        <f t="shared" si="129"/>
        <v>9974</v>
      </c>
      <c r="R210" s="152">
        <f t="shared" si="129"/>
        <v>9974</v>
      </c>
      <c r="S210" s="152">
        <f t="shared" si="129"/>
        <v>9974</v>
      </c>
      <c r="T210" s="171"/>
      <c r="U210" s="152">
        <f t="shared" si="115"/>
        <v>9974</v>
      </c>
      <c r="V210" s="152">
        <f t="shared" si="116"/>
        <v>49870</v>
      </c>
      <c r="W210" s="156"/>
      <c r="X210" s="156"/>
    </row>
    <row r="211" spans="1:27" hidden="1" outlineLevel="1" x14ac:dyDescent="0.35">
      <c r="A211" s="149"/>
      <c r="B211" s="149"/>
      <c r="C211" s="150"/>
      <c r="D211" s="154"/>
      <c r="E211" s="10" t="str">
        <f>InpC!$E$39</f>
        <v>SES Water</v>
      </c>
      <c r="F211" s="10" t="str">
        <f>InpC!$F$39</f>
        <v>SES</v>
      </c>
      <c r="G211" s="22" t="str">
        <f t="shared" si="113"/>
        <v>nr</v>
      </c>
      <c r="H211" s="152"/>
      <c r="I211" s="153"/>
      <c r="J211" s="152">
        <f t="shared" ref="J211:S211" si="130">J73+J142</f>
        <v>3538</v>
      </c>
      <c r="K211" s="152">
        <f t="shared" si="130"/>
        <v>7606</v>
      </c>
      <c r="L211" s="152">
        <f t="shared" si="130"/>
        <v>6275</v>
      </c>
      <c r="M211" s="152">
        <f t="shared" si="130"/>
        <v>248</v>
      </c>
      <c r="N211" s="152">
        <f t="shared" si="130"/>
        <v>6650</v>
      </c>
      <c r="O211" s="152">
        <f t="shared" si="130"/>
        <v>6650</v>
      </c>
      <c r="P211" s="152">
        <f t="shared" si="130"/>
        <v>6650</v>
      </c>
      <c r="Q211" s="152">
        <f t="shared" si="130"/>
        <v>6650</v>
      </c>
      <c r="R211" s="152">
        <f t="shared" si="130"/>
        <v>6650</v>
      </c>
      <c r="S211" s="152">
        <f t="shared" si="130"/>
        <v>6650</v>
      </c>
      <c r="T211" s="171"/>
      <c r="U211" s="152">
        <f t="shared" si="115"/>
        <v>6650</v>
      </c>
      <c r="V211" s="152">
        <f t="shared" si="116"/>
        <v>33250</v>
      </c>
      <c r="W211" s="156"/>
      <c r="X211" s="156"/>
    </row>
    <row r="212" spans="1:27" hidden="1" outlineLevel="1" x14ac:dyDescent="0.35">
      <c r="A212" s="149"/>
      <c r="B212" s="149"/>
      <c r="C212" s="150"/>
      <c r="D212" s="154"/>
      <c r="E212" s="10" t="str">
        <f>InpC!$E$40</f>
        <v>South West Water</v>
      </c>
      <c r="F212" s="10" t="str">
        <f>InpC!$F$40</f>
        <v>SWB</v>
      </c>
      <c r="G212" s="22" t="str">
        <f t="shared" si="113"/>
        <v>nr</v>
      </c>
      <c r="H212" s="152"/>
      <c r="I212" s="153"/>
      <c r="J212" s="152">
        <f t="shared" ref="J212:S212" si="131">J74+J143</f>
        <v>0</v>
      </c>
      <c r="K212" s="152">
        <f t="shared" si="131"/>
        <v>0</v>
      </c>
      <c r="L212" s="152">
        <f t="shared" si="131"/>
        <v>0</v>
      </c>
      <c r="M212" s="152">
        <f t="shared" si="131"/>
        <v>4597</v>
      </c>
      <c r="N212" s="152">
        <f t="shared" si="131"/>
        <v>26993</v>
      </c>
      <c r="O212" s="152">
        <f t="shared" si="131"/>
        <v>25266</v>
      </c>
      <c r="P212" s="152">
        <f t="shared" si="131"/>
        <v>25266</v>
      </c>
      <c r="Q212" s="152">
        <f t="shared" si="131"/>
        <v>25266</v>
      </c>
      <c r="R212" s="152">
        <f t="shared" si="131"/>
        <v>25266</v>
      </c>
      <c r="S212" s="152">
        <f t="shared" si="131"/>
        <v>25266</v>
      </c>
      <c r="T212" s="171"/>
      <c r="U212" s="152">
        <f t="shared" si="115"/>
        <v>25266</v>
      </c>
      <c r="V212" s="152">
        <f t="shared" si="116"/>
        <v>126330</v>
      </c>
      <c r="W212" s="156"/>
      <c r="X212" s="156"/>
    </row>
    <row r="213" spans="1:27" hidden="1" outlineLevel="1" x14ac:dyDescent="0.35">
      <c r="A213" s="149"/>
      <c r="B213" s="149"/>
      <c r="C213" s="150"/>
      <c r="D213" s="154"/>
      <c r="E213" s="10" t="str">
        <f>InpC!$E$41</f>
        <v>Bristol Water</v>
      </c>
      <c r="F213" s="10" t="str">
        <f>InpC!$F$41</f>
        <v>BRL</v>
      </c>
      <c r="G213" s="22" t="str">
        <f t="shared" si="113"/>
        <v>nr</v>
      </c>
      <c r="H213" s="152"/>
      <c r="I213" s="153"/>
      <c r="J213" s="152">
        <f t="shared" ref="J213:S213" si="132">J75+J144</f>
        <v>181</v>
      </c>
      <c r="K213" s="152">
        <f t="shared" si="132"/>
        <v>11681</v>
      </c>
      <c r="L213" s="152">
        <f t="shared" si="132"/>
        <v>13989</v>
      </c>
      <c r="M213" s="152">
        <f t="shared" si="132"/>
        <v>14099</v>
      </c>
      <c r="N213" s="152">
        <f t="shared" si="132"/>
        <v>13989</v>
      </c>
      <c r="O213" s="152">
        <f t="shared" si="132"/>
        <v>22523</v>
      </c>
      <c r="P213" s="152">
        <f t="shared" si="132"/>
        <v>22523</v>
      </c>
      <c r="Q213" s="152">
        <f t="shared" si="132"/>
        <v>22523</v>
      </c>
      <c r="R213" s="152">
        <f t="shared" si="132"/>
        <v>22523</v>
      </c>
      <c r="S213" s="152">
        <f t="shared" si="132"/>
        <v>22523</v>
      </c>
      <c r="T213" s="171"/>
      <c r="U213" s="152">
        <f t="shared" si="115"/>
        <v>22523</v>
      </c>
      <c r="V213" s="152">
        <f t="shared" si="116"/>
        <v>112615</v>
      </c>
      <c r="W213" s="156"/>
      <c r="X213" s="156"/>
    </row>
    <row r="214" spans="1:27" hidden="1" outlineLevel="1" x14ac:dyDescent="0.35">
      <c r="A214" s="149"/>
      <c r="B214" s="149"/>
      <c r="C214" s="150"/>
      <c r="D214" s="154"/>
      <c r="E214" s="10" t="s">
        <v>147</v>
      </c>
      <c r="G214" s="22" t="str">
        <f t="shared" si="113"/>
        <v>nr</v>
      </c>
      <c r="H214" s="152"/>
      <c r="I214" s="153"/>
      <c r="J214" s="173">
        <f>SUM(J197:J213)</f>
        <v>278218.68058231066</v>
      </c>
      <c r="K214" s="173">
        <f t="shared" ref="K214:S214" si="133">SUM(K197:K213)</f>
        <v>367738.55086707056</v>
      </c>
      <c r="L214" s="173">
        <f t="shared" si="133"/>
        <v>369769.19091949635</v>
      </c>
      <c r="M214" s="173">
        <f t="shared" si="133"/>
        <v>314089.95656991622</v>
      </c>
      <c r="N214" s="173">
        <f t="shared" si="133"/>
        <v>374584.1427685722</v>
      </c>
      <c r="O214" s="173">
        <f t="shared" si="133"/>
        <v>406394.07999703701</v>
      </c>
      <c r="P214" s="173">
        <f t="shared" si="133"/>
        <v>408081.15783977159</v>
      </c>
      <c r="Q214" s="173">
        <f t="shared" si="133"/>
        <v>408599.43645206734</v>
      </c>
      <c r="R214" s="173">
        <f t="shared" si="133"/>
        <v>409749.08005332889</v>
      </c>
      <c r="S214" s="173">
        <f t="shared" si="133"/>
        <v>410973.26373704715</v>
      </c>
      <c r="T214" s="171"/>
      <c r="U214" s="173">
        <f t="shared" ref="U214:V214" si="134">SUM(U197:U213)</f>
        <v>408759.40361585043</v>
      </c>
      <c r="V214" s="173">
        <f t="shared" si="134"/>
        <v>2043797.018079252</v>
      </c>
      <c r="W214" s="156"/>
      <c r="X214" s="156"/>
    </row>
    <row r="215" spans="1:27" x14ac:dyDescent="0.35">
      <c r="A215" s="149"/>
      <c r="B215" s="149"/>
      <c r="C215" s="150"/>
      <c r="D215" s="154"/>
      <c r="E215" s="152"/>
      <c r="F215" s="152"/>
      <c r="H215" s="152"/>
      <c r="I215" s="153"/>
      <c r="J215" s="152"/>
      <c r="K215" s="152"/>
      <c r="L215" s="152"/>
      <c r="M215" s="152"/>
      <c r="N215" s="152"/>
      <c r="O215" s="152"/>
      <c r="P215" s="152"/>
      <c r="Q215" s="152"/>
      <c r="R215" s="152"/>
      <c r="S215" s="152"/>
      <c r="T215" s="152"/>
      <c r="U215" s="152"/>
      <c r="V215" s="152"/>
      <c r="W215" s="152"/>
      <c r="X215" s="152"/>
      <c r="Z215" s="152"/>
      <c r="AA215" s="152"/>
    </row>
  </sheetData>
  <conditionalFormatting sqref="H2">
    <cfRule type="cellIs" dxfId="172" priority="19" stopIfTrue="1" operator="notEqual">
      <formula>0</formula>
    </cfRule>
    <cfRule type="cellIs" dxfId="171" priority="20" stopIfTrue="1" operator="equal">
      <formula>""</formula>
    </cfRule>
    <cfRule type="cellIs" dxfId="170" priority="21" stopIfTrue="1" operator="notEqual">
      <formula>0</formula>
    </cfRule>
    <cfRule type="cellIs" dxfId="169" priority="22" stopIfTrue="1" operator="equal">
      <formula>""</formula>
    </cfRule>
  </conditionalFormatting>
  <conditionalFormatting sqref="J198:J213">
    <cfRule type="expression" dxfId="168" priority="10">
      <formula>(J198&lt;&gt;J152)</formula>
    </cfRule>
  </conditionalFormatting>
  <conditionalFormatting sqref="J3:S3">
    <cfRule type="cellIs" dxfId="167" priority="31" operator="equal">
      <formula>"PPA ext."</formula>
    </cfRule>
    <cfRule type="cellIs" dxfId="166" priority="32" operator="equal">
      <formula>"Delay"</formula>
    </cfRule>
    <cfRule type="cellIs" dxfId="165" priority="33" operator="equal">
      <formula>"Fin Close"</formula>
    </cfRule>
    <cfRule type="cellIs" dxfId="164" priority="34" stopIfTrue="1" operator="equal">
      <formula>"Construction"</formula>
    </cfRule>
    <cfRule type="cellIs" dxfId="163" priority="35" stopIfTrue="1" operator="equal">
      <formula>"Operations"</formula>
    </cfRule>
  </conditionalFormatting>
  <conditionalFormatting sqref="J13:S29">
    <cfRule type="expression" dxfId="162" priority="12">
      <formula>(J59&lt;&gt;J13)</formula>
    </cfRule>
  </conditionalFormatting>
  <conditionalFormatting sqref="J59:S75">
    <cfRule type="expression" dxfId="161" priority="426">
      <formula>(J59&lt;&gt;J13)</formula>
    </cfRule>
  </conditionalFormatting>
  <conditionalFormatting sqref="J82:S98">
    <cfRule type="expression" dxfId="160" priority="16">
      <formula>(J128&lt;&gt;J82)</formula>
    </cfRule>
  </conditionalFormatting>
  <conditionalFormatting sqref="J128:S144">
    <cfRule type="expression" dxfId="159" priority="17">
      <formula>(J128&lt;&gt;J82)</formula>
    </cfRule>
  </conditionalFormatting>
  <conditionalFormatting sqref="J151:S167">
    <cfRule type="expression" dxfId="158" priority="9">
      <formula>(J197&lt;&gt;J151)</formula>
    </cfRule>
  </conditionalFormatting>
  <conditionalFormatting sqref="J174:S190">
    <cfRule type="expression" dxfId="157" priority="7">
      <formula>(J223&lt;&gt;J174)</formula>
    </cfRule>
  </conditionalFormatting>
  <conditionalFormatting sqref="J197:S213">
    <cfRule type="expression" dxfId="156" priority="30">
      <formula>(J197&lt;&gt;J151)</formula>
    </cfRule>
  </conditionalFormatting>
  <conditionalFormatting sqref="U3:V3">
    <cfRule type="cellIs" dxfId="155" priority="24" operator="equal">
      <formula>"PPA ext."</formula>
    </cfRule>
    <cfRule type="cellIs" dxfId="154" priority="25" operator="equal">
      <formula>"Delay"</formula>
    </cfRule>
    <cfRule type="cellIs" dxfId="153" priority="26" operator="equal">
      <formula>"Fin Close"</formula>
    </cfRule>
    <cfRule type="cellIs" dxfId="152" priority="27" stopIfTrue="1" operator="equal">
      <formula>"Construction"</formula>
    </cfRule>
    <cfRule type="cellIs" dxfId="151" priority="28" stopIfTrue="1" operator="equal">
      <formula>"Operations"</formula>
    </cfRule>
  </conditionalFormatting>
  <conditionalFormatting sqref="U13:V29">
    <cfRule type="expression" dxfId="150" priority="23">
      <formula>(U59&lt;&gt;U13)</formula>
    </cfRule>
  </conditionalFormatting>
  <conditionalFormatting sqref="U36:V52 U59:V75">
    <cfRule type="expression" dxfId="149" priority="36">
      <formula>(#REF!&lt;&gt;U36)</formula>
    </cfRule>
  </conditionalFormatting>
  <conditionalFormatting sqref="U82:V98">
    <cfRule type="expression" dxfId="148" priority="15">
      <formula>(U128&lt;&gt;U82)</formula>
    </cfRule>
  </conditionalFormatting>
  <conditionalFormatting sqref="U105:V121 U128:V144">
    <cfRule type="expression" dxfId="147" priority="18">
      <formula>(#REF!&lt;&gt;U105)</formula>
    </cfRule>
  </conditionalFormatting>
  <conditionalFormatting sqref="U151:V167">
    <cfRule type="expression" dxfId="146" priority="29">
      <formula>(U197&lt;&gt;U151)</formula>
    </cfRule>
  </conditionalFormatting>
  <conditionalFormatting sqref="U174:V190">
    <cfRule type="expression" dxfId="145" priority="5">
      <formula>(Z223&lt;&gt;U174)</formula>
    </cfRule>
  </conditionalFormatting>
  <conditionalFormatting sqref="U197:V213">
    <cfRule type="expression" dxfId="144" priority="3">
      <formula>(Z254&lt;&gt;U197)</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BCE3-26AF-4CA2-97F4-D324F01A1923}">
  <sheetPr>
    <tabColor rgb="FFCCCCCE"/>
    <outlinePr summaryBelow="0" summaryRight="0"/>
  </sheetPr>
  <dimension ref="A1:AA77"/>
  <sheetViews>
    <sheetView zoomScale="80" zoomScaleNormal="80" workbookViewId="0"/>
  </sheetViews>
  <sheetFormatPr defaultColWidth="11.73046875" defaultRowHeight="13.15" outlineLevelRow="1" x14ac:dyDescent="0.35"/>
  <cols>
    <col min="1" max="2" width="1.265625" style="11" customWidth="1"/>
    <col min="3" max="3" width="22.1328125" style="16" bestFit="1" customWidth="1"/>
    <col min="4" max="4" width="1.265625" style="35" customWidth="1"/>
    <col min="5" max="5" width="91.265625" style="10"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s>
  <sheetData>
    <row r="1" spans="1:27" ht="25.15" x14ac:dyDescent="0.35">
      <c r="A1" s="19" t="str">
        <f ca="1">RIGHT(CELL("filename", A1), LEN(CELL("filename", A1)) - SEARCH("]", CELL("filename", A1)))</f>
        <v>Unit costs</v>
      </c>
    </row>
    <row r="2" spans="1:27" x14ac:dyDescent="0.35">
      <c r="A2" s="38"/>
      <c r="B2" s="38"/>
      <c r="C2" s="39"/>
      <c r="D2" s="40"/>
      <c r="E2" s="73"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t="s">
        <v>172</v>
      </c>
      <c r="V2" s="74" t="s">
        <v>173</v>
      </c>
    </row>
    <row r="3" spans="1:27" x14ac:dyDescent="0.35">
      <c r="E3" s="73"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f>Time!U3</f>
        <v>0</v>
      </c>
      <c r="V3" s="27">
        <f>Time!V3</f>
        <v>0</v>
      </c>
    </row>
    <row r="4" spans="1:27" x14ac:dyDescent="0.35">
      <c r="E4" s="73"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row>
    <row r="5" spans="1:27"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7"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7"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8" spans="1:27" x14ac:dyDescent="0.35">
      <c r="B8" s="11" t="s">
        <v>185</v>
      </c>
      <c r="F8" s="152"/>
    </row>
    <row r="9" spans="1:27" x14ac:dyDescent="0.35">
      <c r="A9" s="149"/>
      <c r="B9" s="149"/>
      <c r="C9" s="150"/>
      <c r="D9" s="151" t="s">
        <v>150</v>
      </c>
      <c r="E9" s="151"/>
      <c r="F9" s="152"/>
      <c r="H9" s="152"/>
      <c r="I9" s="153"/>
      <c r="J9" s="74">
        <f>J$2</f>
        <v>44286</v>
      </c>
      <c r="K9" s="74">
        <f t="shared" ref="K9:V9" si="0">K$2</f>
        <v>44651</v>
      </c>
      <c r="L9" s="74">
        <f t="shared" si="0"/>
        <v>45016</v>
      </c>
      <c r="M9" s="74">
        <f t="shared" si="0"/>
        <v>45382</v>
      </c>
      <c r="N9" s="74">
        <f t="shared" si="0"/>
        <v>45747</v>
      </c>
      <c r="O9" s="74">
        <f t="shared" si="0"/>
        <v>46112</v>
      </c>
      <c r="P9" s="74">
        <f t="shared" si="0"/>
        <v>46477</v>
      </c>
      <c r="Q9" s="74">
        <f t="shared" si="0"/>
        <v>46843</v>
      </c>
      <c r="R9" s="74">
        <f t="shared" si="0"/>
        <v>47208</v>
      </c>
      <c r="S9" s="74">
        <f t="shared" si="0"/>
        <v>47573</v>
      </c>
      <c r="T9" s="74"/>
      <c r="U9" s="74" t="str">
        <f t="shared" si="0"/>
        <v>PR24 Average</v>
      </c>
      <c r="V9" s="74" t="str">
        <f t="shared" si="0"/>
        <v>PR24 Total</v>
      </c>
      <c r="W9" s="74"/>
      <c r="X9" s="74" t="s">
        <v>186</v>
      </c>
      <c r="Y9" s="234" t="s">
        <v>187</v>
      </c>
      <c r="Z9" s="74"/>
      <c r="AA9" s="74"/>
    </row>
    <row r="10" spans="1:27" collapsed="1" x14ac:dyDescent="0.35">
      <c r="A10" s="149"/>
      <c r="B10" s="149"/>
      <c r="C10" s="150"/>
      <c r="D10" s="151">
        <f>'Traffic Management Act'!D221</f>
        <v>0</v>
      </c>
      <c r="E10" s="151" t="s">
        <v>188</v>
      </c>
      <c r="F10" s="152"/>
      <c r="H10" s="152"/>
      <c r="I10" s="153"/>
      <c r="J10" s="152"/>
      <c r="K10" s="152"/>
      <c r="L10" s="152"/>
      <c r="M10" s="152"/>
      <c r="N10" s="152"/>
      <c r="O10" s="152"/>
      <c r="P10" s="152"/>
      <c r="Q10" s="152"/>
      <c r="R10" s="152"/>
      <c r="S10" s="152"/>
      <c r="T10" s="152"/>
      <c r="U10" s="152"/>
      <c r="V10" s="152"/>
      <c r="W10" s="152"/>
      <c r="X10" s="152"/>
      <c r="Z10" s="152"/>
      <c r="AA10" s="152"/>
    </row>
    <row r="11" spans="1:27" hidden="1" outlineLevel="1" x14ac:dyDescent="0.35">
      <c r="A11" s="149"/>
      <c r="B11" s="149"/>
      <c r="C11" s="150"/>
      <c r="D11" s="154"/>
      <c r="E11" s="152"/>
      <c r="F11" s="152"/>
      <c r="H11" s="152"/>
      <c r="I11" s="153"/>
      <c r="J11" s="152"/>
      <c r="K11" s="152"/>
      <c r="L11" s="152"/>
      <c r="M11" s="152"/>
      <c r="N11" s="152"/>
      <c r="O11" s="152"/>
      <c r="P11" s="152"/>
      <c r="Q11" s="152"/>
      <c r="R11" s="152"/>
      <c r="S11" s="152"/>
      <c r="T11" s="152"/>
      <c r="U11" s="152"/>
      <c r="V11" s="152"/>
      <c r="W11" s="152"/>
      <c r="X11" s="152"/>
      <c r="Z11" s="152"/>
      <c r="AA11" s="152"/>
    </row>
    <row r="12" spans="1:27" hidden="1" outlineLevel="1" x14ac:dyDescent="0.35">
      <c r="A12" s="149"/>
      <c r="B12" s="149"/>
      <c r="C12" s="150"/>
      <c r="D12" s="151"/>
      <c r="H12" s="152"/>
      <c r="I12" s="153"/>
      <c r="J12" s="74"/>
      <c r="K12" s="74"/>
      <c r="L12" s="74"/>
      <c r="M12" s="74"/>
      <c r="N12" s="74"/>
      <c r="O12" s="74"/>
      <c r="P12" s="74"/>
      <c r="Q12" s="74"/>
      <c r="R12" s="74"/>
      <c r="S12" s="74"/>
      <c r="T12" s="74"/>
      <c r="U12" s="74"/>
      <c r="V12" s="74"/>
      <c r="W12" s="74"/>
      <c r="X12" s="74"/>
      <c r="Z12" s="74"/>
      <c r="AA12" s="74"/>
    </row>
    <row r="13" spans="1:27" hidden="1" outlineLevel="1" x14ac:dyDescent="0.35">
      <c r="A13" s="149"/>
      <c r="B13" s="149"/>
      <c r="C13" s="150"/>
      <c r="D13" s="154"/>
      <c r="E13" s="10" t="s">
        <v>130</v>
      </c>
      <c r="F13" s="10" t="s">
        <v>31</v>
      </c>
      <c r="G13" s="10" t="s">
        <v>34</v>
      </c>
      <c r="I13" s="10"/>
      <c r="J13" s="111">
        <f xml:space="preserve"> 'Traffic Management Act'!J227</f>
        <v>2.1184747663551402</v>
      </c>
      <c r="K13" s="111">
        <f xml:space="preserve"> 'Traffic Management Act'!K227</f>
        <v>1.864753912532453</v>
      </c>
      <c r="L13" s="111">
        <f xml:space="preserve"> 'Traffic Management Act'!L227</f>
        <v>1.026</v>
      </c>
      <c r="M13" s="111">
        <f xml:space="preserve"> 'Traffic Management Act'!M227</f>
        <v>0.75060957294147856</v>
      </c>
      <c r="N13" s="111">
        <f xml:space="preserve"> 'Traffic Management Act'!N227</f>
        <v>0.96754954556491579</v>
      </c>
      <c r="O13" s="111">
        <f xml:space="preserve"> 'Traffic Management Act'!O227</f>
        <v>1.5567689481860958</v>
      </c>
      <c r="P13" s="111">
        <f xml:space="preserve"> 'Traffic Management Act'!P227</f>
        <v>1.5567689481860958</v>
      </c>
      <c r="Q13" s="111">
        <f xml:space="preserve"> 'Traffic Management Act'!Q227</f>
        <v>1.5567689481860958</v>
      </c>
      <c r="R13" s="111">
        <f xml:space="preserve"> 'Traffic Management Act'!R227</f>
        <v>1.5567689481860958</v>
      </c>
      <c r="S13" s="111">
        <f xml:space="preserve"> 'Traffic Management Act'!S227</f>
        <v>1.5567689481860958</v>
      </c>
      <c r="T13" s="111"/>
      <c r="U13" s="111">
        <f xml:space="preserve"> 'Traffic Management Act'!U227</f>
        <v>1.5567689481860958</v>
      </c>
      <c r="V13" s="111">
        <f xml:space="preserve"> 'Traffic Management Act'!V227</f>
        <v>7.783844740930479</v>
      </c>
      <c r="W13" s="156"/>
      <c r="X13" s="156" t="b">
        <f>AVERAGE(O13:S13)=U13</f>
        <v>1</v>
      </c>
      <c r="Y13" t="b">
        <f>SUM(O13:S13)=V13</f>
        <v>1</v>
      </c>
    </row>
    <row r="14" spans="1:27" hidden="1" outlineLevel="1" x14ac:dyDescent="0.35">
      <c r="A14" s="149"/>
      <c r="B14" s="149"/>
      <c r="C14" s="150"/>
      <c r="D14" s="154"/>
      <c r="E14" s="10" t="s">
        <v>131</v>
      </c>
      <c r="F14" s="10" t="s">
        <v>43</v>
      </c>
      <c r="G14" s="10" t="s">
        <v>34</v>
      </c>
      <c r="I14" s="10"/>
      <c r="J14" s="111">
        <f xml:space="preserve"> 'Traffic Management Act'!J228</f>
        <v>3.8852336448598125E-2</v>
      </c>
      <c r="K14" s="111">
        <f xml:space="preserve"> 'Traffic Management Act'!K228</f>
        <v>6.0441988950276256E-3</v>
      </c>
      <c r="L14" s="111">
        <f xml:space="preserve"> 'Traffic Management Act'!L228</f>
        <v>0.186</v>
      </c>
      <c r="M14" s="111">
        <f xml:space="preserve"> 'Traffic Management Act'!M228</f>
        <v>0.20399999999999999</v>
      </c>
      <c r="N14" s="111">
        <f xml:space="preserve"> 'Traffic Management Act'!N228</f>
        <v>9.6000000000000002E-2</v>
      </c>
      <c r="O14" s="111">
        <f xml:space="preserve"> 'Traffic Management Act'!O228</f>
        <v>6.9000000000000006E-2</v>
      </c>
      <c r="P14" s="111">
        <f xml:space="preserve"> 'Traffic Management Act'!P228</f>
        <v>6.5000000000000002E-2</v>
      </c>
      <c r="Q14" s="111">
        <f xml:space="preserve"> 'Traffic Management Act'!Q228</f>
        <v>6.4000000000000001E-2</v>
      </c>
      <c r="R14" s="111">
        <f xml:space="preserve"> 'Traffic Management Act'!R228</f>
        <v>6.3E-2</v>
      </c>
      <c r="S14" s="111">
        <f xml:space="preserve"> 'Traffic Management Act'!S228</f>
        <v>6.2E-2</v>
      </c>
      <c r="T14" s="111"/>
      <c r="U14" s="111">
        <f xml:space="preserve"> 'Traffic Management Act'!U228</f>
        <v>6.4600000000000005E-2</v>
      </c>
      <c r="V14" s="111">
        <f xml:space="preserve"> 'Traffic Management Act'!V228</f>
        <v>0.32300000000000001</v>
      </c>
      <c r="W14" s="156"/>
      <c r="X14" s="156" t="b">
        <f t="shared" ref="X14:X29" si="1">AVERAGE(O14:S14)=U14</f>
        <v>1</v>
      </c>
      <c r="Y14" t="b">
        <f t="shared" ref="Y14:Y29" si="2">SUM(O14:S14)=V14</f>
        <v>1</v>
      </c>
    </row>
    <row r="15" spans="1:27" hidden="1" outlineLevel="1" x14ac:dyDescent="0.35">
      <c r="A15" s="149"/>
      <c r="B15" s="149"/>
      <c r="C15" s="150"/>
      <c r="D15" s="154"/>
      <c r="E15" s="10" t="s">
        <v>132</v>
      </c>
      <c r="F15" s="10" t="s">
        <v>44</v>
      </c>
      <c r="G15" s="10" t="s">
        <v>34</v>
      </c>
      <c r="I15" s="10"/>
      <c r="J15" s="111">
        <f xml:space="preserve"> 'Traffic Management Act'!J229</f>
        <v>0</v>
      </c>
      <c r="K15" s="111">
        <f xml:space="preserve"> 'Traffic Management Act'!K229</f>
        <v>0</v>
      </c>
      <c r="L15" s="111">
        <f xml:space="preserve"> 'Traffic Management Act'!L229</f>
        <v>0</v>
      </c>
      <c r="M15" s="111">
        <f xml:space="preserve"> 'Traffic Management Act'!M229</f>
        <v>0</v>
      </c>
      <c r="N15" s="111">
        <f xml:space="preserve"> 'Traffic Management Act'!N229</f>
        <v>0</v>
      </c>
      <c r="O15" s="111">
        <f xml:space="preserve"> 'Traffic Management Act'!O229</f>
        <v>0</v>
      </c>
      <c r="P15" s="111">
        <f xml:space="preserve"> 'Traffic Management Act'!P229</f>
        <v>0</v>
      </c>
      <c r="Q15" s="111">
        <f xml:space="preserve"> 'Traffic Management Act'!Q229</f>
        <v>0</v>
      </c>
      <c r="R15" s="111">
        <f xml:space="preserve"> 'Traffic Management Act'!R229</f>
        <v>0</v>
      </c>
      <c r="S15" s="111">
        <f xml:space="preserve"> 'Traffic Management Act'!S229</f>
        <v>0</v>
      </c>
      <c r="T15" s="111"/>
      <c r="U15" s="111">
        <f xml:space="preserve"> 'Traffic Management Act'!U229</f>
        <v>0</v>
      </c>
      <c r="V15" s="111">
        <f xml:space="preserve"> 'Traffic Management Act'!V229</f>
        <v>0</v>
      </c>
      <c r="W15" s="156"/>
      <c r="X15" s="156" t="b">
        <f t="shared" si="1"/>
        <v>1</v>
      </c>
      <c r="Y15" t="b">
        <f t="shared" si="2"/>
        <v>1</v>
      </c>
    </row>
    <row r="16" spans="1:27" hidden="1" outlineLevel="1" x14ac:dyDescent="0.35">
      <c r="A16" s="149"/>
      <c r="B16" s="149"/>
      <c r="C16" s="150"/>
      <c r="D16" s="154"/>
      <c r="E16" s="10" t="s">
        <v>133</v>
      </c>
      <c r="F16" s="10" t="s">
        <v>45</v>
      </c>
      <c r="G16" s="10" t="s">
        <v>34</v>
      </c>
      <c r="I16" s="10"/>
      <c r="J16" s="111">
        <f xml:space="preserve"> 'Traffic Management Act'!J230</f>
        <v>0.41306168224299067</v>
      </c>
      <c r="K16" s="111">
        <f xml:space="preserve"> 'Traffic Management Act'!K230</f>
        <v>0.40496132596685092</v>
      </c>
      <c r="L16" s="111">
        <f xml:space="preserve"> 'Traffic Management Act'!L230</f>
        <v>0.42899999999999999</v>
      </c>
      <c r="M16" s="111">
        <f xml:space="preserve"> 'Traffic Management Act'!M230</f>
        <v>0.44719456469114677</v>
      </c>
      <c r="N16" s="111">
        <f xml:space="preserve"> 'Traffic Management Act'!N230</f>
        <v>0.46700000000000003</v>
      </c>
      <c r="O16" s="111">
        <f xml:space="preserve"> 'Traffic Management Act'!O230</f>
        <v>0.49</v>
      </c>
      <c r="P16" s="111">
        <f xml:space="preserve"> 'Traffic Management Act'!P230</f>
        <v>0.51400000000000001</v>
      </c>
      <c r="Q16" s="111">
        <f xml:space="preserve"> 'Traffic Management Act'!Q230</f>
        <v>0.53800000000000003</v>
      </c>
      <c r="R16" s="111">
        <f xml:space="preserve"> 'Traffic Management Act'!R230</f>
        <v>0.56100000000000005</v>
      </c>
      <c r="S16" s="111">
        <f xml:space="preserve"> 'Traffic Management Act'!S230</f>
        <v>0.58499999999999996</v>
      </c>
      <c r="T16" s="111"/>
      <c r="U16" s="111">
        <f xml:space="preserve"> 'Traffic Management Act'!U230</f>
        <v>0.53760000000000008</v>
      </c>
      <c r="V16" s="111">
        <f xml:space="preserve"> 'Traffic Management Act'!V230</f>
        <v>2.6880000000000002</v>
      </c>
      <c r="W16" s="156"/>
      <c r="X16" s="156" t="b">
        <f t="shared" si="1"/>
        <v>1</v>
      </c>
      <c r="Y16" t="b">
        <f t="shared" si="2"/>
        <v>1</v>
      </c>
    </row>
    <row r="17" spans="1:27" hidden="1" outlineLevel="1" x14ac:dyDescent="0.35">
      <c r="A17" s="149"/>
      <c r="B17" s="149"/>
      <c r="C17" s="150"/>
      <c r="D17" s="154"/>
      <c r="E17" s="10" t="s">
        <v>189</v>
      </c>
      <c r="F17" s="10" t="s">
        <v>46</v>
      </c>
      <c r="G17" s="10" t="s">
        <v>34</v>
      </c>
      <c r="I17" s="10"/>
      <c r="J17" s="111">
        <f xml:space="preserve"> 'Traffic Management Act'!J231</f>
        <v>2.4333831775700938</v>
      </c>
      <c r="K17" s="111">
        <f xml:space="preserve"> 'Traffic Management Act'!K231</f>
        <v>2.4418563535911608</v>
      </c>
      <c r="L17" s="111">
        <f xml:space="preserve"> 'Traffic Management Act'!L231</f>
        <v>2.7149999999999999</v>
      </c>
      <c r="M17" s="111">
        <f xml:space="preserve"> 'Traffic Management Act'!M231</f>
        <v>1.9631162529999999</v>
      </c>
      <c r="N17" s="111">
        <f xml:space="preserve"> 'Traffic Management Act'!N231</f>
        <v>1.9344504179999999</v>
      </c>
      <c r="O17" s="111">
        <f xml:space="preserve"> 'Traffic Management Act'!O231</f>
        <v>3.0647927080000001</v>
      </c>
      <c r="P17" s="111">
        <f xml:space="preserve"> 'Traffic Management Act'!P231</f>
        <v>3.0901431690000001</v>
      </c>
      <c r="Q17" s="111">
        <f xml:space="preserve"> 'Traffic Management Act'!Q231</f>
        <v>3.1155018559999998</v>
      </c>
      <c r="R17" s="111">
        <f xml:space="preserve"> 'Traffic Management Act'!R231</f>
        <v>3.1418688129999999</v>
      </c>
      <c r="S17" s="111">
        <f xml:space="preserve"> 'Traffic Management Act'!S231</f>
        <v>3.1672440960000001</v>
      </c>
      <c r="T17" s="111"/>
      <c r="U17" s="111">
        <f xml:space="preserve"> 'Traffic Management Act'!U231</f>
        <v>3.1159101284000004</v>
      </c>
      <c r="V17" s="111">
        <f xml:space="preserve"> 'Traffic Management Act'!V231</f>
        <v>15.579550642000001</v>
      </c>
      <c r="W17" s="156"/>
      <c r="X17" s="156" t="b">
        <f t="shared" si="1"/>
        <v>1</v>
      </c>
      <c r="Y17" t="b">
        <f t="shared" si="2"/>
        <v>1</v>
      </c>
    </row>
    <row r="18" spans="1:27" hidden="1" outlineLevel="1" x14ac:dyDescent="0.35">
      <c r="A18" s="149"/>
      <c r="B18" s="149"/>
      <c r="C18" s="150"/>
      <c r="D18" s="154"/>
      <c r="E18" s="10" t="s">
        <v>135</v>
      </c>
      <c r="F18" s="10" t="s">
        <v>48</v>
      </c>
      <c r="G18" s="10" t="s">
        <v>34</v>
      </c>
      <c r="I18" s="10"/>
      <c r="J18" s="111">
        <f xml:space="preserve"> 'Traffic Management Act'!J232</f>
        <v>1.3547196261682244</v>
      </c>
      <c r="K18" s="111">
        <f xml:space="preserve"> 'Traffic Management Act'!K232</f>
        <v>1.2461123388581956</v>
      </c>
      <c r="L18" s="111">
        <f xml:space="preserve"> 'Traffic Management Act'!L232</f>
        <v>1.6480000000000001</v>
      </c>
      <c r="M18" s="111">
        <f xml:space="preserve"> 'Traffic Management Act'!M232</f>
        <v>1.6819999999999999</v>
      </c>
      <c r="N18" s="111">
        <f xml:space="preserve"> 'Traffic Management Act'!N232</f>
        <v>2.5939999999999999</v>
      </c>
      <c r="O18" s="111">
        <f xml:space="preserve"> 'Traffic Management Act'!O232</f>
        <v>2.5945205208602831</v>
      </c>
      <c r="P18" s="111">
        <f xml:space="preserve"> 'Traffic Management Act'!P232</f>
        <v>2.5945205208602831</v>
      </c>
      <c r="Q18" s="111">
        <f xml:space="preserve"> 'Traffic Management Act'!Q232</f>
        <v>2.5945205208602831</v>
      </c>
      <c r="R18" s="111">
        <f xml:space="preserve"> 'Traffic Management Act'!R232</f>
        <v>2.5945205208602831</v>
      </c>
      <c r="S18" s="111">
        <f xml:space="preserve"> 'Traffic Management Act'!S232</f>
        <v>2.5945205208602831</v>
      </c>
      <c r="T18" s="111"/>
      <c r="U18" s="111">
        <f xml:space="preserve"> 'Traffic Management Act'!U232</f>
        <v>2.5945205208602831</v>
      </c>
      <c r="V18" s="111">
        <f xml:space="preserve"> 'Traffic Management Act'!V232</f>
        <v>12.972602604301414</v>
      </c>
      <c r="W18" s="156"/>
      <c r="X18" s="156" t="b">
        <f t="shared" si="1"/>
        <v>1</v>
      </c>
      <c r="Y18" t="b">
        <f t="shared" si="2"/>
        <v>1</v>
      </c>
    </row>
    <row r="19" spans="1:27" hidden="1" outlineLevel="1" x14ac:dyDescent="0.35">
      <c r="A19" s="149"/>
      <c r="B19" s="149"/>
      <c r="C19" s="150"/>
      <c r="D19" s="154"/>
      <c r="E19" s="10" t="s">
        <v>190</v>
      </c>
      <c r="F19" s="10" t="s">
        <v>49</v>
      </c>
      <c r="G19" s="10" t="s">
        <v>34</v>
      </c>
      <c r="I19" s="10"/>
      <c r="J19" s="111">
        <f xml:space="preserve"> 'Traffic Management Act'!J233</f>
        <v>23.221428037383177</v>
      </c>
      <c r="K19" s="111">
        <f xml:space="preserve"> 'Traffic Management Act'!K233</f>
        <v>27.636092081031311</v>
      </c>
      <c r="L19" s="111">
        <f xml:space="preserve"> 'Traffic Management Act'!L233</f>
        <v>33.1</v>
      </c>
      <c r="M19" s="111">
        <f xml:space="preserve"> 'Traffic Management Act'!M233</f>
        <v>27.184060721062593</v>
      </c>
      <c r="N19" s="111">
        <f xml:space="preserve"> 'Traffic Management Act'!N233</f>
        <v>34.036999999999999</v>
      </c>
      <c r="O19" s="111">
        <f xml:space="preserve"> 'Traffic Management Act'!O233</f>
        <v>34.917999999999999</v>
      </c>
      <c r="P19" s="111">
        <f xml:space="preserve"> 'Traffic Management Act'!P233</f>
        <v>34.917999999999999</v>
      </c>
      <c r="Q19" s="111">
        <f xml:space="preserve"> 'Traffic Management Act'!Q233</f>
        <v>34.917999999999999</v>
      </c>
      <c r="R19" s="111">
        <f xml:space="preserve"> 'Traffic Management Act'!R233</f>
        <v>34.905000000000001</v>
      </c>
      <c r="S19" s="111">
        <f xml:space="preserve"> 'Traffic Management Act'!S233</f>
        <v>34.905000000000001</v>
      </c>
      <c r="T19" s="111"/>
      <c r="U19" s="111">
        <f xml:space="preserve"> 'Traffic Management Act'!U233</f>
        <v>34.912799999999997</v>
      </c>
      <c r="V19" s="111">
        <f xml:space="preserve"> 'Traffic Management Act'!V233</f>
        <v>174.56399999999999</v>
      </c>
      <c r="W19" s="156"/>
      <c r="X19" s="156" t="b">
        <f t="shared" si="1"/>
        <v>1</v>
      </c>
      <c r="Y19" t="b">
        <f t="shared" si="2"/>
        <v>1</v>
      </c>
    </row>
    <row r="20" spans="1:27" hidden="1" outlineLevel="1" x14ac:dyDescent="0.35">
      <c r="A20" s="149"/>
      <c r="B20" s="149"/>
      <c r="C20" s="150"/>
      <c r="D20" s="154"/>
      <c r="E20" s="10" t="s">
        <v>191</v>
      </c>
      <c r="F20" s="10" t="s">
        <v>50</v>
      </c>
      <c r="G20" s="10" t="s">
        <v>34</v>
      </c>
      <c r="I20" s="10"/>
      <c r="J20" s="111">
        <f xml:space="preserve"> 'Traffic Management Act'!J234</f>
        <v>2.1315471624810454</v>
      </c>
      <c r="K20" s="111">
        <f xml:space="preserve"> 'Traffic Management Act'!K234</f>
        <v>2.620960095366704</v>
      </c>
      <c r="L20" s="111">
        <f xml:space="preserve"> 'Traffic Management Act'!L234</f>
        <v>2.6936995512436726</v>
      </c>
      <c r="M20" s="111">
        <f xml:space="preserve"> 'Traffic Management Act'!M234</f>
        <v>2.1826765196732794</v>
      </c>
      <c r="N20" s="111">
        <f xml:space="preserve"> 'Traffic Management Act'!N234</f>
        <v>2.2324326016411677</v>
      </c>
      <c r="O20" s="111">
        <f xml:space="preserve"> 'Traffic Management Act'!O234</f>
        <v>2.2322935179328853</v>
      </c>
      <c r="P20" s="111">
        <f xml:space="preserve"> 'Traffic Management Act'!P234</f>
        <v>2.2322935179328853</v>
      </c>
      <c r="Q20" s="111">
        <f xml:space="preserve"> 'Traffic Management Act'!Q234</f>
        <v>2.2322935179328862</v>
      </c>
      <c r="R20" s="111">
        <f xml:space="preserve"> 'Traffic Management Act'!R234</f>
        <v>2.2322935179328862</v>
      </c>
      <c r="S20" s="111">
        <f xml:space="preserve"> 'Traffic Management Act'!S234</f>
        <v>2.2322935179328862</v>
      </c>
      <c r="T20" s="111"/>
      <c r="U20" s="111">
        <f xml:space="preserve"> 'Traffic Management Act'!U234</f>
        <v>2.2322935179328858</v>
      </c>
      <c r="V20" s="111">
        <f xml:space="preserve"> 'Traffic Management Act'!V234</f>
        <v>11.161467589664429</v>
      </c>
      <c r="W20" s="156"/>
      <c r="X20" s="156" t="b">
        <f t="shared" si="1"/>
        <v>1</v>
      </c>
      <c r="Y20" t="b">
        <f t="shared" si="2"/>
        <v>1</v>
      </c>
    </row>
    <row r="21" spans="1:27" hidden="1" outlineLevel="1" x14ac:dyDescent="0.35">
      <c r="A21" s="149"/>
      <c r="B21" s="149"/>
      <c r="C21" s="150"/>
      <c r="D21" s="154"/>
      <c r="E21" s="10" t="s">
        <v>138</v>
      </c>
      <c r="F21" s="10" t="s">
        <v>51</v>
      </c>
      <c r="G21" s="10" t="s">
        <v>34</v>
      </c>
      <c r="I21" s="10"/>
      <c r="J21" s="111">
        <f xml:space="preserve"> 'Traffic Management Act'!J235</f>
        <v>0.11057753252336451</v>
      </c>
      <c r="K21" s="111">
        <f xml:space="preserve"> 'Traffic Management Act'!K235</f>
        <v>0.14203867403314918</v>
      </c>
      <c r="L21" s="111">
        <f xml:space="preserve"> 'Traffic Management Act'!L235</f>
        <v>0.17899999999999999</v>
      </c>
      <c r="M21" s="111">
        <f xml:space="preserve"> 'Traffic Management Act'!M235</f>
        <v>0.13643223819301847</v>
      </c>
      <c r="N21" s="111">
        <f xml:space="preserve"> 'Traffic Management Act'!N235</f>
        <v>0.13973744367372401</v>
      </c>
      <c r="O21" s="111">
        <f xml:space="preserve"> 'Traffic Management Act'!O235</f>
        <v>0.11726936051518823</v>
      </c>
      <c r="P21" s="111">
        <f xml:space="preserve"> 'Traffic Management Act'!P235</f>
        <v>0.1228376099574946</v>
      </c>
      <c r="Q21" s="111">
        <f xml:space="preserve"> 'Traffic Management Act'!Q235</f>
        <v>0.12213289063134444</v>
      </c>
      <c r="R21" s="111">
        <f xml:space="preserve"> 'Traffic Management Act'!R235</f>
        <v>0.12166076153939832</v>
      </c>
      <c r="S21" s="111">
        <f xml:space="preserve"> 'Traffic Management Act'!S235</f>
        <v>0.12626435992596499</v>
      </c>
      <c r="T21" s="111"/>
      <c r="U21" s="111">
        <f xml:space="preserve"> 'Traffic Management Act'!U235</f>
        <v>0.12203299651387811</v>
      </c>
      <c r="V21" s="111">
        <f xml:space="preserve"> 'Traffic Management Act'!V235</f>
        <v>0.61016498256939056</v>
      </c>
      <c r="W21" s="156"/>
      <c r="X21" s="156" t="b">
        <f t="shared" si="1"/>
        <v>1</v>
      </c>
      <c r="Y21" t="b">
        <f t="shared" si="2"/>
        <v>1</v>
      </c>
    </row>
    <row r="22" spans="1:27" hidden="1" outlineLevel="1" x14ac:dyDescent="0.35">
      <c r="A22" s="149"/>
      <c r="B22" s="149"/>
      <c r="C22" s="150"/>
      <c r="D22" s="154"/>
      <c r="E22" s="10" t="s">
        <v>139</v>
      </c>
      <c r="F22" s="10" t="s">
        <v>52</v>
      </c>
      <c r="G22" s="10" t="s">
        <v>34</v>
      </c>
      <c r="I22" s="10"/>
      <c r="J22" s="111">
        <f xml:space="preserve"> 'Traffic Management Act'!J236</f>
        <v>4.5978672897196269</v>
      </c>
      <c r="K22" s="111">
        <f xml:space="preserve"> 'Traffic Management Act'!K236</f>
        <v>3.6411817705007015</v>
      </c>
      <c r="L22" s="111">
        <f xml:space="preserve"> 'Traffic Management Act'!L236</f>
        <v>3.8377190511661063</v>
      </c>
      <c r="M22" s="111">
        <f xml:space="preserve"> 'Traffic Management Act'!M236</f>
        <v>3.2565324710202734</v>
      </c>
      <c r="N22" s="111">
        <f xml:space="preserve"> 'Traffic Management Act'!N236</f>
        <v>3.5966580219158613</v>
      </c>
      <c r="O22" s="111">
        <f xml:space="preserve"> 'Traffic Management Act'!O236</f>
        <v>4.1693312836279786</v>
      </c>
      <c r="P22" s="111">
        <f xml:space="preserve"> 'Traffic Management Act'!P236</f>
        <v>4.1693312836279786</v>
      </c>
      <c r="Q22" s="111">
        <f xml:space="preserve"> 'Traffic Management Act'!Q236</f>
        <v>4.1693312836279786</v>
      </c>
      <c r="R22" s="111">
        <f xml:space="preserve"> 'Traffic Management Act'!R236</f>
        <v>4.1693312836279786</v>
      </c>
      <c r="S22" s="111">
        <f xml:space="preserve"> 'Traffic Management Act'!S236</f>
        <v>4.1693312836279786</v>
      </c>
      <c r="T22" s="111"/>
      <c r="U22" s="111">
        <f xml:space="preserve"> 'Traffic Management Act'!U236</f>
        <v>4.1693312836279786</v>
      </c>
      <c r="V22" s="111">
        <f xml:space="preserve"> 'Traffic Management Act'!V236</f>
        <v>20.846656418139894</v>
      </c>
      <c r="W22" s="156"/>
      <c r="X22" s="156" t="b">
        <f t="shared" si="1"/>
        <v>1</v>
      </c>
      <c r="Y22" t="b">
        <f t="shared" si="2"/>
        <v>1</v>
      </c>
    </row>
    <row r="23" spans="1:27" hidden="1" outlineLevel="1" x14ac:dyDescent="0.35">
      <c r="A23" s="149"/>
      <c r="B23" s="149"/>
      <c r="C23" s="150"/>
      <c r="D23" s="154"/>
      <c r="E23" s="10" t="s">
        <v>140</v>
      </c>
      <c r="F23" s="10" t="s">
        <v>53</v>
      </c>
      <c r="G23" s="10" t="s">
        <v>34</v>
      </c>
      <c r="I23" s="10"/>
      <c r="J23" s="111">
        <f xml:space="preserve"> 'Traffic Management Act'!J237</f>
        <v>1.9078542056074768</v>
      </c>
      <c r="K23" s="111">
        <f xml:space="preserve"> 'Traffic Management Act'!K237</f>
        <v>1.058742173112339</v>
      </c>
      <c r="L23" s="111">
        <f xml:space="preserve"> 'Traffic Management Act'!L237</f>
        <v>0.61699999999999999</v>
      </c>
      <c r="M23" s="111">
        <f xml:space="preserve"> 'Traffic Management Act'!M237</f>
        <v>0.48099999999999998</v>
      </c>
      <c r="N23" s="111">
        <f xml:space="preserve"> 'Traffic Management Act'!N237</f>
        <v>0.623</v>
      </c>
      <c r="O23" s="111">
        <f xml:space="preserve"> 'Traffic Management Act'!O237</f>
        <v>0.65</v>
      </c>
      <c r="P23" s="111">
        <f xml:space="preserve"> 'Traffic Management Act'!P237</f>
        <v>0.65</v>
      </c>
      <c r="Q23" s="111">
        <f xml:space="preserve"> 'Traffic Management Act'!Q237</f>
        <v>0.65100000000000002</v>
      </c>
      <c r="R23" s="111">
        <f xml:space="preserve"> 'Traffic Management Act'!R237</f>
        <v>0.65100000000000002</v>
      </c>
      <c r="S23" s="111">
        <f xml:space="preserve"> 'Traffic Management Act'!S237</f>
        <v>0.65100000000000002</v>
      </c>
      <c r="T23" s="111"/>
      <c r="U23" s="111">
        <f xml:space="preserve"> 'Traffic Management Act'!U237</f>
        <v>0.65060000000000007</v>
      </c>
      <c r="V23" s="111">
        <f xml:space="preserve"> 'Traffic Management Act'!V237</f>
        <v>3.2530000000000001</v>
      </c>
      <c r="W23" s="156"/>
      <c r="X23" s="156" t="b">
        <f t="shared" si="1"/>
        <v>1</v>
      </c>
      <c r="Y23" t="b">
        <f t="shared" si="2"/>
        <v>1</v>
      </c>
    </row>
    <row r="24" spans="1:27" hidden="1" outlineLevel="1" x14ac:dyDescent="0.35">
      <c r="A24" s="149"/>
      <c r="B24" s="149"/>
      <c r="C24" s="150"/>
      <c r="D24" s="154"/>
      <c r="E24" s="10" t="s">
        <v>141</v>
      </c>
      <c r="F24" s="10" t="s">
        <v>55</v>
      </c>
      <c r="G24" s="10" t="s">
        <v>34</v>
      </c>
      <c r="I24" s="10"/>
      <c r="J24" s="111">
        <f xml:space="preserve"> 'Traffic Management Act'!J238</f>
        <v>0.25049532710280376</v>
      </c>
      <c r="K24" s="111">
        <f xml:space="preserve"> 'Traffic Management Act'!K238</f>
        <v>0.28306998158379382</v>
      </c>
      <c r="L24" s="111">
        <f xml:space="preserve"> 'Traffic Management Act'!L238</f>
        <v>0.22900000000000001</v>
      </c>
      <c r="M24" s="111">
        <f xml:space="preserve"> 'Traffic Management Act'!M238</f>
        <v>0.1212731006160164</v>
      </c>
      <c r="N24" s="111">
        <f xml:space="preserve"> 'Traffic Management Act'!N238</f>
        <v>0.41</v>
      </c>
      <c r="O24" s="111">
        <f xml:space="preserve"> 'Traffic Management Act'!O238</f>
        <v>0.48699999999999999</v>
      </c>
      <c r="P24" s="111">
        <f xml:space="preserve"> 'Traffic Management Act'!P238</f>
        <v>0.49164000000000002</v>
      </c>
      <c r="Q24" s="111">
        <f xml:space="preserve"> 'Traffic Management Act'!Q238</f>
        <v>0.48681999999999997</v>
      </c>
      <c r="R24" s="111">
        <f xml:space="preserve"> 'Traffic Management Act'!R238</f>
        <v>0.48681999999999997</v>
      </c>
      <c r="S24" s="111">
        <f xml:space="preserve"> 'Traffic Management Act'!S238</f>
        <v>0.48681999999999997</v>
      </c>
      <c r="T24" s="111"/>
      <c r="U24" s="111">
        <f xml:space="preserve"> 'Traffic Management Act'!U238</f>
        <v>0.48781999999999998</v>
      </c>
      <c r="V24" s="111">
        <f xml:space="preserve"> 'Traffic Management Act'!V238</f>
        <v>2.4390999999999998</v>
      </c>
      <c r="W24" s="156"/>
      <c r="X24" s="156" t="b">
        <f t="shared" si="1"/>
        <v>1</v>
      </c>
      <c r="Y24" t="b">
        <f t="shared" si="2"/>
        <v>1</v>
      </c>
    </row>
    <row r="25" spans="1:27" hidden="1" outlineLevel="1" x14ac:dyDescent="0.35">
      <c r="A25" s="149"/>
      <c r="B25" s="149"/>
      <c r="C25" s="150"/>
      <c r="D25" s="154"/>
      <c r="E25" s="10" t="s">
        <v>142</v>
      </c>
      <c r="F25" s="10" t="s">
        <v>56</v>
      </c>
      <c r="G25" s="10" t="s">
        <v>34</v>
      </c>
      <c r="I25" s="10"/>
      <c r="J25" s="111">
        <f xml:space="preserve"> 'Traffic Management Act'!J239</f>
        <v>0.65742242990654209</v>
      </c>
      <c r="K25" s="111">
        <f xml:space="preserve"> 'Traffic Management Act'!K239</f>
        <v>0.72530386740331498</v>
      </c>
      <c r="L25" s="111">
        <f xml:space="preserve"> 'Traffic Management Act'!L239</f>
        <v>0.57299999999999995</v>
      </c>
      <c r="M25" s="111">
        <f xml:space="preserve"> 'Traffic Management Act'!M239</f>
        <v>1.0507178729007369</v>
      </c>
      <c r="N25" s="111">
        <f xml:space="preserve"> 'Traffic Management Act'!N239</f>
        <v>1.366560737738022</v>
      </c>
      <c r="O25" s="111">
        <f xml:space="preserve"> 'Traffic Management Act'!O239</f>
        <v>1.367</v>
      </c>
      <c r="P25" s="111">
        <f xml:space="preserve"> 'Traffic Management Act'!P239</f>
        <v>1.367</v>
      </c>
      <c r="Q25" s="111">
        <f xml:space="preserve"> 'Traffic Management Act'!Q239</f>
        <v>1.367</v>
      </c>
      <c r="R25" s="111">
        <f xml:space="preserve"> 'Traffic Management Act'!R239</f>
        <v>1.367</v>
      </c>
      <c r="S25" s="111">
        <f xml:space="preserve"> 'Traffic Management Act'!S239</f>
        <v>1.367</v>
      </c>
      <c r="T25" s="111"/>
      <c r="U25" s="111">
        <f xml:space="preserve"> 'Traffic Management Act'!U239</f>
        <v>1.367</v>
      </c>
      <c r="V25" s="111">
        <f xml:space="preserve"> 'Traffic Management Act'!V239</f>
        <v>6.835</v>
      </c>
      <c r="W25" s="156"/>
      <c r="X25" s="156" t="b">
        <f t="shared" si="1"/>
        <v>1</v>
      </c>
      <c r="Y25" t="b">
        <f t="shared" si="2"/>
        <v>1</v>
      </c>
    </row>
    <row r="26" spans="1:27" hidden="1" outlineLevel="1" x14ac:dyDescent="0.35">
      <c r="A26" s="149"/>
      <c r="B26" s="149"/>
      <c r="C26" s="150"/>
      <c r="D26" s="154"/>
      <c r="E26" s="10" t="s">
        <v>192</v>
      </c>
      <c r="F26" s="10" t="s">
        <v>57</v>
      </c>
      <c r="G26" s="10" t="s">
        <v>34</v>
      </c>
      <c r="I26" s="10"/>
      <c r="J26" s="111">
        <f xml:space="preserve"> 'Traffic Management Act'!J240</f>
        <v>0.33228971962616827</v>
      </c>
      <c r="K26" s="111">
        <f xml:space="preserve"> 'Traffic Management Act'!K240</f>
        <v>0.46238121546961336</v>
      </c>
      <c r="L26" s="111">
        <f xml:space="preserve"> 'Traffic Management Act'!L240</f>
        <v>0.48899999999999999</v>
      </c>
      <c r="M26" s="111">
        <f xml:space="preserve"> 'Traffic Management Act'!M240</f>
        <v>0.48899999999999999</v>
      </c>
      <c r="N26" s="111">
        <f xml:space="preserve"> 'Traffic Management Act'!N240</f>
        <v>0.48899999999999999</v>
      </c>
      <c r="O26" s="111">
        <f xml:space="preserve"> 'Traffic Management Act'!O240</f>
        <v>0.48899999999999999</v>
      </c>
      <c r="P26" s="111">
        <f xml:space="preserve"> 'Traffic Management Act'!P240</f>
        <v>0.48899999999999999</v>
      </c>
      <c r="Q26" s="111">
        <f xml:space="preserve"> 'Traffic Management Act'!Q240</f>
        <v>0.48899999999999999</v>
      </c>
      <c r="R26" s="111">
        <f xml:space="preserve"> 'Traffic Management Act'!R240</f>
        <v>0.48899999999999999</v>
      </c>
      <c r="S26" s="111">
        <f xml:space="preserve"> 'Traffic Management Act'!S240</f>
        <v>0.48899999999999999</v>
      </c>
      <c r="T26" s="111"/>
      <c r="U26" s="111">
        <f xml:space="preserve"> 'Traffic Management Act'!U240</f>
        <v>0.48899999999999999</v>
      </c>
      <c r="V26" s="111">
        <f xml:space="preserve"> 'Traffic Management Act'!V240</f>
        <v>2.4449999999999998</v>
      </c>
      <c r="W26" s="156"/>
      <c r="X26" s="156" t="b">
        <f t="shared" si="1"/>
        <v>1</v>
      </c>
      <c r="Y26" t="b">
        <f t="shared" si="2"/>
        <v>1</v>
      </c>
    </row>
    <row r="27" spans="1:27" hidden="1" outlineLevel="1" x14ac:dyDescent="0.35">
      <c r="A27" s="149"/>
      <c r="B27" s="149"/>
      <c r="C27" s="150"/>
      <c r="D27" s="154"/>
      <c r="E27" s="10" t="s">
        <v>193</v>
      </c>
      <c r="F27" s="10" t="s">
        <v>58</v>
      </c>
      <c r="G27" s="10" t="s">
        <v>34</v>
      </c>
      <c r="I27" s="10"/>
      <c r="J27" s="111">
        <f xml:space="preserve"> 'Traffic Management Act'!J241</f>
        <v>0.18237078153271027</v>
      </c>
      <c r="K27" s="111">
        <f xml:space="preserve"> 'Traffic Management Act'!K241</f>
        <v>0.12717755036832415</v>
      </c>
      <c r="L27" s="111">
        <f xml:space="preserve"> 'Traffic Management Act'!L241</f>
        <v>0.31</v>
      </c>
      <c r="M27" s="111">
        <f xml:space="preserve"> 'Traffic Management Act'!M241</f>
        <v>0.34269271435338688</v>
      </c>
      <c r="N27" s="111">
        <f xml:space="preserve"> 'Traffic Management Act'!N241</f>
        <v>0.33700000000000002</v>
      </c>
      <c r="O27" s="111">
        <f xml:space="preserve"> 'Traffic Management Act'!O241</f>
        <v>0.34399999999999997</v>
      </c>
      <c r="P27" s="111">
        <f xml:space="preserve"> 'Traffic Management Act'!P241</f>
        <v>0.34699999999999998</v>
      </c>
      <c r="Q27" s="111">
        <f xml:space="preserve"> 'Traffic Management Act'!Q241</f>
        <v>0.34799999999999998</v>
      </c>
      <c r="R27" s="111">
        <f xml:space="preserve"> 'Traffic Management Act'!R241</f>
        <v>0.35399999999999998</v>
      </c>
      <c r="S27" s="111">
        <f xml:space="preserve"> 'Traffic Management Act'!S241</f>
        <v>0.35699999999999998</v>
      </c>
      <c r="T27" s="111"/>
      <c r="U27" s="111">
        <f xml:space="preserve"> 'Traffic Management Act'!U241</f>
        <v>0.35</v>
      </c>
      <c r="V27" s="111">
        <f xml:space="preserve"> 'Traffic Management Act'!V241</f>
        <v>1.7499999999999998</v>
      </c>
      <c r="W27" s="156"/>
      <c r="X27" s="156" t="b">
        <f t="shared" si="1"/>
        <v>1</v>
      </c>
      <c r="Y27" t="b">
        <f t="shared" si="2"/>
        <v>1</v>
      </c>
    </row>
    <row r="28" spans="1:27" hidden="1" outlineLevel="1" x14ac:dyDescent="0.35">
      <c r="A28" s="149"/>
      <c r="B28" s="149"/>
      <c r="C28" s="150"/>
      <c r="D28" s="154"/>
      <c r="E28" s="10" t="s">
        <v>194</v>
      </c>
      <c r="F28" s="10" t="s">
        <v>47</v>
      </c>
      <c r="G28" s="10" t="s">
        <v>34</v>
      </c>
      <c r="I28" s="10"/>
      <c r="J28" s="111">
        <f xml:space="preserve"> 'Traffic Management Act'!J242</f>
        <v>0</v>
      </c>
      <c r="K28" s="111">
        <f xml:space="preserve"> 'Traffic Management Act'!K242</f>
        <v>5.5405156537753235E-2</v>
      </c>
      <c r="L28" s="111">
        <f xml:space="preserve"> 'Traffic Management Act'!L242</f>
        <v>0.21199999999999999</v>
      </c>
      <c r="M28" s="111">
        <f xml:space="preserve"> 'Traffic Management Act'!M242</f>
        <v>0.79</v>
      </c>
      <c r="N28" s="111">
        <f xml:space="preserve"> 'Traffic Management Act'!N242</f>
        <v>0.21199999999999999</v>
      </c>
      <c r="O28" s="111">
        <f xml:space="preserve"> 'Traffic Management Act'!O242</f>
        <v>0.14199529599999999</v>
      </c>
      <c r="P28" s="111">
        <f xml:space="preserve"> 'Traffic Management Act'!P242</f>
        <v>0.133004648</v>
      </c>
      <c r="Q28" s="111">
        <f xml:space="preserve"> 'Traffic Management Act'!Q242</f>
        <v>0.123995114</v>
      </c>
      <c r="R28" s="111">
        <f xml:space="preserve"> 'Traffic Management Act'!R242</f>
        <v>0.114998539</v>
      </c>
      <c r="S28" s="111">
        <f xml:space="preserve"> 'Traffic Management Act'!S242</f>
        <v>0.107004223</v>
      </c>
      <c r="T28" s="111"/>
      <c r="U28" s="111">
        <f xml:space="preserve"> 'Traffic Management Act'!U242</f>
        <v>0.12419956400000001</v>
      </c>
      <c r="V28" s="111">
        <f xml:space="preserve"> 'Traffic Management Act'!V242</f>
        <v>0.62099782000000003</v>
      </c>
      <c r="W28" s="156"/>
      <c r="X28" s="156" t="b">
        <f t="shared" si="1"/>
        <v>1</v>
      </c>
      <c r="Y28" t="b">
        <f t="shared" si="2"/>
        <v>1</v>
      </c>
    </row>
    <row r="29" spans="1:27" hidden="1" outlineLevel="1" x14ac:dyDescent="0.35">
      <c r="A29" s="149"/>
      <c r="B29" s="149"/>
      <c r="C29" s="150"/>
      <c r="D29" s="154"/>
      <c r="E29" s="10" t="s">
        <v>146</v>
      </c>
      <c r="F29" s="10" t="s">
        <v>54</v>
      </c>
      <c r="G29" s="10" t="s">
        <v>34</v>
      </c>
      <c r="I29" s="10"/>
      <c r="J29" s="111">
        <f xml:space="preserve"> 'Traffic Management Act'!J243</f>
        <v>0.34353644859813087</v>
      </c>
      <c r="K29" s="111">
        <f xml:space="preserve"> 'Traffic Management Act'!K243</f>
        <v>0.37171823204419896</v>
      </c>
      <c r="L29" s="111">
        <f xml:space="preserve"> 'Traffic Management Act'!L243</f>
        <v>0.20599999999999999</v>
      </c>
      <c r="M29" s="111">
        <f xml:space="preserve"> 'Traffic Management Act'!M243</f>
        <v>0.44719455852156048</v>
      </c>
      <c r="N29" s="111">
        <f xml:space="preserve"> 'Traffic Management Act'!N243</f>
        <v>0.47199999999999998</v>
      </c>
      <c r="O29" s="111">
        <f xml:space="preserve"> 'Traffic Management Act'!O243</f>
        <v>0.18539385899999999</v>
      </c>
      <c r="P29" s="111">
        <f xml:space="preserve"> 'Traffic Management Act'!P243</f>
        <v>0.18540647900000001</v>
      </c>
      <c r="Q29" s="111">
        <f xml:space="preserve"> 'Traffic Management Act'!Q243</f>
        <v>0.185392694</v>
      </c>
      <c r="R29" s="111">
        <f xml:space="preserve"> 'Traffic Management Act'!R243</f>
        <v>0.185397645</v>
      </c>
      <c r="S29" s="111">
        <f xml:space="preserve"> 'Traffic Management Act'!S243</f>
        <v>0.18540731699999999</v>
      </c>
      <c r="T29" s="111"/>
      <c r="U29" s="111">
        <f xml:space="preserve"> 'Traffic Management Act'!U243</f>
        <v>0.18539959880000001</v>
      </c>
      <c r="V29" s="111">
        <f xml:space="preserve"> 'Traffic Management Act'!V243</f>
        <v>0.92699799400000005</v>
      </c>
      <c r="W29" s="156"/>
      <c r="X29" s="156" t="b">
        <f t="shared" si="1"/>
        <v>1</v>
      </c>
      <c r="Y29" t="b">
        <f t="shared" si="2"/>
        <v>1</v>
      </c>
    </row>
    <row r="30" spans="1:27" hidden="1" outlineLevel="1" x14ac:dyDescent="0.35">
      <c r="A30" s="149"/>
      <c r="B30" s="149"/>
      <c r="C30" s="150"/>
      <c r="D30" s="154"/>
      <c r="E30" s="10" t="s">
        <v>147</v>
      </c>
      <c r="F30" s="10">
        <v>0</v>
      </c>
      <c r="G30" s="10" t="s">
        <v>34</v>
      </c>
      <c r="I30" s="10"/>
      <c r="J30" s="157">
        <f xml:space="preserve"> 'Traffic Management Act'!J244</f>
        <v>40.093880523266087</v>
      </c>
      <c r="K30" s="157">
        <f xml:space="preserve"> 'Traffic Management Act'!K244</f>
        <v>43.087798927294891</v>
      </c>
      <c r="L30" s="157">
        <f xml:space="preserve"> 'Traffic Management Act'!L244</f>
        <v>48.450418602409783</v>
      </c>
      <c r="M30" s="157">
        <f xml:space="preserve"> 'Traffic Management Act'!M244</f>
        <v>41.528500586973479</v>
      </c>
      <c r="N30" s="157">
        <f xml:space="preserve"> 'Traffic Management Act'!N244</f>
        <v>49.974388768533686</v>
      </c>
      <c r="O30" s="157">
        <f xml:space="preserve"> 'Traffic Management Act'!O244</f>
        <v>52.876365494122425</v>
      </c>
      <c r="P30" s="157">
        <f xml:space="preserve"> 'Traffic Management Act'!P244</f>
        <v>52.925946176564729</v>
      </c>
      <c r="Q30" s="157">
        <f xml:space="preserve"> 'Traffic Management Act'!Q244</f>
        <v>52.961756825238588</v>
      </c>
      <c r="R30" s="157">
        <f xml:space="preserve"> 'Traffic Management Act'!R244</f>
        <v>52.993660029146639</v>
      </c>
      <c r="S30" s="157">
        <f xml:space="preserve"> 'Traffic Management Act'!S244</f>
        <v>53.0416542665332</v>
      </c>
      <c r="U30" s="157">
        <f xml:space="preserve"> 'Traffic Management Act'!U244</f>
        <v>52.959876558321113</v>
      </c>
      <c r="V30" s="157">
        <f xml:space="preserve"> 'Traffic Management Act'!V244</f>
        <v>264.79938279160558</v>
      </c>
      <c r="W30" s="156"/>
      <c r="X30" s="156"/>
    </row>
    <row r="31" spans="1:27" x14ac:dyDescent="0.35">
      <c r="A31" s="149"/>
      <c r="B31" s="149"/>
      <c r="C31" s="150"/>
      <c r="D31" s="154"/>
      <c r="E31" s="152"/>
      <c r="F31" s="152"/>
      <c r="H31" s="152"/>
      <c r="I31" s="153"/>
      <c r="J31" s="152"/>
      <c r="K31" s="152"/>
      <c r="L31" s="152"/>
      <c r="M31" s="152"/>
      <c r="N31" s="152"/>
      <c r="O31" s="152"/>
      <c r="P31" s="152"/>
      <c r="Q31" s="152"/>
      <c r="R31" s="152"/>
      <c r="S31" s="152"/>
      <c r="T31" s="152"/>
      <c r="U31" s="152"/>
      <c r="V31" s="152"/>
      <c r="W31" s="152"/>
      <c r="X31" s="152"/>
      <c r="Z31" s="152"/>
      <c r="AA31" s="152"/>
    </row>
    <row r="32" spans="1:27" x14ac:dyDescent="0.35">
      <c r="A32" s="149"/>
      <c r="B32" s="149"/>
      <c r="C32" s="150"/>
      <c r="D32" s="151" t="str">
        <f xml:space="preserve"> 'TMA Projects'!D193</f>
        <v>Traffic Management Act - Projects</v>
      </c>
      <c r="E32" s="151"/>
      <c r="F32" s="152"/>
      <c r="H32" s="152"/>
      <c r="I32" s="153"/>
      <c r="J32" s="74">
        <f>J$2</f>
        <v>44286</v>
      </c>
      <c r="K32" s="74">
        <f t="shared" ref="K32:V32" si="3">K$2</f>
        <v>44651</v>
      </c>
      <c r="L32" s="74">
        <f t="shared" si="3"/>
        <v>45016</v>
      </c>
      <c r="M32" s="74">
        <f t="shared" si="3"/>
        <v>45382</v>
      </c>
      <c r="N32" s="74">
        <f t="shared" si="3"/>
        <v>45747</v>
      </c>
      <c r="O32" s="74">
        <f t="shared" si="3"/>
        <v>46112</v>
      </c>
      <c r="P32" s="74">
        <f t="shared" si="3"/>
        <v>46477</v>
      </c>
      <c r="Q32" s="74">
        <f t="shared" si="3"/>
        <v>46843</v>
      </c>
      <c r="R32" s="74">
        <f t="shared" si="3"/>
        <v>47208</v>
      </c>
      <c r="S32" s="74">
        <f t="shared" si="3"/>
        <v>47573</v>
      </c>
      <c r="T32" s="74"/>
      <c r="U32" s="74" t="str">
        <f t="shared" si="3"/>
        <v>PR24 Average</v>
      </c>
      <c r="V32" s="74" t="str">
        <f t="shared" si="3"/>
        <v>PR24 Total</v>
      </c>
      <c r="W32" s="74"/>
      <c r="X32" s="74"/>
      <c r="Z32" s="74"/>
      <c r="AA32" s="74"/>
    </row>
    <row r="33" spans="1:27" collapsed="1" x14ac:dyDescent="0.35">
      <c r="A33" s="149"/>
      <c r="B33" s="149"/>
      <c r="C33" s="150"/>
      <c r="D33" s="151">
        <f xml:space="preserve"> 'TMA Projects'!D194</f>
        <v>0</v>
      </c>
      <c r="E33" s="151" t="str">
        <f xml:space="preserve"> 'TMA Projects'!E194</f>
        <v>Data</v>
      </c>
      <c r="F33" s="152"/>
      <c r="H33" s="152"/>
      <c r="I33" s="153"/>
      <c r="J33" s="152"/>
      <c r="K33" s="152"/>
      <c r="L33" s="152"/>
      <c r="M33" s="152"/>
      <c r="N33" s="152"/>
      <c r="O33" s="152"/>
      <c r="P33" s="152"/>
      <c r="Q33" s="152"/>
      <c r="R33" s="152"/>
      <c r="S33" s="152"/>
      <c r="T33" s="152"/>
      <c r="U33" s="152"/>
      <c r="V33" s="152"/>
      <c r="W33" s="152"/>
      <c r="X33" s="152"/>
      <c r="Z33" s="152"/>
      <c r="AA33" s="152"/>
    </row>
    <row r="34" spans="1:27" hidden="1" outlineLevel="1" x14ac:dyDescent="0.35">
      <c r="A34" s="149"/>
      <c r="B34" s="149"/>
      <c r="C34" s="150"/>
      <c r="D34" s="154"/>
      <c r="E34" s="152"/>
      <c r="F34" s="152"/>
      <c r="H34" s="152"/>
      <c r="I34" s="153"/>
      <c r="J34" s="152"/>
      <c r="K34" s="152"/>
      <c r="L34" s="152"/>
      <c r="M34" s="152"/>
      <c r="N34" s="152"/>
      <c r="O34" s="152"/>
      <c r="P34" s="152"/>
      <c r="Q34" s="152"/>
      <c r="R34" s="152"/>
      <c r="S34" s="152"/>
      <c r="T34" s="152"/>
      <c r="U34" s="152"/>
      <c r="V34" s="152"/>
      <c r="W34" s="152"/>
      <c r="X34" s="152"/>
      <c r="Z34" s="152"/>
      <c r="AA34" s="152"/>
    </row>
    <row r="35" spans="1:27" hidden="1" outlineLevel="1" x14ac:dyDescent="0.35">
      <c r="A35" s="149"/>
      <c r="B35" s="149"/>
      <c r="C35" s="150"/>
      <c r="D35" s="151"/>
      <c r="H35" s="152"/>
      <c r="I35" s="153"/>
      <c r="J35" s="74"/>
      <c r="K35" s="74"/>
      <c r="L35" s="74"/>
      <c r="M35" s="74"/>
      <c r="N35" s="74"/>
      <c r="O35" s="74"/>
      <c r="P35" s="74"/>
      <c r="Q35" s="74"/>
      <c r="R35" s="74"/>
      <c r="S35" s="74"/>
      <c r="T35" s="74"/>
      <c r="U35" s="74"/>
      <c r="V35" s="74"/>
      <c r="W35" s="74"/>
      <c r="X35" s="74"/>
      <c r="Z35" s="74"/>
      <c r="AA35" s="74"/>
    </row>
    <row r="36" spans="1:27" hidden="1" outlineLevel="1" x14ac:dyDescent="0.35">
      <c r="A36" s="149"/>
      <c r="B36" s="149"/>
      <c r="C36" s="150"/>
      <c r="D36" s="154"/>
      <c r="E36" s="10" t="str">
        <f xml:space="preserve"> 'TMA Projects'!E197</f>
        <v>Anglian Water</v>
      </c>
      <c r="F36" s="10" t="str">
        <f xml:space="preserve"> 'TMA Projects'!F197</f>
        <v>ANH</v>
      </c>
      <c r="G36" s="10" t="str">
        <f xml:space="preserve"> 'TMA Projects'!G197</f>
        <v>nr</v>
      </c>
      <c r="H36" s="10">
        <f xml:space="preserve"> 'TMA Projects'!H197</f>
        <v>0</v>
      </c>
      <c r="I36" s="10">
        <f xml:space="preserve"> 'TMA Projects'!I197</f>
        <v>0</v>
      </c>
      <c r="J36" s="152">
        <f xml:space="preserve"> 'TMA Projects'!J197</f>
        <v>34836</v>
      </c>
      <c r="K36" s="152">
        <f xml:space="preserve"> 'TMA Projects'!K197</f>
        <v>34250</v>
      </c>
      <c r="L36" s="152">
        <f xml:space="preserve"> 'TMA Projects'!L197</f>
        <v>18872</v>
      </c>
      <c r="M36" s="152">
        <f xml:space="preserve"> 'TMA Projects'!M197</f>
        <v>13043</v>
      </c>
      <c r="N36" s="152">
        <f xml:space="preserve"> 'TMA Projects'!N197</f>
        <v>19900</v>
      </c>
      <c r="O36" s="152">
        <f xml:space="preserve"> 'TMA Projects'!O197</f>
        <v>19900</v>
      </c>
      <c r="P36" s="152">
        <f xml:space="preserve"> 'TMA Projects'!P197</f>
        <v>19900</v>
      </c>
      <c r="Q36" s="152">
        <f xml:space="preserve"> 'TMA Projects'!Q197</f>
        <v>19900</v>
      </c>
      <c r="R36" s="152">
        <f xml:space="preserve"> 'TMA Projects'!R197</f>
        <v>19900</v>
      </c>
      <c r="S36" s="152">
        <f xml:space="preserve"> 'TMA Projects'!S197</f>
        <v>19900</v>
      </c>
      <c r="T36" s="171">
        <f xml:space="preserve"> 'TMA Projects'!T197</f>
        <v>0</v>
      </c>
      <c r="U36" s="152">
        <f xml:space="preserve"> 'TMA Projects'!U197</f>
        <v>19900</v>
      </c>
      <c r="V36" s="152">
        <f xml:space="preserve"> 'TMA Projects'!V197</f>
        <v>99500</v>
      </c>
      <c r="W36" s="156"/>
      <c r="X36" s="156" t="b">
        <f>AVERAGE(O36:S36)=U36</f>
        <v>1</v>
      </c>
      <c r="Y36" t="b">
        <f>SUM(O36:S36)=V36</f>
        <v>1</v>
      </c>
    </row>
    <row r="37" spans="1:27" hidden="1" outlineLevel="1" x14ac:dyDescent="0.35">
      <c r="A37" s="149"/>
      <c r="B37" s="149"/>
      <c r="C37" s="150"/>
      <c r="D37" s="154"/>
      <c r="E37" s="10" t="str">
        <f xml:space="preserve"> 'TMA Projects'!E198</f>
        <v>Dŵr Cymru</v>
      </c>
      <c r="F37" s="10" t="str">
        <f xml:space="preserve"> 'TMA Projects'!F198</f>
        <v>WSH</v>
      </c>
      <c r="G37" s="10" t="str">
        <f xml:space="preserve"> 'TMA Projects'!G198</f>
        <v>nr</v>
      </c>
      <c r="H37" s="10">
        <f xml:space="preserve"> 'TMA Projects'!H198</f>
        <v>0</v>
      </c>
      <c r="I37" s="10">
        <f xml:space="preserve"> 'TMA Projects'!I198</f>
        <v>0</v>
      </c>
      <c r="J37" s="152">
        <f xml:space="preserve"> 'TMA Projects'!J198</f>
        <v>877</v>
      </c>
      <c r="K37" s="152">
        <f xml:space="preserve"> 'TMA Projects'!K198</f>
        <v>0</v>
      </c>
      <c r="L37" s="152">
        <f xml:space="preserve"> 'TMA Projects'!L198</f>
        <v>2138</v>
      </c>
      <c r="M37" s="152">
        <f xml:space="preserve"> 'TMA Projects'!M198</f>
        <v>4051</v>
      </c>
      <c r="N37" s="152">
        <f xml:space="preserve"> 'TMA Projects'!N198</f>
        <v>1186.818</v>
      </c>
      <c r="O37" s="152">
        <f xml:space="preserve"> 'TMA Projects'!O198</f>
        <v>929.49399999999991</v>
      </c>
      <c r="P37" s="152">
        <f xml:space="preserve"> 'TMA Projects'!P198</f>
        <v>886.98799999999994</v>
      </c>
      <c r="Q37" s="152">
        <f xml:space="preserve"> 'TMA Projects'!Q198</f>
        <v>867.47199999999998</v>
      </c>
      <c r="R37" s="152">
        <f xml:space="preserve"> 'TMA Projects'!R198</f>
        <v>844.48300000000006</v>
      </c>
      <c r="S37" s="152">
        <f xml:space="preserve"> 'TMA Projects'!S198</f>
        <v>844.48300000000006</v>
      </c>
      <c r="T37" s="171">
        <f xml:space="preserve"> 'TMA Projects'!T198</f>
        <v>0</v>
      </c>
      <c r="U37" s="152">
        <f xml:space="preserve"> 'TMA Projects'!U198</f>
        <v>874.58400000000006</v>
      </c>
      <c r="V37" s="152">
        <f xml:space="preserve"> 'TMA Projects'!V198</f>
        <v>4372.92</v>
      </c>
      <c r="W37" s="156"/>
      <c r="X37" s="156" t="b">
        <f t="shared" ref="X37:X52" si="4">AVERAGE(O37:S37)=U37</f>
        <v>1</v>
      </c>
      <c r="Y37" t="b">
        <f t="shared" ref="Y37:Y52" si="5">SUM(O37:S37)=V37</f>
        <v>1</v>
      </c>
    </row>
    <row r="38" spans="1:27" hidden="1" outlineLevel="1" x14ac:dyDescent="0.35">
      <c r="A38" s="149"/>
      <c r="B38" s="149"/>
      <c r="C38" s="150"/>
      <c r="D38" s="154"/>
      <c r="E38" s="10" t="str">
        <f xml:space="preserve"> 'TMA Projects'!E199</f>
        <v>Hafren Dyfrdwy</v>
      </c>
      <c r="F38" s="10" t="str">
        <f xml:space="preserve"> 'TMA Projects'!F199</f>
        <v>HDD</v>
      </c>
      <c r="G38" s="10" t="str">
        <f xml:space="preserve"> 'TMA Projects'!G199</f>
        <v>nr</v>
      </c>
      <c r="H38" s="10">
        <f xml:space="preserve"> 'TMA Projects'!H199</f>
        <v>0</v>
      </c>
      <c r="I38" s="10">
        <f xml:space="preserve"> 'TMA Projects'!I199</f>
        <v>0</v>
      </c>
      <c r="J38" s="152">
        <f xml:space="preserve"> 'TMA Projects'!J199</f>
        <v>0</v>
      </c>
      <c r="K38" s="152">
        <f xml:space="preserve"> 'TMA Projects'!K199</f>
        <v>0</v>
      </c>
      <c r="L38" s="152">
        <f xml:space="preserve"> 'TMA Projects'!L199</f>
        <v>0</v>
      </c>
      <c r="M38" s="152">
        <f xml:space="preserve"> 'TMA Projects'!M199</f>
        <v>0</v>
      </c>
      <c r="N38" s="152">
        <f xml:space="preserve"> 'TMA Projects'!N199</f>
        <v>0</v>
      </c>
      <c r="O38" s="152">
        <f xml:space="preserve"> 'TMA Projects'!O199</f>
        <v>0</v>
      </c>
      <c r="P38" s="152">
        <f xml:space="preserve"> 'TMA Projects'!P199</f>
        <v>0</v>
      </c>
      <c r="Q38" s="152">
        <f xml:space="preserve"> 'TMA Projects'!Q199</f>
        <v>0</v>
      </c>
      <c r="R38" s="152">
        <f xml:space="preserve"> 'TMA Projects'!R199</f>
        <v>0</v>
      </c>
      <c r="S38" s="152">
        <f xml:space="preserve"> 'TMA Projects'!S199</f>
        <v>0</v>
      </c>
      <c r="T38" s="171">
        <f xml:space="preserve"> 'TMA Projects'!T199</f>
        <v>0</v>
      </c>
      <c r="U38" s="152">
        <f xml:space="preserve"> 'TMA Projects'!U199</f>
        <v>0</v>
      </c>
      <c r="V38" s="152">
        <f xml:space="preserve"> 'TMA Projects'!V199</f>
        <v>0</v>
      </c>
      <c r="W38" s="156"/>
      <c r="X38" s="156" t="b">
        <f t="shared" si="4"/>
        <v>1</v>
      </c>
      <c r="Y38" t="b">
        <f t="shared" si="5"/>
        <v>1</v>
      </c>
    </row>
    <row r="39" spans="1:27" hidden="1" outlineLevel="1" x14ac:dyDescent="0.35">
      <c r="A39" s="149"/>
      <c r="B39" s="149"/>
      <c r="C39" s="150"/>
      <c r="D39" s="154"/>
      <c r="E39" s="10" t="str">
        <f xml:space="preserve"> 'TMA Projects'!E200</f>
        <v>Northumbrian Water</v>
      </c>
      <c r="F39" s="10" t="str">
        <f xml:space="preserve"> 'TMA Projects'!F200</f>
        <v>NES</v>
      </c>
      <c r="G39" s="10" t="str">
        <f xml:space="preserve"> 'TMA Projects'!G200</f>
        <v>nr</v>
      </c>
      <c r="H39" s="10">
        <f xml:space="preserve"> 'TMA Projects'!H200</f>
        <v>0</v>
      </c>
      <c r="I39" s="10">
        <f xml:space="preserve"> 'TMA Projects'!I200</f>
        <v>0</v>
      </c>
      <c r="J39" s="152">
        <f xml:space="preserve"> 'TMA Projects'!J200</f>
        <v>14055</v>
      </c>
      <c r="K39" s="152">
        <f xml:space="preserve"> 'TMA Projects'!K200</f>
        <v>9862</v>
      </c>
      <c r="L39" s="152">
        <f xml:space="preserve"> 'TMA Projects'!L200</f>
        <v>9567</v>
      </c>
      <c r="M39" s="152">
        <f xml:space="preserve"> 'TMA Projects'!M200</f>
        <v>8485</v>
      </c>
      <c r="N39" s="152">
        <f xml:space="preserve"> 'TMA Projects'!N200</f>
        <v>10418</v>
      </c>
      <c r="O39" s="152">
        <f xml:space="preserve"> 'TMA Projects'!O200</f>
        <v>10937</v>
      </c>
      <c r="P39" s="152">
        <f xml:space="preserve"> 'TMA Projects'!P200</f>
        <v>11476</v>
      </c>
      <c r="Q39" s="152">
        <f xml:space="preserve"> 'TMA Projects'!Q200</f>
        <v>12015</v>
      </c>
      <c r="R39" s="152">
        <f xml:space="preserve"> 'TMA Projects'!R200</f>
        <v>12532</v>
      </c>
      <c r="S39" s="152">
        <f xml:space="preserve"> 'TMA Projects'!S200</f>
        <v>13071</v>
      </c>
      <c r="T39" s="171">
        <f xml:space="preserve"> 'TMA Projects'!T200</f>
        <v>0</v>
      </c>
      <c r="U39" s="152">
        <f xml:space="preserve"> 'TMA Projects'!U200</f>
        <v>12006.2</v>
      </c>
      <c r="V39" s="152">
        <f xml:space="preserve"> 'TMA Projects'!V200</f>
        <v>60031</v>
      </c>
      <c r="W39" s="156"/>
      <c r="X39" s="156" t="b">
        <f t="shared" si="4"/>
        <v>1</v>
      </c>
      <c r="Y39" t="b">
        <f t="shared" si="5"/>
        <v>1</v>
      </c>
    </row>
    <row r="40" spans="1:27" hidden="1" outlineLevel="1" x14ac:dyDescent="0.35">
      <c r="A40" s="149"/>
      <c r="B40" s="149"/>
      <c r="C40" s="150"/>
      <c r="D40" s="154"/>
      <c r="E40" s="10" t="str">
        <f xml:space="preserve"> 'TMA Projects'!E201</f>
        <v>Severn Trent Water</v>
      </c>
      <c r="F40" s="10" t="str">
        <f xml:space="preserve"> 'TMA Projects'!F201</f>
        <v>SVE</v>
      </c>
      <c r="G40" s="10" t="str">
        <f xml:space="preserve"> 'TMA Projects'!G201</f>
        <v>nr</v>
      </c>
      <c r="H40" s="10">
        <f xml:space="preserve"> 'TMA Projects'!H201</f>
        <v>0</v>
      </c>
      <c r="I40" s="10">
        <f xml:space="preserve"> 'TMA Projects'!I201</f>
        <v>0</v>
      </c>
      <c r="J40" s="152">
        <f xml:space="preserve"> 'TMA Projects'!J201</f>
        <v>800</v>
      </c>
      <c r="K40" s="152">
        <f xml:space="preserve"> 'TMA Projects'!K201</f>
        <v>40869.000000000044</v>
      </c>
      <c r="L40" s="152">
        <f xml:space="preserve"> 'TMA Projects'!L201</f>
        <v>58244</v>
      </c>
      <c r="M40" s="152">
        <f xml:space="preserve"> 'TMA Projects'!M201</f>
        <v>38789.241789115389</v>
      </c>
      <c r="N40" s="152">
        <f xml:space="preserve"> 'TMA Projects'!N201</f>
        <v>37363.324768572238</v>
      </c>
      <c r="O40" s="152">
        <f xml:space="preserve"> 'TMA Projects'!O201</f>
        <v>58445.483046376794</v>
      </c>
      <c r="P40" s="152">
        <f xml:space="preserve"> 'TMA Projects'!P201</f>
        <v>58926.06688911136</v>
      </c>
      <c r="Q40" s="152">
        <f xml:space="preserve"> 'TMA Projects'!Q201</f>
        <v>59406.852501407127</v>
      </c>
      <c r="R40" s="152">
        <f xml:space="preserve"> 'TMA Projects'!R201</f>
        <v>59906.485102668637</v>
      </c>
      <c r="S40" s="152">
        <f xml:space="preserve"> 'TMA Projects'!S201</f>
        <v>60387.677786386936</v>
      </c>
      <c r="T40" s="171">
        <f xml:space="preserve"> 'TMA Projects'!T201</f>
        <v>0</v>
      </c>
      <c r="U40" s="152">
        <f xml:space="preserve"> 'TMA Projects'!U201</f>
        <v>59414.513065190171</v>
      </c>
      <c r="V40" s="152">
        <f xml:space="preserve"> 'TMA Projects'!V201</f>
        <v>297072.56532595085</v>
      </c>
      <c r="W40" s="156"/>
      <c r="X40" s="156" t="b">
        <f t="shared" si="4"/>
        <v>1</v>
      </c>
      <c r="Y40" t="b">
        <f t="shared" si="5"/>
        <v>1</v>
      </c>
    </row>
    <row r="41" spans="1:27" hidden="1" outlineLevel="1" x14ac:dyDescent="0.35">
      <c r="A41" s="149"/>
      <c r="B41" s="149"/>
      <c r="C41" s="150"/>
      <c r="D41" s="154"/>
      <c r="E41" s="10" t="str">
        <f xml:space="preserve"> 'TMA Projects'!E202</f>
        <v>Southern Water</v>
      </c>
      <c r="F41" s="10" t="str">
        <f xml:space="preserve"> 'TMA Projects'!F202</f>
        <v>SRN</v>
      </c>
      <c r="G41" s="10" t="str">
        <f xml:space="preserve"> 'TMA Projects'!G202</f>
        <v>nr</v>
      </c>
      <c r="H41" s="10">
        <f xml:space="preserve"> 'TMA Projects'!H202</f>
        <v>0</v>
      </c>
      <c r="I41" s="10">
        <f xml:space="preserve"> 'TMA Projects'!I202</f>
        <v>0</v>
      </c>
      <c r="J41" s="152">
        <f xml:space="preserve"> 'TMA Projects'!J202</f>
        <v>37274</v>
      </c>
      <c r="K41" s="152">
        <f xml:space="preserve"> 'TMA Projects'!K202</f>
        <v>37768</v>
      </c>
      <c r="L41" s="152">
        <f xml:space="preserve"> 'TMA Projects'!L202</f>
        <v>41956</v>
      </c>
      <c r="M41" s="152">
        <f xml:space="preserve"> 'TMA Projects'!M202</f>
        <v>37296</v>
      </c>
      <c r="N41" s="152">
        <f xml:space="preserve"> 'TMA Projects'!N202</f>
        <v>38000</v>
      </c>
      <c r="O41" s="152">
        <f xml:space="preserve"> 'TMA Projects'!O202</f>
        <v>38000</v>
      </c>
      <c r="P41" s="152">
        <f xml:space="preserve"> 'TMA Projects'!P202</f>
        <v>38000</v>
      </c>
      <c r="Q41" s="152">
        <f xml:space="preserve"> 'TMA Projects'!Q202</f>
        <v>38000</v>
      </c>
      <c r="R41" s="152">
        <f xml:space="preserve"> 'TMA Projects'!R202</f>
        <v>38000</v>
      </c>
      <c r="S41" s="152">
        <f xml:space="preserve"> 'TMA Projects'!S202</f>
        <v>38000</v>
      </c>
      <c r="T41" s="171">
        <f xml:space="preserve"> 'TMA Projects'!T202</f>
        <v>0</v>
      </c>
      <c r="U41" s="152">
        <f xml:space="preserve"> 'TMA Projects'!U202</f>
        <v>38000</v>
      </c>
      <c r="V41" s="152">
        <f xml:space="preserve"> 'TMA Projects'!V202</f>
        <v>190000</v>
      </c>
      <c r="W41" s="156"/>
      <c r="X41" s="156" t="b">
        <f t="shared" si="4"/>
        <v>1</v>
      </c>
      <c r="Y41" t="b">
        <f t="shared" si="5"/>
        <v>1</v>
      </c>
    </row>
    <row r="42" spans="1:27" hidden="1" outlineLevel="1" x14ac:dyDescent="0.35">
      <c r="A42" s="149"/>
      <c r="B42" s="149"/>
      <c r="C42" s="150"/>
      <c r="D42" s="154"/>
      <c r="E42" s="10" t="str">
        <f xml:space="preserve"> 'TMA Projects'!E203</f>
        <v>Thames Water</v>
      </c>
      <c r="F42" s="10" t="str">
        <f xml:space="preserve"> 'TMA Projects'!F203</f>
        <v>TMS</v>
      </c>
      <c r="G42" s="10" t="str">
        <f xml:space="preserve"> 'TMA Projects'!G203</f>
        <v>nr</v>
      </c>
      <c r="H42" s="10">
        <f xml:space="preserve"> 'TMA Projects'!H203</f>
        <v>0</v>
      </c>
      <c r="I42" s="10">
        <f xml:space="preserve"> 'TMA Projects'!I203</f>
        <v>0</v>
      </c>
      <c r="J42" s="152">
        <f xml:space="preserve"> 'TMA Projects'!J203</f>
        <v>61790</v>
      </c>
      <c r="K42" s="152">
        <f xml:space="preserve"> 'TMA Projects'!K203</f>
        <v>103213</v>
      </c>
      <c r="L42" s="152">
        <f xml:space="preserve"> 'TMA Projects'!L203</f>
        <v>96332</v>
      </c>
      <c r="M42" s="152">
        <f xml:space="preserve"> 'TMA Projects'!M203</f>
        <v>74411</v>
      </c>
      <c r="N42" s="152">
        <f xml:space="preserve"> 'TMA Projects'!N203</f>
        <v>99140</v>
      </c>
      <c r="O42" s="152">
        <f xml:space="preserve"> 'TMA Projects'!O203</f>
        <v>101575</v>
      </c>
      <c r="P42" s="152">
        <f xml:space="preserve"> 'TMA Projects'!P203</f>
        <v>101595</v>
      </c>
      <c r="Q42" s="152">
        <f xml:space="preserve"> 'TMA Projects'!Q203</f>
        <v>101616.00900000001</v>
      </c>
      <c r="R42" s="152">
        <f xml:space="preserve"> 'TMA Projects'!R203</f>
        <v>101638.00900000001</v>
      </c>
      <c r="S42" s="152">
        <f xml:space="preserve"> 'TMA Projects'!S203</f>
        <v>101659</v>
      </c>
      <c r="T42" s="171">
        <f xml:space="preserve"> 'TMA Projects'!T203</f>
        <v>0</v>
      </c>
      <c r="U42" s="152">
        <f xml:space="preserve"> 'TMA Projects'!U203</f>
        <v>101616.6036</v>
      </c>
      <c r="V42" s="152">
        <f xml:space="preserve"> 'TMA Projects'!V203</f>
        <v>508083.01800000004</v>
      </c>
      <c r="W42" s="156"/>
      <c r="X42" s="156" t="b">
        <f t="shared" si="4"/>
        <v>1</v>
      </c>
      <c r="Y42" t="b">
        <f t="shared" si="5"/>
        <v>1</v>
      </c>
    </row>
    <row r="43" spans="1:27" hidden="1" outlineLevel="1" x14ac:dyDescent="0.35">
      <c r="A43" s="149"/>
      <c r="B43" s="149"/>
      <c r="C43" s="150"/>
      <c r="D43" s="154"/>
      <c r="E43" s="10" t="str">
        <f xml:space="preserve"> 'TMA Projects'!E204</f>
        <v>United Utilities</v>
      </c>
      <c r="F43" s="10" t="str">
        <f xml:space="preserve"> 'TMA Projects'!F204</f>
        <v>NWT</v>
      </c>
      <c r="G43" s="10" t="str">
        <f xml:space="preserve"> 'TMA Projects'!G204</f>
        <v>nr</v>
      </c>
      <c r="H43" s="10">
        <f xml:space="preserve"> 'TMA Projects'!H204</f>
        <v>0</v>
      </c>
      <c r="I43" s="10">
        <f xml:space="preserve"> 'TMA Projects'!I204</f>
        <v>0</v>
      </c>
      <c r="J43" s="152">
        <f xml:space="preserve"> 'TMA Projects'!J204</f>
        <v>37489.680582310619</v>
      </c>
      <c r="K43" s="152">
        <f xml:space="preserve"> 'TMA Projects'!K204</f>
        <v>44728</v>
      </c>
      <c r="L43" s="152">
        <f xml:space="preserve"> 'TMA Projects'!L204</f>
        <v>41943</v>
      </c>
      <c r="M43" s="152">
        <f xml:space="preserve"> 'TMA Projects'!M204</f>
        <v>31440.998780800823</v>
      </c>
      <c r="N43" s="152">
        <f xml:space="preserve"> 'TMA Projects'!N204</f>
        <v>32859</v>
      </c>
      <c r="O43" s="152">
        <f xml:space="preserve"> 'TMA Projects'!O204</f>
        <v>32896.102950660221</v>
      </c>
      <c r="P43" s="152">
        <f xml:space="preserve"> 'TMA Projects'!P204</f>
        <v>32896.102950660221</v>
      </c>
      <c r="Q43" s="152">
        <f xml:space="preserve"> 'TMA Projects'!Q204</f>
        <v>32896.102950660221</v>
      </c>
      <c r="R43" s="152">
        <f xml:space="preserve"> 'TMA Projects'!R204</f>
        <v>32896.102950660221</v>
      </c>
      <c r="S43" s="152">
        <f xml:space="preserve"> 'TMA Projects'!S204</f>
        <v>32896.102950660221</v>
      </c>
      <c r="T43" s="171">
        <f xml:space="preserve"> 'TMA Projects'!T204</f>
        <v>0</v>
      </c>
      <c r="U43" s="152">
        <f xml:space="preserve"> 'TMA Projects'!U204</f>
        <v>32896.102950660221</v>
      </c>
      <c r="V43" s="152">
        <f xml:space="preserve"> 'TMA Projects'!V204</f>
        <v>164480.5147533011</v>
      </c>
      <c r="W43" s="156"/>
      <c r="X43" s="156" t="b">
        <f t="shared" si="4"/>
        <v>1</v>
      </c>
      <c r="Y43" t="b">
        <f t="shared" si="5"/>
        <v>1</v>
      </c>
    </row>
    <row r="44" spans="1:27" hidden="1" outlineLevel="1" x14ac:dyDescent="0.35">
      <c r="A44" s="149"/>
      <c r="B44" s="149"/>
      <c r="C44" s="150"/>
      <c r="D44" s="154"/>
      <c r="E44" s="10" t="str">
        <f xml:space="preserve"> 'TMA Projects'!E205</f>
        <v>Wessex Water</v>
      </c>
      <c r="F44" s="10" t="str">
        <f xml:space="preserve"> 'TMA Projects'!F205</f>
        <v>WSX</v>
      </c>
      <c r="G44" s="10" t="str">
        <f xml:space="preserve"> 'TMA Projects'!G205</f>
        <v>nr</v>
      </c>
      <c r="H44" s="10">
        <f xml:space="preserve"> 'TMA Projects'!H205</f>
        <v>0</v>
      </c>
      <c r="I44" s="10">
        <f xml:space="preserve"> 'TMA Projects'!I205</f>
        <v>0</v>
      </c>
      <c r="J44" s="152">
        <f xml:space="preserve"> 'TMA Projects'!J205</f>
        <v>2876</v>
      </c>
      <c r="K44" s="152">
        <f xml:space="preserve"> 'TMA Projects'!K205</f>
        <v>4073</v>
      </c>
      <c r="L44" s="152">
        <f xml:space="preserve"> 'TMA Projects'!L205</f>
        <v>4583</v>
      </c>
      <c r="M44" s="152">
        <f xml:space="preserve"> 'TMA Projects'!M205</f>
        <v>2751</v>
      </c>
      <c r="N44" s="152">
        <f xml:space="preserve"> 'TMA Projects'!N205</f>
        <v>3850</v>
      </c>
      <c r="O44" s="152">
        <f xml:space="preserve"> 'TMA Projects'!O205</f>
        <v>3850</v>
      </c>
      <c r="P44" s="152">
        <f xml:space="preserve"> 'TMA Projects'!P205</f>
        <v>3850</v>
      </c>
      <c r="Q44" s="152">
        <f xml:space="preserve"> 'TMA Projects'!Q205</f>
        <v>3850</v>
      </c>
      <c r="R44" s="152">
        <f xml:space="preserve"> 'TMA Projects'!R205</f>
        <v>3850</v>
      </c>
      <c r="S44" s="152">
        <f xml:space="preserve"> 'TMA Projects'!S205</f>
        <v>3850</v>
      </c>
      <c r="T44" s="171">
        <f xml:space="preserve"> 'TMA Projects'!T205</f>
        <v>0</v>
      </c>
      <c r="U44" s="152">
        <f xml:space="preserve"> 'TMA Projects'!U205</f>
        <v>3850</v>
      </c>
      <c r="V44" s="152">
        <f xml:space="preserve"> 'TMA Projects'!V205</f>
        <v>19250</v>
      </c>
      <c r="W44" s="156"/>
      <c r="X44" s="156" t="b">
        <f t="shared" si="4"/>
        <v>1</v>
      </c>
      <c r="Y44" t="b">
        <f t="shared" si="5"/>
        <v>1</v>
      </c>
    </row>
    <row r="45" spans="1:27" hidden="1" outlineLevel="1" x14ac:dyDescent="0.35">
      <c r="A45" s="149"/>
      <c r="B45" s="149"/>
      <c r="C45" s="150"/>
      <c r="D45" s="154"/>
      <c r="E45" s="10" t="str">
        <f xml:space="preserve"> 'TMA Projects'!E206</f>
        <v>Yorkshire Water</v>
      </c>
      <c r="F45" s="10" t="str">
        <f xml:space="preserve"> 'TMA Projects'!F206</f>
        <v>YKY</v>
      </c>
      <c r="G45" s="10" t="str">
        <f xml:space="preserve"> 'TMA Projects'!G206</f>
        <v>nr</v>
      </c>
      <c r="H45" s="10">
        <f xml:space="preserve"> 'TMA Projects'!H206</f>
        <v>0</v>
      </c>
      <c r="I45" s="10">
        <f xml:space="preserve"> 'TMA Projects'!I206</f>
        <v>0</v>
      </c>
      <c r="J45" s="152">
        <f xml:space="preserve"> 'TMA Projects'!J206</f>
        <v>28708</v>
      </c>
      <c r="K45" s="152">
        <f xml:space="preserve"> 'TMA Projects'!K206</f>
        <v>22242.109999999997</v>
      </c>
      <c r="L45" s="152">
        <f xml:space="preserve"> 'TMA Projects'!L206</f>
        <v>21611</v>
      </c>
      <c r="M45" s="152">
        <f xml:space="preserve"> 'TMA Projects'!M206</f>
        <v>25523</v>
      </c>
      <c r="N45" s="152">
        <f xml:space="preserve"> 'TMA Projects'!N206</f>
        <v>21742</v>
      </c>
      <c r="O45" s="152">
        <f xml:space="preserve"> 'TMA Projects'!O206</f>
        <v>21742</v>
      </c>
      <c r="P45" s="152">
        <f xml:space="preserve"> 'TMA Projects'!P206</f>
        <v>21742</v>
      </c>
      <c r="Q45" s="152">
        <f xml:space="preserve"> 'TMA Projects'!Q206</f>
        <v>21742</v>
      </c>
      <c r="R45" s="152">
        <f xml:space="preserve"> 'TMA Projects'!R206</f>
        <v>21742</v>
      </c>
      <c r="S45" s="152">
        <f xml:space="preserve"> 'TMA Projects'!S206</f>
        <v>21742</v>
      </c>
      <c r="T45" s="171">
        <f xml:space="preserve"> 'TMA Projects'!T206</f>
        <v>0</v>
      </c>
      <c r="U45" s="152">
        <f xml:space="preserve"> 'TMA Projects'!U206</f>
        <v>21742</v>
      </c>
      <c r="V45" s="152">
        <f xml:space="preserve"> 'TMA Projects'!V206</f>
        <v>108710</v>
      </c>
      <c r="W45" s="156"/>
      <c r="X45" s="156" t="b">
        <f t="shared" si="4"/>
        <v>1</v>
      </c>
      <c r="Y45" t="b">
        <f t="shared" si="5"/>
        <v>1</v>
      </c>
    </row>
    <row r="46" spans="1:27" hidden="1" outlineLevel="1" x14ac:dyDescent="0.35">
      <c r="A46" s="149"/>
      <c r="B46" s="149"/>
      <c r="C46" s="150"/>
      <c r="D46" s="154"/>
      <c r="E46" s="10" t="str">
        <f xml:space="preserve"> 'TMA Projects'!E207</f>
        <v>Affinity Water</v>
      </c>
      <c r="F46" s="10" t="str">
        <f xml:space="preserve"> 'TMA Projects'!F207</f>
        <v>AFW</v>
      </c>
      <c r="G46" s="10" t="str">
        <f xml:space="preserve"> 'TMA Projects'!G207</f>
        <v>nr</v>
      </c>
      <c r="H46" s="10">
        <f xml:space="preserve"> 'TMA Projects'!H207</f>
        <v>0</v>
      </c>
      <c r="I46" s="10">
        <f xml:space="preserve"> 'TMA Projects'!I207</f>
        <v>0</v>
      </c>
      <c r="J46" s="152">
        <f xml:space="preserve"> 'TMA Projects'!J207</f>
        <v>25216</v>
      </c>
      <c r="K46" s="152">
        <f xml:space="preserve"> 'TMA Projects'!K207</f>
        <v>24441.440867070502</v>
      </c>
      <c r="L46" s="152">
        <f xml:space="preserve"> 'TMA Projects'!L207</f>
        <v>25354.19091949637</v>
      </c>
      <c r="M46" s="152">
        <f xml:space="preserve"> 'TMA Projects'!M207</f>
        <v>23744.716</v>
      </c>
      <c r="N46" s="152">
        <f xml:space="preserve"> 'TMA Projects'!N207</f>
        <v>25000</v>
      </c>
      <c r="O46" s="152">
        <f xml:space="preserve"> 'TMA Projects'!O207</f>
        <v>25000</v>
      </c>
      <c r="P46" s="152">
        <f xml:space="preserve"> 'TMA Projects'!P207</f>
        <v>25000</v>
      </c>
      <c r="Q46" s="152">
        <f xml:space="preserve"> 'TMA Projects'!Q207</f>
        <v>25000</v>
      </c>
      <c r="R46" s="152">
        <f xml:space="preserve"> 'TMA Projects'!R207</f>
        <v>25000</v>
      </c>
      <c r="S46" s="152">
        <f xml:space="preserve"> 'TMA Projects'!S207</f>
        <v>25000</v>
      </c>
      <c r="T46" s="171">
        <f xml:space="preserve"> 'TMA Projects'!T207</f>
        <v>0</v>
      </c>
      <c r="U46" s="152">
        <f xml:space="preserve"> 'TMA Projects'!U207</f>
        <v>25000</v>
      </c>
      <c r="V46" s="152">
        <f xml:space="preserve"> 'TMA Projects'!V207</f>
        <v>125000</v>
      </c>
      <c r="W46" s="156"/>
      <c r="X46" s="156" t="b">
        <f t="shared" si="4"/>
        <v>1</v>
      </c>
      <c r="Y46" t="b">
        <f t="shared" si="5"/>
        <v>1</v>
      </c>
    </row>
    <row r="47" spans="1:27" hidden="1" outlineLevel="1" x14ac:dyDescent="0.35">
      <c r="A47" s="149"/>
      <c r="B47" s="149"/>
      <c r="C47" s="150"/>
      <c r="D47" s="154"/>
      <c r="E47" s="10" t="str">
        <f xml:space="preserve"> 'TMA Projects'!E208</f>
        <v>Portsmouth Water</v>
      </c>
      <c r="F47" s="10" t="str">
        <f xml:space="preserve"> 'TMA Projects'!F208</f>
        <v>PRT</v>
      </c>
      <c r="G47" s="10" t="str">
        <f xml:space="preserve"> 'TMA Projects'!G208</f>
        <v>nr</v>
      </c>
      <c r="H47" s="10">
        <f xml:space="preserve"> 'TMA Projects'!H208</f>
        <v>0</v>
      </c>
      <c r="I47" s="10">
        <f xml:space="preserve"> 'TMA Projects'!I208</f>
        <v>0</v>
      </c>
      <c r="J47" s="152">
        <f xml:space="preserve"> 'TMA Projects'!J208</f>
        <v>0</v>
      </c>
      <c r="K47" s="152">
        <f xml:space="preserve"> 'TMA Projects'!K208</f>
        <v>0</v>
      </c>
      <c r="L47" s="152">
        <f xml:space="preserve"> 'TMA Projects'!L208</f>
        <v>0</v>
      </c>
      <c r="M47" s="152">
        <f xml:space="preserve"> 'TMA Projects'!M208</f>
        <v>4120</v>
      </c>
      <c r="N47" s="152">
        <f xml:space="preserve"> 'TMA Projects'!N208</f>
        <v>5857</v>
      </c>
      <c r="O47" s="152">
        <f xml:space="preserve"> 'TMA Projects'!O208</f>
        <v>6957</v>
      </c>
      <c r="P47" s="152">
        <f xml:space="preserve"> 'TMA Projects'!P208</f>
        <v>7569</v>
      </c>
      <c r="Q47" s="152">
        <f xml:space="preserve"> 'TMA Projects'!Q208</f>
        <v>6957</v>
      </c>
      <c r="R47" s="152">
        <f xml:space="preserve"> 'TMA Projects'!R208</f>
        <v>6957</v>
      </c>
      <c r="S47" s="152">
        <f xml:space="preserve"> 'TMA Projects'!S208</f>
        <v>6957</v>
      </c>
      <c r="T47" s="171">
        <f xml:space="preserve"> 'TMA Projects'!T208</f>
        <v>0</v>
      </c>
      <c r="U47" s="152">
        <f xml:space="preserve"> 'TMA Projects'!U208</f>
        <v>7079.4</v>
      </c>
      <c r="V47" s="152">
        <f xml:space="preserve"> 'TMA Projects'!V208</f>
        <v>35397</v>
      </c>
      <c r="W47" s="156"/>
      <c r="X47" s="156" t="b">
        <f t="shared" si="4"/>
        <v>1</v>
      </c>
      <c r="Y47" t="b">
        <f t="shared" si="5"/>
        <v>1</v>
      </c>
    </row>
    <row r="48" spans="1:27" hidden="1" outlineLevel="1" x14ac:dyDescent="0.35">
      <c r="A48" s="149"/>
      <c r="B48" s="149"/>
      <c r="C48" s="150"/>
      <c r="D48" s="154"/>
      <c r="E48" s="10" t="str">
        <f xml:space="preserve"> 'TMA Projects'!E209</f>
        <v>South East Water</v>
      </c>
      <c r="F48" s="10" t="str">
        <f xml:space="preserve"> 'TMA Projects'!F209</f>
        <v>SEW</v>
      </c>
      <c r="G48" s="10" t="str">
        <f xml:space="preserve"> 'TMA Projects'!G209</f>
        <v>nr</v>
      </c>
      <c r="H48" s="10">
        <f xml:space="preserve"> 'TMA Projects'!H209</f>
        <v>0</v>
      </c>
      <c r="I48" s="10">
        <f xml:space="preserve"> 'TMA Projects'!I209</f>
        <v>0</v>
      </c>
      <c r="J48" s="152">
        <f xml:space="preserve"> 'TMA Projects'!J209</f>
        <v>24470</v>
      </c>
      <c r="K48" s="152">
        <f xml:space="preserve"> 'TMA Projects'!K209</f>
        <v>22888</v>
      </c>
      <c r="L48" s="152">
        <f xml:space="preserve"> 'TMA Projects'!L209</f>
        <v>18931</v>
      </c>
      <c r="M48" s="152">
        <f xml:space="preserve"> 'TMA Projects'!M209</f>
        <v>21517</v>
      </c>
      <c r="N48" s="152">
        <f xml:space="preserve"> 'TMA Projects'!N209</f>
        <v>21662</v>
      </c>
      <c r="O48" s="152">
        <f xml:space="preserve"> 'TMA Projects'!O209</f>
        <v>21749</v>
      </c>
      <c r="P48" s="152">
        <f xml:space="preserve"> 'TMA Projects'!P209</f>
        <v>21827</v>
      </c>
      <c r="Q48" s="152">
        <f xml:space="preserve"> 'TMA Projects'!Q209</f>
        <v>21936</v>
      </c>
      <c r="R48" s="152">
        <f xml:space="preserve"> 'TMA Projects'!R209</f>
        <v>22070</v>
      </c>
      <c r="S48" s="152">
        <f xml:space="preserve"> 'TMA Projects'!S209</f>
        <v>22253</v>
      </c>
      <c r="T48" s="171">
        <f xml:space="preserve"> 'TMA Projects'!T209</f>
        <v>0</v>
      </c>
      <c r="U48" s="152">
        <f xml:space="preserve"> 'TMA Projects'!U209</f>
        <v>21967</v>
      </c>
      <c r="V48" s="152">
        <f xml:space="preserve"> 'TMA Projects'!V209</f>
        <v>109835</v>
      </c>
      <c r="W48" s="156"/>
      <c r="X48" s="156" t="b">
        <f t="shared" si="4"/>
        <v>1</v>
      </c>
      <c r="Y48" t="b">
        <f t="shared" si="5"/>
        <v>1</v>
      </c>
    </row>
    <row r="49" spans="1:27" hidden="1" outlineLevel="1" x14ac:dyDescent="0.35">
      <c r="A49" s="149"/>
      <c r="B49" s="149"/>
      <c r="C49" s="150"/>
      <c r="D49" s="154"/>
      <c r="E49" s="10" t="str">
        <f xml:space="preserve"> 'TMA Projects'!E210</f>
        <v>South Staffs Water</v>
      </c>
      <c r="F49" s="10" t="str">
        <f xml:space="preserve"> 'TMA Projects'!F210</f>
        <v>SSC</v>
      </c>
      <c r="G49" s="10" t="str">
        <f xml:space="preserve"> 'TMA Projects'!G210</f>
        <v>nr</v>
      </c>
      <c r="H49" s="10">
        <f xml:space="preserve"> 'TMA Projects'!H210</f>
        <v>0</v>
      </c>
      <c r="I49" s="10">
        <f xml:space="preserve"> 'TMA Projects'!I210</f>
        <v>0</v>
      </c>
      <c r="J49" s="152">
        <f xml:space="preserve"> 'TMA Projects'!J210</f>
        <v>6108</v>
      </c>
      <c r="K49" s="152">
        <f xml:space="preserve"> 'TMA Projects'!K210</f>
        <v>4117</v>
      </c>
      <c r="L49" s="152">
        <f xml:space="preserve"> 'TMA Projects'!L210</f>
        <v>9974</v>
      </c>
      <c r="M49" s="152">
        <f xml:space="preserve"> 'TMA Projects'!M210</f>
        <v>9974</v>
      </c>
      <c r="N49" s="152">
        <f xml:space="preserve"> 'TMA Projects'!N210</f>
        <v>9974</v>
      </c>
      <c r="O49" s="152">
        <f xml:space="preserve"> 'TMA Projects'!O210</f>
        <v>9974</v>
      </c>
      <c r="P49" s="152">
        <f xml:space="preserve"> 'TMA Projects'!P210</f>
        <v>9974</v>
      </c>
      <c r="Q49" s="152">
        <f xml:space="preserve"> 'TMA Projects'!Q210</f>
        <v>9974</v>
      </c>
      <c r="R49" s="152">
        <f xml:space="preserve"> 'TMA Projects'!R210</f>
        <v>9974</v>
      </c>
      <c r="S49" s="152">
        <f xml:space="preserve"> 'TMA Projects'!S210</f>
        <v>9974</v>
      </c>
      <c r="T49" s="171">
        <f xml:space="preserve"> 'TMA Projects'!T210</f>
        <v>0</v>
      </c>
      <c r="U49" s="152">
        <f xml:space="preserve"> 'TMA Projects'!U210</f>
        <v>9974</v>
      </c>
      <c r="V49" s="152">
        <f xml:space="preserve"> 'TMA Projects'!V210</f>
        <v>49870</v>
      </c>
      <c r="W49" s="156"/>
      <c r="X49" s="156" t="b">
        <f t="shared" si="4"/>
        <v>1</v>
      </c>
      <c r="Y49" t="b">
        <f t="shared" si="5"/>
        <v>1</v>
      </c>
    </row>
    <row r="50" spans="1:27" hidden="1" outlineLevel="1" x14ac:dyDescent="0.35">
      <c r="A50" s="149"/>
      <c r="B50" s="149"/>
      <c r="C50" s="150"/>
      <c r="D50" s="154"/>
      <c r="E50" s="10" t="str">
        <f xml:space="preserve"> 'TMA Projects'!E211</f>
        <v>SES Water</v>
      </c>
      <c r="F50" s="10" t="str">
        <f xml:space="preserve"> 'TMA Projects'!F211</f>
        <v>SES</v>
      </c>
      <c r="G50" s="10" t="str">
        <f xml:space="preserve"> 'TMA Projects'!G211</f>
        <v>nr</v>
      </c>
      <c r="H50" s="10">
        <f xml:space="preserve"> 'TMA Projects'!H211</f>
        <v>0</v>
      </c>
      <c r="I50" s="10">
        <f xml:space="preserve"> 'TMA Projects'!I211</f>
        <v>0</v>
      </c>
      <c r="J50" s="152">
        <f xml:space="preserve"> 'TMA Projects'!J211</f>
        <v>3538</v>
      </c>
      <c r="K50" s="152">
        <f xml:space="preserve"> 'TMA Projects'!K211</f>
        <v>7606</v>
      </c>
      <c r="L50" s="152">
        <f xml:space="preserve"> 'TMA Projects'!L211</f>
        <v>6275</v>
      </c>
      <c r="M50" s="152">
        <f xml:space="preserve"> 'TMA Projects'!M211</f>
        <v>248</v>
      </c>
      <c r="N50" s="152">
        <f xml:space="preserve"> 'TMA Projects'!N211</f>
        <v>6650</v>
      </c>
      <c r="O50" s="152">
        <f xml:space="preserve"> 'TMA Projects'!O211</f>
        <v>6650</v>
      </c>
      <c r="P50" s="152">
        <f xml:space="preserve"> 'TMA Projects'!P211</f>
        <v>6650</v>
      </c>
      <c r="Q50" s="152">
        <f xml:space="preserve"> 'TMA Projects'!Q211</f>
        <v>6650</v>
      </c>
      <c r="R50" s="152">
        <f xml:space="preserve"> 'TMA Projects'!R211</f>
        <v>6650</v>
      </c>
      <c r="S50" s="152">
        <f xml:space="preserve"> 'TMA Projects'!S211</f>
        <v>6650</v>
      </c>
      <c r="T50" s="171">
        <f xml:space="preserve"> 'TMA Projects'!T211</f>
        <v>0</v>
      </c>
      <c r="U50" s="152">
        <f xml:space="preserve"> 'TMA Projects'!U211</f>
        <v>6650</v>
      </c>
      <c r="V50" s="152">
        <f xml:space="preserve"> 'TMA Projects'!V211</f>
        <v>33250</v>
      </c>
      <c r="W50" s="156"/>
      <c r="X50" s="156" t="b">
        <f t="shared" si="4"/>
        <v>1</v>
      </c>
      <c r="Y50" t="b">
        <f t="shared" si="5"/>
        <v>1</v>
      </c>
    </row>
    <row r="51" spans="1:27" hidden="1" outlineLevel="1" x14ac:dyDescent="0.35">
      <c r="A51" s="149"/>
      <c r="B51" s="149"/>
      <c r="C51" s="150"/>
      <c r="D51" s="154"/>
      <c r="E51" s="10" t="str">
        <f xml:space="preserve"> 'TMA Projects'!E212</f>
        <v>South West Water</v>
      </c>
      <c r="F51" s="10" t="str">
        <f xml:space="preserve"> 'TMA Projects'!F212</f>
        <v>SWB</v>
      </c>
      <c r="G51" s="10" t="str">
        <f xml:space="preserve"> 'TMA Projects'!G212</f>
        <v>nr</v>
      </c>
      <c r="H51" s="10">
        <f xml:space="preserve"> 'TMA Projects'!H212</f>
        <v>0</v>
      </c>
      <c r="I51" s="10">
        <f xml:space="preserve"> 'TMA Projects'!I212</f>
        <v>0</v>
      </c>
      <c r="J51" s="152">
        <f xml:space="preserve"> 'TMA Projects'!J212</f>
        <v>0</v>
      </c>
      <c r="K51" s="152">
        <f xml:space="preserve"> 'TMA Projects'!K212</f>
        <v>0</v>
      </c>
      <c r="L51" s="152">
        <f xml:space="preserve"> 'TMA Projects'!L212</f>
        <v>0</v>
      </c>
      <c r="M51" s="152">
        <f xml:space="preserve"> 'TMA Projects'!M212</f>
        <v>4597</v>
      </c>
      <c r="N51" s="152">
        <f xml:space="preserve"> 'TMA Projects'!N212</f>
        <v>26993</v>
      </c>
      <c r="O51" s="152">
        <f xml:space="preserve"> 'TMA Projects'!O212</f>
        <v>25266</v>
      </c>
      <c r="P51" s="152">
        <f xml:space="preserve"> 'TMA Projects'!P212</f>
        <v>25266</v>
      </c>
      <c r="Q51" s="152">
        <f xml:space="preserve"> 'TMA Projects'!Q212</f>
        <v>25266</v>
      </c>
      <c r="R51" s="152">
        <f xml:space="preserve"> 'TMA Projects'!R212</f>
        <v>25266</v>
      </c>
      <c r="S51" s="152">
        <f xml:space="preserve"> 'TMA Projects'!S212</f>
        <v>25266</v>
      </c>
      <c r="T51" s="171">
        <f xml:space="preserve"> 'TMA Projects'!T212</f>
        <v>0</v>
      </c>
      <c r="U51" s="152">
        <f xml:space="preserve"> 'TMA Projects'!U212</f>
        <v>25266</v>
      </c>
      <c r="V51" s="152">
        <f xml:space="preserve"> 'TMA Projects'!V212</f>
        <v>126330</v>
      </c>
      <c r="W51" s="156"/>
      <c r="X51" s="156" t="b">
        <f t="shared" si="4"/>
        <v>1</v>
      </c>
      <c r="Y51" t="b">
        <f t="shared" si="5"/>
        <v>1</v>
      </c>
    </row>
    <row r="52" spans="1:27" hidden="1" outlineLevel="1" x14ac:dyDescent="0.35">
      <c r="A52" s="149"/>
      <c r="B52" s="149"/>
      <c r="C52" s="150"/>
      <c r="D52" s="154"/>
      <c r="E52" s="10" t="str">
        <f xml:space="preserve"> 'TMA Projects'!E213</f>
        <v>Bristol Water</v>
      </c>
      <c r="F52" s="10" t="str">
        <f xml:space="preserve"> 'TMA Projects'!F213</f>
        <v>BRL</v>
      </c>
      <c r="G52" s="10" t="str">
        <f xml:space="preserve"> 'TMA Projects'!G213</f>
        <v>nr</v>
      </c>
      <c r="H52" s="10">
        <f xml:space="preserve"> 'TMA Projects'!H213</f>
        <v>0</v>
      </c>
      <c r="I52" s="10">
        <f xml:space="preserve"> 'TMA Projects'!I213</f>
        <v>0</v>
      </c>
      <c r="J52" s="152">
        <f xml:space="preserve"> 'TMA Projects'!J213</f>
        <v>181</v>
      </c>
      <c r="K52" s="152">
        <f xml:space="preserve"> 'TMA Projects'!K213</f>
        <v>11681</v>
      </c>
      <c r="L52" s="152">
        <f xml:space="preserve"> 'TMA Projects'!L213</f>
        <v>13989</v>
      </c>
      <c r="M52" s="152">
        <f xml:space="preserve"> 'TMA Projects'!M213</f>
        <v>14099</v>
      </c>
      <c r="N52" s="152">
        <f xml:space="preserve"> 'TMA Projects'!N213</f>
        <v>13989</v>
      </c>
      <c r="O52" s="152">
        <f xml:space="preserve"> 'TMA Projects'!O213</f>
        <v>22523</v>
      </c>
      <c r="P52" s="152">
        <f xml:space="preserve"> 'TMA Projects'!P213</f>
        <v>22523</v>
      </c>
      <c r="Q52" s="152">
        <f xml:space="preserve"> 'TMA Projects'!Q213</f>
        <v>22523</v>
      </c>
      <c r="R52" s="152">
        <f xml:space="preserve"> 'TMA Projects'!R213</f>
        <v>22523</v>
      </c>
      <c r="S52" s="152">
        <f xml:space="preserve"> 'TMA Projects'!S213</f>
        <v>22523</v>
      </c>
      <c r="T52" s="171">
        <f xml:space="preserve"> 'TMA Projects'!T213</f>
        <v>0</v>
      </c>
      <c r="U52" s="152">
        <f xml:space="preserve"> 'TMA Projects'!U213</f>
        <v>22523</v>
      </c>
      <c r="V52" s="152">
        <f xml:space="preserve"> 'TMA Projects'!V213</f>
        <v>112615</v>
      </c>
      <c r="W52" s="156"/>
      <c r="X52" s="156" t="b">
        <f t="shared" si="4"/>
        <v>1</v>
      </c>
      <c r="Y52" t="b">
        <f t="shared" si="5"/>
        <v>1</v>
      </c>
    </row>
    <row r="53" spans="1:27" hidden="1" outlineLevel="1" x14ac:dyDescent="0.35">
      <c r="A53" s="149"/>
      <c r="B53" s="149"/>
      <c r="C53" s="150"/>
      <c r="D53" s="154"/>
      <c r="E53" s="10" t="str">
        <f xml:space="preserve"> 'TMA Projects'!E214</f>
        <v>Industry total</v>
      </c>
      <c r="F53" s="10">
        <f xml:space="preserve"> 'TMA Projects'!F214</f>
        <v>0</v>
      </c>
      <c r="G53" s="10" t="str">
        <f xml:space="preserve"> 'TMA Projects'!G214</f>
        <v>nr</v>
      </c>
      <c r="H53" s="10">
        <f xml:space="preserve"> 'TMA Projects'!H214</f>
        <v>0</v>
      </c>
      <c r="I53" s="10">
        <f xml:space="preserve"> 'TMA Projects'!I214</f>
        <v>0</v>
      </c>
      <c r="J53" s="173">
        <f xml:space="preserve"> 'TMA Projects'!J214</f>
        <v>278218.68058231066</v>
      </c>
      <c r="K53" s="173">
        <f xml:space="preserve"> 'TMA Projects'!K214</f>
        <v>367738.55086707056</v>
      </c>
      <c r="L53" s="173">
        <f xml:space="preserve"> 'TMA Projects'!L214</f>
        <v>369769.19091949635</v>
      </c>
      <c r="M53" s="173">
        <f xml:space="preserve"> 'TMA Projects'!M214</f>
        <v>314089.95656991622</v>
      </c>
      <c r="N53" s="173">
        <f xml:space="preserve"> 'TMA Projects'!N214</f>
        <v>374584.1427685722</v>
      </c>
      <c r="O53" s="173">
        <f xml:space="preserve"> 'TMA Projects'!O214</f>
        <v>406394.07999703701</v>
      </c>
      <c r="P53" s="173">
        <f xml:space="preserve"> 'TMA Projects'!P214</f>
        <v>408081.15783977159</v>
      </c>
      <c r="Q53" s="173">
        <f xml:space="preserve"> 'TMA Projects'!Q214</f>
        <v>408599.43645206734</v>
      </c>
      <c r="R53" s="173">
        <f xml:space="preserve"> 'TMA Projects'!R214</f>
        <v>409749.08005332889</v>
      </c>
      <c r="S53" s="173">
        <f xml:space="preserve"> 'TMA Projects'!S214</f>
        <v>410973.26373704715</v>
      </c>
      <c r="T53" s="171">
        <f xml:space="preserve"> 'TMA Projects'!T214</f>
        <v>0</v>
      </c>
      <c r="U53" s="173">
        <f xml:space="preserve"> 'TMA Projects'!U214</f>
        <v>408759.40361585043</v>
      </c>
      <c r="V53" s="173">
        <f xml:space="preserve"> 'TMA Projects'!V214</f>
        <v>2043797.018079252</v>
      </c>
      <c r="W53" s="156"/>
      <c r="X53" s="156"/>
    </row>
    <row r="54" spans="1:27" x14ac:dyDescent="0.35">
      <c r="A54" s="149"/>
      <c r="B54" s="149"/>
      <c r="C54" s="150"/>
      <c r="D54" s="154"/>
      <c r="E54" s="152"/>
      <c r="F54" s="152"/>
      <c r="H54" s="152"/>
      <c r="I54" s="153"/>
      <c r="J54" s="152"/>
      <c r="K54" s="152"/>
      <c r="L54" s="152"/>
      <c r="M54" s="152"/>
      <c r="N54" s="152"/>
      <c r="O54" s="152"/>
      <c r="P54" s="152"/>
      <c r="Q54" s="152"/>
      <c r="R54" s="152"/>
      <c r="S54" s="152"/>
      <c r="T54" s="152"/>
      <c r="U54" s="152"/>
      <c r="V54" s="152"/>
      <c r="W54" s="152"/>
      <c r="X54" s="152"/>
      <c r="Z54" s="152"/>
      <c r="AA54" s="152"/>
    </row>
    <row r="55" spans="1:27" x14ac:dyDescent="0.35">
      <c r="A55" s="149"/>
      <c r="B55" s="149"/>
      <c r="C55" s="150"/>
      <c r="D55" s="151" t="s">
        <v>195</v>
      </c>
      <c r="E55" s="152"/>
      <c r="F55" s="152"/>
      <c r="H55" s="152"/>
      <c r="I55" s="153"/>
      <c r="J55" s="74">
        <f>J$2</f>
        <v>44286</v>
      </c>
      <c r="K55" s="74">
        <f t="shared" ref="K55:V55" si="6">K$2</f>
        <v>44651</v>
      </c>
      <c r="L55" s="74">
        <f t="shared" si="6"/>
        <v>45016</v>
      </c>
      <c r="M55" s="74">
        <f t="shared" si="6"/>
        <v>45382</v>
      </c>
      <c r="N55" s="74">
        <f t="shared" si="6"/>
        <v>45747</v>
      </c>
      <c r="O55" s="74">
        <f t="shared" si="6"/>
        <v>46112</v>
      </c>
      <c r="P55" s="74">
        <f t="shared" si="6"/>
        <v>46477</v>
      </c>
      <c r="Q55" s="74">
        <f t="shared" si="6"/>
        <v>46843</v>
      </c>
      <c r="R55" s="74">
        <f t="shared" si="6"/>
        <v>47208</v>
      </c>
      <c r="S55" s="74">
        <f t="shared" si="6"/>
        <v>47573</v>
      </c>
      <c r="T55" s="74"/>
      <c r="U55" s="74" t="str">
        <f t="shared" si="6"/>
        <v>PR24 Average</v>
      </c>
      <c r="V55" s="74" t="str">
        <f t="shared" si="6"/>
        <v>PR24 Total</v>
      </c>
      <c r="W55" s="74"/>
      <c r="X55" s="74"/>
      <c r="Z55" s="74"/>
      <c r="AA55" s="74"/>
    </row>
    <row r="56" spans="1:27" collapsed="1" x14ac:dyDescent="0.35">
      <c r="A56" s="149"/>
      <c r="B56" s="149"/>
      <c r="C56" s="150"/>
      <c r="D56" s="154"/>
      <c r="E56" s="5" t="s">
        <v>184</v>
      </c>
      <c r="F56" s="152"/>
      <c r="H56" s="152"/>
      <c r="I56" s="153"/>
      <c r="J56" s="152"/>
      <c r="K56" s="152"/>
      <c r="L56" s="152"/>
      <c r="M56" s="152"/>
      <c r="N56" s="152"/>
      <c r="O56" s="152"/>
      <c r="P56" s="152"/>
      <c r="Q56" s="152"/>
      <c r="R56" s="152"/>
      <c r="S56" s="152"/>
      <c r="T56" s="152"/>
      <c r="U56" s="152"/>
      <c r="V56" s="152"/>
      <c r="W56" s="152"/>
      <c r="X56" s="152"/>
      <c r="Z56" s="152"/>
      <c r="AA56" s="152"/>
    </row>
    <row r="57" spans="1:27" hidden="1" outlineLevel="1" x14ac:dyDescent="0.35">
      <c r="A57" s="149"/>
      <c r="B57" s="149"/>
      <c r="C57" s="150"/>
      <c r="D57" s="154"/>
      <c r="E57" s="152"/>
      <c r="F57" s="152"/>
      <c r="H57" s="152"/>
      <c r="I57" s="153"/>
      <c r="J57" s="152"/>
      <c r="K57" s="152"/>
      <c r="L57" s="152"/>
      <c r="M57" s="152"/>
      <c r="N57" s="152"/>
      <c r="O57" s="152"/>
      <c r="P57" s="152"/>
      <c r="Q57" s="152"/>
      <c r="R57" s="152"/>
      <c r="S57" s="152"/>
      <c r="T57" s="152"/>
      <c r="U57" s="152"/>
      <c r="V57" s="152"/>
      <c r="W57" s="152"/>
      <c r="X57" s="152"/>
      <c r="Z57" s="152"/>
      <c r="AA57" s="152"/>
    </row>
    <row r="58" spans="1:27" hidden="1" outlineLevel="1" x14ac:dyDescent="0.35">
      <c r="A58" s="149"/>
      <c r="B58" s="149"/>
      <c r="C58" s="150"/>
      <c r="D58" s="151"/>
      <c r="H58" s="152"/>
      <c r="I58" s="153"/>
      <c r="J58" s="74"/>
      <c r="K58" s="74"/>
      <c r="L58" s="74"/>
      <c r="M58" s="74"/>
      <c r="N58" s="74"/>
      <c r="O58" s="74"/>
      <c r="P58" s="74"/>
      <c r="Q58" s="74"/>
      <c r="R58" s="74"/>
      <c r="S58" s="74"/>
      <c r="T58" s="74"/>
      <c r="U58" s="74"/>
      <c r="V58" s="74"/>
      <c r="W58" s="74"/>
      <c r="X58" s="74"/>
      <c r="Z58" s="74"/>
      <c r="AA58" s="74"/>
    </row>
    <row r="59" spans="1:27" hidden="1" outlineLevel="1" x14ac:dyDescent="0.35">
      <c r="A59" s="149"/>
      <c r="B59" s="149"/>
      <c r="C59" s="150"/>
      <c r="D59" s="154"/>
      <c r="E59" s="10" t="str">
        <f>InpC!$E$25</f>
        <v>Anglian Water</v>
      </c>
      <c r="F59" s="10" t="str">
        <f>InpC!$F$25</f>
        <v>ANH</v>
      </c>
      <c r="G59" s="22" t="s">
        <v>196</v>
      </c>
      <c r="H59" s="152"/>
      <c r="I59" s="153"/>
      <c r="J59" s="10">
        <f t="shared" ref="J59:S59" si="7" xml:space="preserve"> IF(J36 = 0, 0, J13/J36 * 1000000)</f>
        <v>60.812801881821684</v>
      </c>
      <c r="K59" s="10">
        <f t="shared" si="7"/>
        <v>54.445369708976727</v>
      </c>
      <c r="L59" s="10">
        <f t="shared" si="7"/>
        <v>54.366256888512083</v>
      </c>
      <c r="M59" s="10">
        <f t="shared" si="7"/>
        <v>57.548844049795186</v>
      </c>
      <c r="N59" s="10">
        <f t="shared" si="7"/>
        <v>48.620580179141498</v>
      </c>
      <c r="O59" s="10">
        <f t="shared" si="7"/>
        <v>78.229595386235971</v>
      </c>
      <c r="P59" s="10">
        <f t="shared" si="7"/>
        <v>78.229595386235971</v>
      </c>
      <c r="Q59" s="10">
        <f t="shared" si="7"/>
        <v>78.229595386235971</v>
      </c>
      <c r="R59" s="10">
        <f t="shared" si="7"/>
        <v>78.229595386235971</v>
      </c>
      <c r="S59" s="10">
        <f t="shared" si="7"/>
        <v>78.229595386235971</v>
      </c>
      <c r="T59" s="171"/>
      <c r="U59" s="152">
        <f t="shared" ref="U59:U75" si="8">IFERROR(AVERAGE(O59:S59),0)</f>
        <v>78.229595386235971</v>
      </c>
      <c r="V59" s="152">
        <f t="shared" ref="V59:V75" si="9">SUM(O59:S59)</f>
        <v>391.14797693117987</v>
      </c>
      <c r="W59" s="156"/>
      <c r="X59" s="156"/>
    </row>
    <row r="60" spans="1:27" hidden="1" outlineLevel="1" x14ac:dyDescent="0.35">
      <c r="A60" s="149"/>
      <c r="B60" s="149"/>
      <c r="C60" s="150"/>
      <c r="D60" s="154"/>
      <c r="E60" s="10" t="str">
        <f>InpC!$E$26</f>
        <v>Dŵr Cymru</v>
      </c>
      <c r="F60" s="10" t="str">
        <f>InpC!$F$26</f>
        <v>WSH</v>
      </c>
      <c r="G60" s="22" t="s">
        <v>196</v>
      </c>
      <c r="H60" s="152"/>
      <c r="I60" s="153"/>
      <c r="J60" s="10">
        <f t="shared" ref="J60:S60" si="10" xml:space="preserve"> IF(J37 = 0, 0, J14/J37 * 1000000)</f>
        <v>44.301409861571408</v>
      </c>
      <c r="K60" s="10">
        <f t="shared" si="10"/>
        <v>0</v>
      </c>
      <c r="L60" s="10">
        <f t="shared" si="10"/>
        <v>86.997193638914879</v>
      </c>
      <c r="M60" s="10">
        <f t="shared" si="10"/>
        <v>50.357936312021721</v>
      </c>
      <c r="N60" s="10">
        <f t="shared" si="10"/>
        <v>80.888560840836604</v>
      </c>
      <c r="O60" s="10">
        <f t="shared" si="10"/>
        <v>74.23393803510298</v>
      </c>
      <c r="P60" s="10">
        <f t="shared" si="10"/>
        <v>73.281712943128881</v>
      </c>
      <c r="Q60" s="10">
        <f t="shared" si="10"/>
        <v>73.777597432539622</v>
      </c>
      <c r="R60" s="10">
        <f t="shared" si="10"/>
        <v>74.601856994160926</v>
      </c>
      <c r="S60" s="10">
        <f t="shared" si="10"/>
        <v>73.417700533936141</v>
      </c>
      <c r="T60" s="171"/>
      <c r="U60" s="152">
        <f t="shared" si="8"/>
        <v>73.862561187773707</v>
      </c>
      <c r="V60" s="152">
        <f t="shared" si="9"/>
        <v>369.31280593886856</v>
      </c>
      <c r="W60" s="156"/>
      <c r="X60" s="156"/>
    </row>
    <row r="61" spans="1:27" hidden="1" outlineLevel="1" x14ac:dyDescent="0.35">
      <c r="A61" s="149"/>
      <c r="B61" s="149"/>
      <c r="C61" s="150"/>
      <c r="D61" s="154"/>
      <c r="E61" s="10" t="str">
        <f>InpC!$E$27</f>
        <v>Hafren Dyfrdwy</v>
      </c>
      <c r="F61" s="10" t="str">
        <f>InpC!$F$27</f>
        <v>HDD</v>
      </c>
      <c r="G61" s="22" t="s">
        <v>196</v>
      </c>
      <c r="H61" s="152"/>
      <c r="I61" s="153"/>
      <c r="J61" s="10">
        <f t="shared" ref="J61:S61" si="11" xml:space="preserve"> IF(J38 = 0, 0, J15/J38 * 1000000)</f>
        <v>0</v>
      </c>
      <c r="K61" s="10">
        <f t="shared" si="11"/>
        <v>0</v>
      </c>
      <c r="L61" s="10">
        <f t="shared" si="11"/>
        <v>0</v>
      </c>
      <c r="M61" s="10">
        <f t="shared" si="11"/>
        <v>0</v>
      </c>
      <c r="N61" s="10">
        <f t="shared" si="11"/>
        <v>0</v>
      </c>
      <c r="O61" s="10">
        <f t="shared" si="11"/>
        <v>0</v>
      </c>
      <c r="P61" s="10">
        <f t="shared" si="11"/>
        <v>0</v>
      </c>
      <c r="Q61" s="10">
        <f t="shared" si="11"/>
        <v>0</v>
      </c>
      <c r="R61" s="10">
        <f t="shared" si="11"/>
        <v>0</v>
      </c>
      <c r="S61" s="10">
        <f t="shared" si="11"/>
        <v>0</v>
      </c>
      <c r="T61" s="171"/>
      <c r="U61" s="152">
        <f t="shared" si="8"/>
        <v>0</v>
      </c>
      <c r="V61" s="152">
        <f t="shared" si="9"/>
        <v>0</v>
      </c>
      <c r="W61" s="156"/>
      <c r="X61" s="156"/>
    </row>
    <row r="62" spans="1:27" hidden="1" outlineLevel="1" x14ac:dyDescent="0.35">
      <c r="A62" s="149"/>
      <c r="B62" s="149"/>
      <c r="C62" s="150"/>
      <c r="D62" s="154"/>
      <c r="E62" s="10" t="str">
        <f>InpC!$E$28</f>
        <v>Northumbrian Water</v>
      </c>
      <c r="F62" s="10" t="str">
        <f>InpC!$F$28</f>
        <v>NES</v>
      </c>
      <c r="G62" s="22" t="s">
        <v>196</v>
      </c>
      <c r="H62" s="152"/>
      <c r="I62" s="153"/>
      <c r="J62" s="10">
        <f t="shared" ref="J62:S62" si="12" xml:space="preserve"> IF(J39 = 0, 0, J16/J39 * 1000000)</f>
        <v>29.388949288010721</v>
      </c>
      <c r="K62" s="10">
        <f t="shared" si="12"/>
        <v>41.062799226003946</v>
      </c>
      <c r="L62" s="10">
        <f t="shared" si="12"/>
        <v>44.841643148322362</v>
      </c>
      <c r="M62" s="10">
        <f t="shared" si="12"/>
        <v>52.704132550518175</v>
      </c>
      <c r="N62" s="10">
        <f t="shared" si="12"/>
        <v>44.826262238433486</v>
      </c>
      <c r="O62" s="10">
        <f t="shared" si="12"/>
        <v>44.802048093627143</v>
      </c>
      <c r="P62" s="10">
        <f t="shared" si="12"/>
        <v>44.789125130707568</v>
      </c>
      <c r="Q62" s="10">
        <f t="shared" si="12"/>
        <v>44.77736163129422</v>
      </c>
      <c r="R62" s="10">
        <f t="shared" si="12"/>
        <v>44.76540057452921</v>
      </c>
      <c r="S62" s="10">
        <f t="shared" si="12"/>
        <v>44.755565756254299</v>
      </c>
      <c r="T62" s="171"/>
      <c r="U62" s="152">
        <f t="shared" si="8"/>
        <v>44.777900237282488</v>
      </c>
      <c r="V62" s="152">
        <f t="shared" si="9"/>
        <v>223.88950118641245</v>
      </c>
      <c r="W62" s="156"/>
      <c r="X62" s="156"/>
    </row>
    <row r="63" spans="1:27" hidden="1" outlineLevel="1" x14ac:dyDescent="0.35">
      <c r="A63" s="149"/>
      <c r="B63" s="149"/>
      <c r="C63" s="150"/>
      <c r="D63" s="154"/>
      <c r="E63" s="10" t="str">
        <f>InpC!$E$29</f>
        <v>Severn Trent Water</v>
      </c>
      <c r="F63" s="10" t="str">
        <f>InpC!$F$29</f>
        <v>SVE</v>
      </c>
      <c r="G63" s="22" t="s">
        <v>196</v>
      </c>
      <c r="H63" s="152"/>
      <c r="I63" s="153"/>
      <c r="J63" s="10">
        <f t="shared" ref="J63:S63" si="13" xml:space="preserve"> IF(J40 = 0, 0, J17/J40 * 1000000)</f>
        <v>3041.7289719626174</v>
      </c>
      <c r="K63" s="10">
        <f t="shared" si="13"/>
        <v>59.748375384549611</v>
      </c>
      <c r="L63" s="10">
        <f t="shared" si="13"/>
        <v>46.614243527230272</v>
      </c>
      <c r="M63" s="10">
        <f t="shared" si="13"/>
        <v>50.609812475140153</v>
      </c>
      <c r="N63" s="10">
        <f t="shared" si="13"/>
        <v>51.774043931634864</v>
      </c>
      <c r="O63" s="10">
        <f t="shared" si="13"/>
        <v>52.438487086642283</v>
      </c>
      <c r="P63" s="10">
        <f t="shared" si="13"/>
        <v>52.441021981241576</v>
      </c>
      <c r="Q63" s="10">
        <f t="shared" si="13"/>
        <v>52.443476212213149</v>
      </c>
      <c r="R63" s="10">
        <f t="shared" si="13"/>
        <v>52.446221934326772</v>
      </c>
      <c r="S63" s="10">
        <f t="shared" si="13"/>
        <v>52.448516189075661</v>
      </c>
      <c r="T63" s="171"/>
      <c r="U63" s="152">
        <f t="shared" si="8"/>
        <v>52.443544680699894</v>
      </c>
      <c r="V63" s="152">
        <f t="shared" si="9"/>
        <v>262.21772340349946</v>
      </c>
      <c r="W63" s="156"/>
      <c r="X63" s="156"/>
    </row>
    <row r="64" spans="1:27" hidden="1" outlineLevel="1" x14ac:dyDescent="0.35">
      <c r="A64" s="149"/>
      <c r="B64" s="149"/>
      <c r="C64" s="150"/>
      <c r="D64" s="154"/>
      <c r="E64" s="10" t="str">
        <f>InpC!$E$30</f>
        <v>Southern Water</v>
      </c>
      <c r="F64" s="10" t="str">
        <f>InpC!$F$30</f>
        <v>SRN</v>
      </c>
      <c r="G64" s="22" t="s">
        <v>196</v>
      </c>
      <c r="H64" s="152"/>
      <c r="I64" s="153"/>
      <c r="J64" s="10">
        <f t="shared" ref="J64:S64" si="14" xml:space="preserve"> IF(J41 = 0, 0, J18/J41 * 1000000)</f>
        <v>36.344895266626182</v>
      </c>
      <c r="K64" s="10">
        <f t="shared" si="14"/>
        <v>32.993866205734903</v>
      </c>
      <c r="L64" s="10">
        <f t="shared" si="14"/>
        <v>39.279244923252939</v>
      </c>
      <c r="M64" s="10">
        <f t="shared" si="14"/>
        <v>45.098670098670098</v>
      </c>
      <c r="N64" s="10">
        <f t="shared" si="14"/>
        <v>68.26315789473685</v>
      </c>
      <c r="O64" s="10">
        <f t="shared" si="14"/>
        <v>68.276855812112714</v>
      </c>
      <c r="P64" s="10">
        <f t="shared" si="14"/>
        <v>68.276855812112714</v>
      </c>
      <c r="Q64" s="10">
        <f t="shared" si="14"/>
        <v>68.276855812112714</v>
      </c>
      <c r="R64" s="10">
        <f t="shared" si="14"/>
        <v>68.276855812112714</v>
      </c>
      <c r="S64" s="10">
        <f t="shared" si="14"/>
        <v>68.276855812112714</v>
      </c>
      <c r="T64" s="171"/>
      <c r="U64" s="152">
        <f t="shared" si="8"/>
        <v>68.276855812112714</v>
      </c>
      <c r="V64" s="152">
        <f t="shared" si="9"/>
        <v>341.38427906056359</v>
      </c>
      <c r="W64" s="156"/>
      <c r="X64" s="156"/>
    </row>
    <row r="65" spans="1:27" hidden="1" outlineLevel="1" x14ac:dyDescent="0.35">
      <c r="A65" s="149"/>
      <c r="B65" s="149"/>
      <c r="C65" s="150"/>
      <c r="D65" s="154"/>
      <c r="E65" s="10" t="str">
        <f>InpC!$E$31</f>
        <v>Thames Water</v>
      </c>
      <c r="F65" s="10" t="str">
        <f>InpC!$F$31</f>
        <v>TMS</v>
      </c>
      <c r="G65" s="22" t="s">
        <v>196</v>
      </c>
      <c r="H65" s="152"/>
      <c r="I65" s="153"/>
      <c r="J65" s="10">
        <f t="shared" ref="J65:S65" si="15" xml:space="preserve"> IF(J42 = 0, 0, J19/J42 * 1000000)</f>
        <v>375.81207375599899</v>
      </c>
      <c r="K65" s="10">
        <f t="shared" si="15"/>
        <v>267.75786074458944</v>
      </c>
      <c r="L65" s="10">
        <f t="shared" si="15"/>
        <v>343.60337167296433</v>
      </c>
      <c r="M65" s="10">
        <f t="shared" si="15"/>
        <v>365.32314739840336</v>
      </c>
      <c r="N65" s="10">
        <f t="shared" si="15"/>
        <v>343.32257413758322</v>
      </c>
      <c r="O65" s="10">
        <f t="shared" si="15"/>
        <v>343.76569037656901</v>
      </c>
      <c r="P65" s="10">
        <f t="shared" si="15"/>
        <v>343.69801663467689</v>
      </c>
      <c r="Q65" s="10">
        <f t="shared" si="15"/>
        <v>343.62695744132208</v>
      </c>
      <c r="R65" s="10">
        <f t="shared" si="15"/>
        <v>343.42467294887683</v>
      </c>
      <c r="S65" s="10">
        <f t="shared" si="15"/>
        <v>343.35376110329634</v>
      </c>
      <c r="T65" s="171"/>
      <c r="U65" s="152">
        <f t="shared" si="8"/>
        <v>343.57381970094826</v>
      </c>
      <c r="V65" s="152">
        <f t="shared" si="9"/>
        <v>1717.8690985047413</v>
      </c>
      <c r="W65" s="156"/>
      <c r="X65" s="156"/>
    </row>
    <row r="66" spans="1:27" hidden="1" outlineLevel="1" x14ac:dyDescent="0.35">
      <c r="A66" s="149"/>
      <c r="B66" s="149"/>
      <c r="C66" s="150"/>
      <c r="D66" s="154"/>
      <c r="E66" s="10" t="str">
        <f>InpC!$E$32</f>
        <v>United Utilities</v>
      </c>
      <c r="F66" s="10" t="str">
        <f>InpC!$F$32</f>
        <v>NWT</v>
      </c>
      <c r="G66" s="22" t="s">
        <v>196</v>
      </c>
      <c r="H66" s="152"/>
      <c r="I66" s="153"/>
      <c r="J66" s="10">
        <f t="shared" ref="J66:S66" si="16" xml:space="preserve"> IF(J43 = 0, 0, J20/J43 * 1000000)</f>
        <v>56.856903803197746</v>
      </c>
      <c r="K66" s="10">
        <f t="shared" si="16"/>
        <v>58.597748510255414</v>
      </c>
      <c r="L66" s="10">
        <f t="shared" si="16"/>
        <v>64.222863201098463</v>
      </c>
      <c r="M66" s="10">
        <f t="shared" si="16"/>
        <v>69.42134805864093</v>
      </c>
      <c r="N66" s="10">
        <f t="shared" si="16"/>
        <v>67.939760846074677</v>
      </c>
      <c r="O66" s="10">
        <f t="shared" si="16"/>
        <v>67.858904785196856</v>
      </c>
      <c r="P66" s="10">
        <f t="shared" si="16"/>
        <v>67.858904785196856</v>
      </c>
      <c r="Q66" s="10">
        <f t="shared" si="16"/>
        <v>67.858904785196884</v>
      </c>
      <c r="R66" s="10">
        <f t="shared" si="16"/>
        <v>67.858904785196884</v>
      </c>
      <c r="S66" s="10">
        <f t="shared" si="16"/>
        <v>67.858904785196884</v>
      </c>
      <c r="T66" s="171"/>
      <c r="U66" s="152">
        <f t="shared" si="8"/>
        <v>67.85890478519687</v>
      </c>
      <c r="V66" s="152">
        <f t="shared" si="9"/>
        <v>339.29452392598438</v>
      </c>
      <c r="W66" s="156"/>
      <c r="X66" s="156"/>
    </row>
    <row r="67" spans="1:27" hidden="1" outlineLevel="1" x14ac:dyDescent="0.35">
      <c r="A67" s="149"/>
      <c r="B67" s="149"/>
      <c r="C67" s="150"/>
      <c r="D67" s="154"/>
      <c r="E67" s="10" t="str">
        <f>InpC!$E$33</f>
        <v>Wessex Water</v>
      </c>
      <c r="F67" s="10" t="str">
        <f>InpC!$F$33</f>
        <v>WSX</v>
      </c>
      <c r="G67" s="22" t="s">
        <v>196</v>
      </c>
      <c r="H67" s="152"/>
      <c r="I67" s="153"/>
      <c r="J67" s="10">
        <f t="shared" ref="J67:S67" si="17" xml:space="preserve"> IF(J44 = 0, 0, J21/J44 * 1000000)</f>
        <v>38.448377094354832</v>
      </c>
      <c r="K67" s="10">
        <f t="shared" si="17"/>
        <v>34.873232023851997</v>
      </c>
      <c r="L67" s="10">
        <f t="shared" si="17"/>
        <v>39.057385991708486</v>
      </c>
      <c r="M67" s="10">
        <f t="shared" si="17"/>
        <v>49.593688910584682</v>
      </c>
      <c r="N67" s="10">
        <f t="shared" si="17"/>
        <v>36.295439915252992</v>
      </c>
      <c r="O67" s="10">
        <f t="shared" si="17"/>
        <v>30.459574159789153</v>
      </c>
      <c r="P67" s="10">
        <f t="shared" si="17"/>
        <v>31.905872716232363</v>
      </c>
      <c r="Q67" s="10">
        <f t="shared" si="17"/>
        <v>31.72282873541414</v>
      </c>
      <c r="R67" s="10">
        <f t="shared" si="17"/>
        <v>31.600197802441123</v>
      </c>
      <c r="S67" s="10">
        <f t="shared" si="17"/>
        <v>32.795937643107791</v>
      </c>
      <c r="T67" s="171"/>
      <c r="U67" s="152">
        <f t="shared" si="8"/>
        <v>31.696882211396918</v>
      </c>
      <c r="V67" s="152">
        <f t="shared" si="9"/>
        <v>158.48441105698458</v>
      </c>
      <c r="W67" s="156"/>
      <c r="X67" s="156"/>
    </row>
    <row r="68" spans="1:27" hidden="1" outlineLevel="1" x14ac:dyDescent="0.35">
      <c r="A68" s="149"/>
      <c r="B68" s="149"/>
      <c r="C68" s="150"/>
      <c r="D68" s="154"/>
      <c r="E68" s="10" t="str">
        <f>InpC!$E$34</f>
        <v>Yorkshire Water</v>
      </c>
      <c r="F68" s="10" t="str">
        <f>InpC!$F$34</f>
        <v>YKY</v>
      </c>
      <c r="G68" s="22" t="s">
        <v>196</v>
      </c>
      <c r="H68" s="152"/>
      <c r="I68" s="153"/>
      <c r="J68" s="10">
        <f t="shared" ref="J68:S68" si="18" xml:space="preserve"> IF(J45 = 0, 0, J22/J45 * 1000000)</f>
        <v>160.15979133759325</v>
      </c>
      <c r="K68" s="10">
        <f t="shared" si="18"/>
        <v>163.70667038786797</v>
      </c>
      <c r="L68" s="10">
        <f t="shared" si="18"/>
        <v>177.58174314775377</v>
      </c>
      <c r="M68" s="10">
        <f t="shared" si="18"/>
        <v>127.59207268033825</v>
      </c>
      <c r="N68" s="10">
        <f t="shared" si="18"/>
        <v>165.42443298297587</v>
      </c>
      <c r="O68" s="10">
        <f t="shared" si="18"/>
        <v>191.76392620862748</v>
      </c>
      <c r="P68" s="10">
        <f t="shared" si="18"/>
        <v>191.76392620862748</v>
      </c>
      <c r="Q68" s="10">
        <f t="shared" si="18"/>
        <v>191.76392620862748</v>
      </c>
      <c r="R68" s="10">
        <f t="shared" si="18"/>
        <v>191.76392620862748</v>
      </c>
      <c r="S68" s="10">
        <f t="shared" si="18"/>
        <v>191.76392620862748</v>
      </c>
      <c r="T68" s="171"/>
      <c r="U68" s="152">
        <f t="shared" si="8"/>
        <v>191.76392620862748</v>
      </c>
      <c r="V68" s="152">
        <f t="shared" si="9"/>
        <v>958.81963104313741</v>
      </c>
      <c r="W68" s="156"/>
      <c r="X68" s="156"/>
    </row>
    <row r="69" spans="1:27" hidden="1" outlineLevel="1" x14ac:dyDescent="0.35">
      <c r="A69" s="149"/>
      <c r="B69" s="149"/>
      <c r="C69" s="150"/>
      <c r="D69" s="154"/>
      <c r="E69" s="10" t="str">
        <f>InpC!$E$35</f>
        <v>Affinity Water</v>
      </c>
      <c r="F69" s="10" t="str">
        <f>InpC!$F$35</f>
        <v>AFW</v>
      </c>
      <c r="G69" s="22" t="s">
        <v>196</v>
      </c>
      <c r="H69" s="152"/>
      <c r="I69" s="153"/>
      <c r="J69" s="10">
        <f t="shared" ref="J69:S69" si="19" xml:space="preserve"> IF(J46 = 0, 0, J23/J46 * 1000000)</f>
        <v>75.660461834052853</v>
      </c>
      <c r="K69" s="10">
        <f t="shared" si="19"/>
        <v>43.317502387462049</v>
      </c>
      <c r="L69" s="10">
        <f t="shared" si="19"/>
        <v>24.335227338118344</v>
      </c>
      <c r="M69" s="10">
        <f t="shared" si="19"/>
        <v>20.257138472407924</v>
      </c>
      <c r="N69" s="10">
        <f t="shared" si="19"/>
        <v>24.919999999999998</v>
      </c>
      <c r="O69" s="10">
        <f t="shared" si="19"/>
        <v>26.000000000000004</v>
      </c>
      <c r="P69" s="10">
        <f t="shared" si="19"/>
        <v>26.000000000000004</v>
      </c>
      <c r="Q69" s="10">
        <f t="shared" si="19"/>
        <v>26.040000000000003</v>
      </c>
      <c r="R69" s="10">
        <f t="shared" si="19"/>
        <v>26.040000000000003</v>
      </c>
      <c r="S69" s="10">
        <f t="shared" si="19"/>
        <v>26.040000000000003</v>
      </c>
      <c r="T69" s="171"/>
      <c r="U69" s="152">
        <f t="shared" si="8"/>
        <v>26.024000000000001</v>
      </c>
      <c r="V69" s="152">
        <f t="shared" si="9"/>
        <v>130.12</v>
      </c>
      <c r="W69" s="156"/>
      <c r="X69" s="156"/>
    </row>
    <row r="70" spans="1:27" hidden="1" outlineLevel="1" x14ac:dyDescent="0.35">
      <c r="A70" s="149"/>
      <c r="B70" s="149"/>
      <c r="C70" s="150"/>
      <c r="D70" s="154"/>
      <c r="E70" s="10" t="str">
        <f>InpC!$E$36</f>
        <v>Portsmouth Water</v>
      </c>
      <c r="F70" s="10" t="str">
        <f>InpC!$F$36</f>
        <v>PRT</v>
      </c>
      <c r="G70" s="22" t="s">
        <v>196</v>
      </c>
      <c r="H70" s="152"/>
      <c r="I70" s="153"/>
      <c r="J70" s="10">
        <f t="shared" ref="J70:S70" si="20" xml:space="preserve"> IF(J47 = 0, 0, J24/J47 * 1000000)</f>
        <v>0</v>
      </c>
      <c r="K70" s="10">
        <f t="shared" si="20"/>
        <v>0</v>
      </c>
      <c r="L70" s="10">
        <f t="shared" si="20"/>
        <v>0</v>
      </c>
      <c r="M70" s="10">
        <f t="shared" si="20"/>
        <v>29.435218596120485</v>
      </c>
      <c r="N70" s="10">
        <f t="shared" si="20"/>
        <v>70.001707358716061</v>
      </c>
      <c r="O70" s="10">
        <f t="shared" si="20"/>
        <v>70.001437401178663</v>
      </c>
      <c r="P70" s="10">
        <f t="shared" si="20"/>
        <v>64.954419342053114</v>
      </c>
      <c r="Q70" s="10">
        <f t="shared" si="20"/>
        <v>69.975564179962632</v>
      </c>
      <c r="R70" s="10">
        <f t="shared" si="20"/>
        <v>69.975564179962632</v>
      </c>
      <c r="S70" s="10">
        <f t="shared" si="20"/>
        <v>69.975564179962632</v>
      </c>
      <c r="T70" s="171"/>
      <c r="U70" s="152">
        <f t="shared" si="8"/>
        <v>68.976509856623949</v>
      </c>
      <c r="V70" s="152">
        <f t="shared" si="9"/>
        <v>344.88254928311972</v>
      </c>
      <c r="W70" s="156"/>
      <c r="X70" s="156"/>
    </row>
    <row r="71" spans="1:27" hidden="1" outlineLevel="1" x14ac:dyDescent="0.35">
      <c r="A71" s="149"/>
      <c r="B71" s="149"/>
      <c r="C71" s="150"/>
      <c r="D71" s="154"/>
      <c r="E71" s="10" t="str">
        <f>InpC!$E$37</f>
        <v>South East Water</v>
      </c>
      <c r="F71" s="10" t="str">
        <f>InpC!$F$37</f>
        <v>SEW</v>
      </c>
      <c r="G71" s="22" t="s">
        <v>196</v>
      </c>
      <c r="H71" s="152"/>
      <c r="I71" s="153"/>
      <c r="J71" s="10">
        <f t="shared" ref="J71:S71" si="21" xml:space="preserve"> IF(J48 = 0, 0, J25/J48 * 1000000)</f>
        <v>26.866466281427954</v>
      </c>
      <c r="K71" s="10">
        <f t="shared" si="21"/>
        <v>31.689263692909606</v>
      </c>
      <c r="L71" s="10">
        <f t="shared" si="21"/>
        <v>30.267814695473032</v>
      </c>
      <c r="M71" s="10">
        <f t="shared" si="21"/>
        <v>48.831987400694196</v>
      </c>
      <c r="N71" s="10">
        <f t="shared" si="21"/>
        <v>63.085621721818029</v>
      </c>
      <c r="O71" s="10">
        <f t="shared" si="21"/>
        <v>62.853464527104691</v>
      </c>
      <c r="P71" s="10">
        <f t="shared" si="21"/>
        <v>62.628854171439052</v>
      </c>
      <c r="Q71" s="10">
        <f t="shared" si="21"/>
        <v>62.317651349380007</v>
      </c>
      <c r="R71" s="10">
        <f t="shared" si="21"/>
        <v>61.939284096058003</v>
      </c>
      <c r="S71" s="10">
        <f t="shared" si="21"/>
        <v>61.429919561407445</v>
      </c>
      <c r="T71" s="171"/>
      <c r="U71" s="152">
        <f t="shared" si="8"/>
        <v>62.233834741077843</v>
      </c>
      <c r="V71" s="152">
        <f t="shared" si="9"/>
        <v>311.1691737053892</v>
      </c>
      <c r="W71" s="156"/>
      <c r="X71" s="156"/>
    </row>
    <row r="72" spans="1:27" hidden="1" outlineLevel="1" x14ac:dyDescent="0.35">
      <c r="A72" s="149"/>
      <c r="B72" s="149"/>
      <c r="C72" s="150"/>
      <c r="D72" s="154"/>
      <c r="E72" s="10" t="str">
        <f>InpC!$E$38</f>
        <v>South Staffs Water</v>
      </c>
      <c r="F72" s="10" t="str">
        <f>InpC!$F$38</f>
        <v>SSC</v>
      </c>
      <c r="G72" s="22" t="s">
        <v>196</v>
      </c>
      <c r="H72" s="152"/>
      <c r="I72" s="153"/>
      <c r="J72" s="10">
        <f t="shared" ref="J72:S72" si="22" xml:space="preserve"> IF(J49 = 0, 0, J26/J49 * 1000000)</f>
        <v>54.402377149012487</v>
      </c>
      <c r="K72" s="10">
        <f t="shared" si="22"/>
        <v>112.31022965013683</v>
      </c>
      <c r="L72" s="10">
        <f t="shared" si="22"/>
        <v>49.027471425706835</v>
      </c>
      <c r="M72" s="10">
        <f t="shared" si="22"/>
        <v>49.027471425706835</v>
      </c>
      <c r="N72" s="10">
        <f t="shared" si="22"/>
        <v>49.027471425706835</v>
      </c>
      <c r="O72" s="10">
        <f t="shared" si="22"/>
        <v>49.027471425706835</v>
      </c>
      <c r="P72" s="10">
        <f t="shared" si="22"/>
        <v>49.027471425706835</v>
      </c>
      <c r="Q72" s="10">
        <f t="shared" si="22"/>
        <v>49.027471425706835</v>
      </c>
      <c r="R72" s="10">
        <f t="shared" si="22"/>
        <v>49.027471425706835</v>
      </c>
      <c r="S72" s="10">
        <f t="shared" si="22"/>
        <v>49.027471425706835</v>
      </c>
      <c r="T72" s="171"/>
      <c r="U72" s="152">
        <f t="shared" si="8"/>
        <v>49.027471425706835</v>
      </c>
      <c r="V72" s="152">
        <f t="shared" si="9"/>
        <v>245.13735712853418</v>
      </c>
      <c r="W72" s="156"/>
      <c r="X72" s="156"/>
    </row>
    <row r="73" spans="1:27" hidden="1" outlineLevel="1" x14ac:dyDescent="0.35">
      <c r="A73" s="149"/>
      <c r="B73" s="149"/>
      <c r="C73" s="150"/>
      <c r="D73" s="154"/>
      <c r="E73" s="10" t="str">
        <f>InpC!$E$39</f>
        <v>SES Water</v>
      </c>
      <c r="F73" s="10" t="str">
        <f>InpC!$F$39</f>
        <v>SES</v>
      </c>
      <c r="G73" s="22" t="s">
        <v>196</v>
      </c>
      <c r="H73" s="152"/>
      <c r="I73" s="153"/>
      <c r="J73" s="10">
        <f t="shared" ref="J73:S73" si="23" xml:space="preserve"> IF(J50 = 0, 0, J27/J50 * 1000000)</f>
        <v>51.54629212343422</v>
      </c>
      <c r="K73" s="10">
        <f t="shared" si="23"/>
        <v>16.720687663466233</v>
      </c>
      <c r="L73" s="10">
        <f t="shared" si="23"/>
        <v>49.402390438247011</v>
      </c>
      <c r="M73" s="10">
        <f t="shared" si="23"/>
        <v>1381.8254611023665</v>
      </c>
      <c r="N73" s="10">
        <f t="shared" si="23"/>
        <v>50.676691729323309</v>
      </c>
      <c r="O73" s="10">
        <f t="shared" si="23"/>
        <v>51.729323308270672</v>
      </c>
      <c r="P73" s="10">
        <f t="shared" si="23"/>
        <v>52.180451127819545</v>
      </c>
      <c r="Q73" s="10">
        <f t="shared" si="23"/>
        <v>52.330827067669169</v>
      </c>
      <c r="R73" s="10">
        <f t="shared" si="23"/>
        <v>53.233082706766915</v>
      </c>
      <c r="S73" s="10">
        <f t="shared" si="23"/>
        <v>53.684210526315788</v>
      </c>
      <c r="T73" s="171"/>
      <c r="U73" s="152">
        <f t="shared" si="8"/>
        <v>52.631578947368418</v>
      </c>
      <c r="V73" s="152">
        <f t="shared" si="9"/>
        <v>263.15789473684208</v>
      </c>
      <c r="W73" s="156"/>
      <c r="X73" s="156"/>
    </row>
    <row r="74" spans="1:27" hidden="1" outlineLevel="1" x14ac:dyDescent="0.35">
      <c r="A74" s="149"/>
      <c r="B74" s="149"/>
      <c r="C74" s="150"/>
      <c r="D74" s="154"/>
      <c r="E74" s="10" t="str">
        <f>InpC!$E$40</f>
        <v>South West Water</v>
      </c>
      <c r="F74" s="10" t="str">
        <f>InpC!$F$40</f>
        <v>SWB</v>
      </c>
      <c r="G74" s="22" t="s">
        <v>196</v>
      </c>
      <c r="H74" s="152"/>
      <c r="I74" s="153"/>
      <c r="J74" s="10">
        <f t="shared" ref="J74:S74" si="24" xml:space="preserve"> IF(J51 = 0, 0, J28/J51 * 1000000)</f>
        <v>0</v>
      </c>
      <c r="K74" s="10">
        <f t="shared" si="24"/>
        <v>0</v>
      </c>
      <c r="L74" s="10">
        <f t="shared" si="24"/>
        <v>0</v>
      </c>
      <c r="M74" s="10">
        <f t="shared" si="24"/>
        <v>171.85120730911464</v>
      </c>
      <c r="N74" s="10">
        <f t="shared" si="24"/>
        <v>7.8538880450487154</v>
      </c>
      <c r="O74" s="10">
        <f t="shared" si="24"/>
        <v>5.620014881659146</v>
      </c>
      <c r="P74" s="10">
        <f t="shared" si="24"/>
        <v>5.2641750969682573</v>
      </c>
      <c r="Q74" s="10">
        <f t="shared" si="24"/>
        <v>4.9075878255362939</v>
      </c>
      <c r="R74" s="10">
        <f t="shared" si="24"/>
        <v>4.5515134568194409</v>
      </c>
      <c r="S74" s="10">
        <f t="shared" si="24"/>
        <v>4.2351073775033639</v>
      </c>
      <c r="T74" s="171"/>
      <c r="U74" s="152">
        <f t="shared" si="8"/>
        <v>4.9156797276973005</v>
      </c>
      <c r="V74" s="152">
        <f t="shared" si="9"/>
        <v>24.578398638486501</v>
      </c>
      <c r="W74" s="156"/>
      <c r="X74" s="156"/>
    </row>
    <row r="75" spans="1:27" hidden="1" outlineLevel="1" x14ac:dyDescent="0.35">
      <c r="A75" s="149"/>
      <c r="B75" s="149"/>
      <c r="C75" s="150"/>
      <c r="D75" s="154"/>
      <c r="E75" s="10" t="str">
        <f>InpC!$E$41</f>
        <v>Bristol Water</v>
      </c>
      <c r="F75" s="10" t="str">
        <f>InpC!$F$41</f>
        <v>BRL</v>
      </c>
      <c r="G75" s="22" t="s">
        <v>196</v>
      </c>
      <c r="H75" s="152"/>
      <c r="I75" s="153"/>
      <c r="J75" s="10">
        <f t="shared" ref="J75:S75" si="25" xml:space="preserve"> IF(J52 = 0, 0, J29/J52 * 1000000)</f>
        <v>1897.9914287189549</v>
      </c>
      <c r="K75" s="10">
        <f t="shared" si="25"/>
        <v>31.822466573426841</v>
      </c>
      <c r="L75" s="10">
        <f t="shared" si="25"/>
        <v>14.725856029737651</v>
      </c>
      <c r="M75" s="10">
        <f t="shared" si="25"/>
        <v>31.718175652284589</v>
      </c>
      <c r="N75" s="10">
        <f t="shared" si="25"/>
        <v>33.740796339981408</v>
      </c>
      <c r="O75" s="10">
        <f t="shared" si="25"/>
        <v>8.2313128357678806</v>
      </c>
      <c r="P75" s="10">
        <f t="shared" si="25"/>
        <v>8.2318731518891806</v>
      </c>
      <c r="Q75" s="10">
        <f t="shared" si="25"/>
        <v>8.23126111086445</v>
      </c>
      <c r="R75" s="10">
        <f t="shared" si="25"/>
        <v>8.2314809306042722</v>
      </c>
      <c r="S75" s="10">
        <f t="shared" si="25"/>
        <v>8.2319103583004036</v>
      </c>
      <c r="T75" s="171"/>
      <c r="U75" s="152">
        <f t="shared" si="8"/>
        <v>8.2315676774852378</v>
      </c>
      <c r="V75" s="152">
        <f t="shared" si="9"/>
        <v>41.157838387426189</v>
      </c>
      <c r="W75" s="156"/>
      <c r="X75" s="156"/>
    </row>
    <row r="76" spans="1:27" hidden="1" outlineLevel="1" x14ac:dyDescent="0.35">
      <c r="A76" s="149"/>
      <c r="B76" s="149"/>
      <c r="C76" s="150"/>
      <c r="D76" s="154"/>
      <c r="E76" s="10" t="s">
        <v>197</v>
      </c>
      <c r="G76" s="22" t="s">
        <v>196</v>
      </c>
      <c r="H76" s="152"/>
      <c r="I76" s="153"/>
      <c r="J76" s="173">
        <f t="shared" ref="J76:S76" si="26" xml:space="preserve"> IF(J53 = 0, 0, J30/J53 * 1000000)</f>
        <v>144.10923249060684</v>
      </c>
      <c r="K76" s="173">
        <f t="shared" si="26"/>
        <v>117.16965443438153</v>
      </c>
      <c r="L76" s="173">
        <f t="shared" si="26"/>
        <v>131.02881416899356</v>
      </c>
      <c r="M76" s="173">
        <f t="shared" si="26"/>
        <v>132.2184925633853</v>
      </c>
      <c r="N76" s="173">
        <f t="shared" si="26"/>
        <v>133.41298539540463</v>
      </c>
      <c r="O76" s="173">
        <f t="shared" si="26"/>
        <v>130.11106238188296</v>
      </c>
      <c r="P76" s="173">
        <f t="shared" si="26"/>
        <v>129.69465793700158</v>
      </c>
      <c r="Q76" s="173">
        <f t="shared" si="26"/>
        <v>129.6177921465428</v>
      </c>
      <c r="R76" s="173">
        <f t="shared" si="26"/>
        <v>129.33198049462248</v>
      </c>
      <c r="S76" s="173">
        <f t="shared" si="26"/>
        <v>129.06351567548887</v>
      </c>
      <c r="T76" s="171"/>
      <c r="U76" s="173">
        <f xml:space="preserve"> IF(U53 = 0, 0, U30/U53 * 1000000)</f>
        <v>129.56246655084291</v>
      </c>
      <c r="V76" s="173">
        <f t="shared" ref="V76" si="27">SUM(V59:V75)</f>
        <v>6122.6231629311687</v>
      </c>
      <c r="W76" s="156"/>
      <c r="X76" s="156"/>
    </row>
    <row r="77" spans="1:27" x14ac:dyDescent="0.35">
      <c r="A77" s="149"/>
      <c r="B77" s="149"/>
      <c r="C77" s="150"/>
      <c r="D77" s="154"/>
      <c r="E77" s="152"/>
      <c r="H77" s="152"/>
      <c r="I77" s="153"/>
      <c r="J77" s="152"/>
      <c r="K77" s="152"/>
      <c r="L77" s="152"/>
      <c r="M77" s="152"/>
      <c r="N77" s="152"/>
      <c r="O77" s="152"/>
      <c r="P77" s="152"/>
      <c r="Q77" s="152"/>
      <c r="R77" s="152"/>
      <c r="S77" s="152"/>
      <c r="T77" s="152"/>
      <c r="U77" s="152"/>
      <c r="V77" s="152"/>
      <c r="W77" s="152"/>
      <c r="X77" s="152"/>
      <c r="Z77" s="152"/>
      <c r="AA77" s="152"/>
    </row>
  </sheetData>
  <conditionalFormatting sqref="H2">
    <cfRule type="cellIs" dxfId="143" priority="39" stopIfTrue="1" operator="notEqual">
      <formula>0</formula>
    </cfRule>
    <cfRule type="cellIs" dxfId="142" priority="40" stopIfTrue="1" operator="equal">
      <formula>""</formula>
    </cfRule>
    <cfRule type="cellIs" dxfId="141" priority="41" stopIfTrue="1" operator="notEqual">
      <formula>0</formula>
    </cfRule>
    <cfRule type="cellIs" dxfId="140" priority="42" stopIfTrue="1" operator="equal">
      <formula>""</formula>
    </cfRule>
  </conditionalFormatting>
  <conditionalFormatting sqref="J37:J52">
    <cfRule type="expression" dxfId="139" priority="5">
      <formula>(J37&lt;&gt;#REF!)</formula>
    </cfRule>
  </conditionalFormatting>
  <conditionalFormatting sqref="J3:S3">
    <cfRule type="cellIs" dxfId="138" priority="51" operator="equal">
      <formula>"PPA ext."</formula>
    </cfRule>
    <cfRule type="cellIs" dxfId="137" priority="52" operator="equal">
      <formula>"Delay"</formula>
    </cfRule>
    <cfRule type="cellIs" dxfId="136" priority="53" operator="equal">
      <formula>"Fin Close"</formula>
    </cfRule>
    <cfRule type="cellIs" dxfId="135" priority="54" stopIfTrue="1" operator="equal">
      <formula>"Construction"</formula>
    </cfRule>
    <cfRule type="cellIs" dxfId="134" priority="55" stopIfTrue="1" operator="equal">
      <formula>"Operations"</formula>
    </cfRule>
  </conditionalFormatting>
  <conditionalFormatting sqref="J36:S52">
    <cfRule type="expression" dxfId="133" priority="6">
      <formula>(J36&lt;&gt;#REF!)</formula>
    </cfRule>
  </conditionalFormatting>
  <conditionalFormatting sqref="J59:S75">
    <cfRule type="expression" dxfId="132" priority="2">
      <formula>(J59&lt;&gt;J15)</formula>
    </cfRule>
  </conditionalFormatting>
  <conditionalFormatting sqref="U3:V3">
    <cfRule type="cellIs" dxfId="131" priority="44" operator="equal">
      <formula>"PPA ext."</formula>
    </cfRule>
    <cfRule type="cellIs" dxfId="130" priority="45" operator="equal">
      <formula>"Delay"</formula>
    </cfRule>
    <cfRule type="cellIs" dxfId="129" priority="46" operator="equal">
      <formula>"Fin Close"</formula>
    </cfRule>
    <cfRule type="cellIs" dxfId="128" priority="47" stopIfTrue="1" operator="equal">
      <formula>"Construction"</formula>
    </cfRule>
    <cfRule type="cellIs" dxfId="127" priority="48" stopIfTrue="1" operator="equal">
      <formula>"Operations"</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5DC72-2922-4C3A-B770-14FB8BCF259A}">
  <sheetPr>
    <tabColor rgb="FFCCCCCE"/>
    <outlinePr summaryBelow="0" summaryRight="0"/>
  </sheetPr>
  <dimension ref="A1:AA245"/>
  <sheetViews>
    <sheetView zoomScale="80" zoomScaleNormal="80" workbookViewId="0"/>
  </sheetViews>
  <sheetFormatPr defaultColWidth="11.73046875" defaultRowHeight="13.15" outlineLevelRow="1" x14ac:dyDescent="0.35"/>
  <cols>
    <col min="1" max="2" width="1.265625" style="11" customWidth="1"/>
    <col min="3" max="3" width="22.1328125" style="16" bestFit="1" customWidth="1"/>
    <col min="4" max="4" width="1.265625" style="35" customWidth="1"/>
    <col min="5" max="5" width="91.265625" style="10"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s>
  <sheetData>
    <row r="1" spans="1:22" ht="25.15" x14ac:dyDescent="0.35">
      <c r="A1" s="19" t="str">
        <f ca="1">RIGHT(CELL("filename", A1), LEN(CELL("filename", A1)) - SEARCH("]", CELL("filename", A1)))</f>
        <v>Lane Rental Schemes</v>
      </c>
    </row>
    <row r="2" spans="1:22" x14ac:dyDescent="0.35">
      <c r="A2" s="38"/>
      <c r="B2" s="38"/>
      <c r="C2" s="39"/>
      <c r="D2" s="40"/>
      <c r="E2" s="73"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t="s">
        <v>172</v>
      </c>
      <c r="V2" s="74" t="s">
        <v>173</v>
      </c>
    </row>
    <row r="3" spans="1:22" x14ac:dyDescent="0.35">
      <c r="E3" s="73"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f>Time!U3</f>
        <v>0</v>
      </c>
      <c r="V3" s="27">
        <f>Time!V3</f>
        <v>0</v>
      </c>
    </row>
    <row r="4" spans="1:22" x14ac:dyDescent="0.35">
      <c r="E4" s="73"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row>
    <row r="5" spans="1:22"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2"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2"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8" spans="1:22" collapsed="1" x14ac:dyDescent="0.35">
      <c r="E8" s="11" t="s">
        <v>174</v>
      </c>
    </row>
    <row r="9" spans="1:22" hidden="1" outlineLevel="1" x14ac:dyDescent="0.35"/>
    <row r="10" spans="1:22" hidden="1" outlineLevel="1" x14ac:dyDescent="0.35">
      <c r="E10" s="10" t="s">
        <v>175</v>
      </c>
      <c r="G10" s="22" t="s">
        <v>168</v>
      </c>
      <c r="J10" s="112">
        <f>InpT!J13</f>
        <v>1.0224299065420561</v>
      </c>
      <c r="K10" s="112">
        <f>InpT!K13</f>
        <v>1.0073664825046043</v>
      </c>
      <c r="L10" s="112">
        <f>InpT!L13</f>
        <v>1</v>
      </c>
      <c r="M10" s="112">
        <f>InpT!M13</f>
        <v>0.93424423569598647</v>
      </c>
      <c r="N10" s="112">
        <f>InpT!N13</f>
        <v>0.84871993793638478</v>
      </c>
      <c r="O10" s="112">
        <f>InpT!O13</f>
        <v>1</v>
      </c>
      <c r="P10" s="112">
        <f>InpT!P13</f>
        <v>1</v>
      </c>
      <c r="Q10" s="112">
        <f>InpT!Q13</f>
        <v>1</v>
      </c>
      <c r="R10" s="112">
        <f>InpT!R13</f>
        <v>1</v>
      </c>
      <c r="S10" s="112">
        <f>InpT!S13</f>
        <v>1</v>
      </c>
      <c r="U10" s="112"/>
      <c r="V10" s="112"/>
    </row>
    <row r="11" spans="1:22" x14ac:dyDescent="0.35">
      <c r="J11" s="112"/>
      <c r="K11" s="112"/>
      <c r="L11" s="112"/>
      <c r="M11" s="112"/>
      <c r="N11" s="112"/>
      <c r="O11" s="112"/>
      <c r="P11" s="112"/>
      <c r="Q11" s="112"/>
      <c r="R11" s="112"/>
      <c r="S11" s="112"/>
      <c r="U11" s="112"/>
      <c r="V11" s="112"/>
    </row>
    <row r="12" spans="1:22" x14ac:dyDescent="0.35">
      <c r="C12" s="5" t="str">
        <f>InpC!$F$49</f>
        <v>W3037TOT</v>
      </c>
      <c r="D12" s="5" t="str">
        <f>InpC!$E$49</f>
        <v>Other operating expenditure - Costs associated with lane rental schemes - Total</v>
      </c>
      <c r="F12" s="131">
        <f>MATCH(D12,APRChoices,0)</f>
        <v>2</v>
      </c>
      <c r="G12" s="22" t="s">
        <v>125</v>
      </c>
      <c r="J12" s="74">
        <f>J$2</f>
        <v>44286</v>
      </c>
      <c r="K12" s="74">
        <f t="shared" ref="K12:V12" si="0">K$2</f>
        <v>44651</v>
      </c>
      <c r="L12" s="74">
        <f t="shared" si="0"/>
        <v>45016</v>
      </c>
      <c r="M12" s="74">
        <f t="shared" si="0"/>
        <v>45382</v>
      </c>
      <c r="N12" s="74">
        <f t="shared" si="0"/>
        <v>45747</v>
      </c>
      <c r="O12" s="74">
        <f t="shared" si="0"/>
        <v>46112</v>
      </c>
      <c r="P12" s="74">
        <f t="shared" si="0"/>
        <v>46477</v>
      </c>
      <c r="Q12" s="74">
        <f t="shared" si="0"/>
        <v>46843</v>
      </c>
      <c r="R12" s="74">
        <f t="shared" si="0"/>
        <v>47208</v>
      </c>
      <c r="S12" s="74">
        <f t="shared" si="0"/>
        <v>47573</v>
      </c>
      <c r="U12" s="74" t="str">
        <f t="shared" si="0"/>
        <v>PR24 Average</v>
      </c>
      <c r="V12" s="74" t="str">
        <f t="shared" si="0"/>
        <v>PR24 Total</v>
      </c>
    </row>
    <row r="13" spans="1:22" x14ac:dyDescent="0.35">
      <c r="C13" s="5" t="str">
        <f>INDEX(InpC!$G$57:$G$62,'Lane Rental Schemes'!F12,)</f>
        <v>CW2_012TOT_PR24</v>
      </c>
      <c r="D13" s="5" t="str">
        <f>INDEX(InpC!$G$48:$G$53,'Lane Rental Schemes'!F12,)</f>
        <v>Location specific costs &amp; obligations - Costs associated with lane rental schemes - Total</v>
      </c>
      <c r="G13" s="22" t="s">
        <v>126</v>
      </c>
      <c r="J13" s="74"/>
      <c r="K13" s="74"/>
      <c r="L13" s="74"/>
      <c r="M13" s="74"/>
      <c r="N13" s="74"/>
      <c r="O13" s="74"/>
      <c r="P13" s="74"/>
      <c r="Q13" s="74"/>
      <c r="R13" s="74"/>
      <c r="S13" s="74"/>
      <c r="U13" s="74"/>
      <c r="V13" s="74"/>
    </row>
    <row r="14" spans="1:22" collapsed="1" x14ac:dyDescent="0.35">
      <c r="E14" s="5" t="s">
        <v>176</v>
      </c>
    </row>
    <row r="15" spans="1:22" hidden="1" outlineLevel="1" x14ac:dyDescent="0.35"/>
    <row r="16" spans="1:22" hidden="1" outlineLevel="1" x14ac:dyDescent="0.35">
      <c r="E16" s="130" t="s">
        <v>177</v>
      </c>
      <c r="J16" s="8"/>
      <c r="K16" s="8"/>
      <c r="L16" s="8"/>
      <c r="M16" s="8"/>
      <c r="N16" s="8"/>
      <c r="O16" s="8"/>
      <c r="P16" s="8"/>
      <c r="Q16" s="8"/>
      <c r="R16" s="8"/>
      <c r="S16" s="8"/>
      <c r="U16" s="8"/>
      <c r="V16" s="8"/>
    </row>
    <row r="17" spans="5:22" hidden="1" outlineLevel="1" x14ac:dyDescent="0.35">
      <c r="E17" s="129">
        <f>InpT!$F$8</f>
        <v>45016</v>
      </c>
      <c r="G17" s="22" t="s">
        <v>178</v>
      </c>
      <c r="J17" s="8"/>
      <c r="K17" s="8"/>
      <c r="L17" s="8"/>
      <c r="M17" s="8"/>
      <c r="N17" s="8"/>
      <c r="O17" s="8"/>
      <c r="P17" s="8"/>
      <c r="Q17" s="8"/>
      <c r="R17" s="8"/>
      <c r="S17" s="8"/>
      <c r="U17" s="8"/>
      <c r="V17" s="8"/>
    </row>
    <row r="18" spans="5:22" hidden="1" outlineLevel="1" x14ac:dyDescent="0.35">
      <c r="E18" s="129"/>
      <c r="J18" s="8"/>
      <c r="K18" s="8"/>
      <c r="L18" s="8"/>
      <c r="M18" s="8"/>
      <c r="N18" s="8"/>
      <c r="O18" s="8"/>
      <c r="P18" s="8"/>
      <c r="Q18" s="8"/>
      <c r="R18" s="8"/>
      <c r="S18" s="8"/>
      <c r="U18" s="8"/>
      <c r="V18" s="8"/>
    </row>
    <row r="19" spans="5:22" hidden="1" outlineLevel="1" x14ac:dyDescent="0.35">
      <c r="E19" s="10" t="str">
        <f>InpC!$E$25</f>
        <v>Anglian Water</v>
      </c>
      <c r="F19" s="10" t="str">
        <f>InpC!$F$25</f>
        <v>ANH</v>
      </c>
      <c r="G19" s="22" t="s">
        <v>34</v>
      </c>
      <c r="J19" s="111">
        <f>SUMIFS('Consolidated Input'!F$6:F$209,'Consolidated Input'!$A$6:$A$209,$F19,'Consolidated Input'!$B$6:$B$209,$C$12)*J$10*Time!J$29</f>
        <v>0</v>
      </c>
      <c r="K19" s="111">
        <f>SUMIFS('Consolidated Input'!G$6:G$209,'Consolidated Input'!$A$6:$A$209,$F19,'Consolidated Input'!$B$6:$B$209,$C$12)*K$10*Time!K$29</f>
        <v>0</v>
      </c>
      <c r="L19" s="111">
        <f>SUMIFS('Consolidated Input'!H$6:H$209,'Consolidated Input'!$A$6:$A$209,$F19,'Consolidated Input'!$B$6:$B$209,$C$12)*L$10*Time!L$29</f>
        <v>0</v>
      </c>
      <c r="M19" s="111">
        <f>SUMIFS('Consolidated Input'!S$6:S$209,'Consolidated Input'!$A$6:$A$209,$F19,'Consolidated Input'!$B$6:$B$209,$C$13)</f>
        <v>0</v>
      </c>
      <c r="N19" s="111">
        <f>SUMIFS('Consolidated Input'!T$6:T$209,'Consolidated Input'!$A$6:$A$209,$F19,'Consolidated Input'!$B$6:$B$209,$C$13)</f>
        <v>0</v>
      </c>
      <c r="O19" s="111">
        <f>SUMIFS('Consolidated Input'!U$6:U$209,'Consolidated Input'!$A$6:$A$209,$F19,'Consolidated Input'!$B$6:$B$209,$C$13)</f>
        <v>0</v>
      </c>
      <c r="P19" s="111">
        <f>SUMIFS('Consolidated Input'!V$6:V$209,'Consolidated Input'!$A$6:$A$209,$F19,'Consolidated Input'!$B$6:$B$209,$C$13)</f>
        <v>0</v>
      </c>
      <c r="Q19" s="111">
        <f>SUMIFS('Consolidated Input'!W$6:W$209,'Consolidated Input'!$A$6:$A$209,$F19,'Consolidated Input'!$B$6:$B$209,$C$13)</f>
        <v>0</v>
      </c>
      <c r="R19" s="111">
        <f>SUMIFS('Consolidated Input'!X$6:X$209,'Consolidated Input'!$A$6:$A$209,$F19,'Consolidated Input'!$B$6:$B$209,$C$13)</f>
        <v>0</v>
      </c>
      <c r="S19" s="111">
        <f>SUMIFS('Consolidated Input'!Y$6:Y$209,'Consolidated Input'!$A$6:$A$209,$F19,'Consolidated Input'!$B$6:$B$209,$C$13)</f>
        <v>0</v>
      </c>
      <c r="U19" s="111">
        <f t="shared" ref="U19:U35" si="1">IFERROR(AVERAGE(O19:S19),0)</f>
        <v>0</v>
      </c>
      <c r="V19" s="111">
        <f t="shared" ref="V19:V35" si="2">SUM(O19:S19)</f>
        <v>0</v>
      </c>
    </row>
    <row r="20" spans="5:22" hidden="1" outlineLevel="1" x14ac:dyDescent="0.35">
      <c r="E20" s="10" t="str">
        <f>InpC!$E$26</f>
        <v>Dŵr Cymru</v>
      </c>
      <c r="F20" s="10" t="str">
        <f>InpC!$F$26</f>
        <v>WSH</v>
      </c>
      <c r="G20" s="22" t="s">
        <v>34</v>
      </c>
      <c r="J20" s="111">
        <f>SUMIFS('Consolidated Input'!F$6:F$209,'Consolidated Input'!$A$6:$A$209,$F20,'Consolidated Input'!$B$6:$B$209,$C$12)*J$10*Time!J$29</f>
        <v>0</v>
      </c>
      <c r="K20" s="111">
        <f>SUMIFS('Consolidated Input'!G$6:G$209,'Consolidated Input'!$A$6:$A$209,$F20,'Consolidated Input'!$B$6:$B$209,$C$12)*K$10*Time!K$29</f>
        <v>0</v>
      </c>
      <c r="L20" s="111">
        <f>SUMIFS('Consolidated Input'!H$6:H$209,'Consolidated Input'!$A$6:$A$209,$F20,'Consolidated Input'!$B$6:$B$209,$C$12)*L$10*Time!L$29</f>
        <v>0</v>
      </c>
      <c r="M20" s="111">
        <f>SUMIFS('Consolidated Input'!S$6:S$209,'Consolidated Input'!$A$6:$A$209,$F20,'Consolidated Input'!$B$6:$B$209,$C$13)</f>
        <v>0</v>
      </c>
      <c r="N20" s="111">
        <f>SUMIFS('Consolidated Input'!T$6:T$209,'Consolidated Input'!$A$6:$A$209,$F20,'Consolidated Input'!$B$6:$B$209,$C$13)</f>
        <v>0</v>
      </c>
      <c r="O20" s="111">
        <f>SUMIFS('Consolidated Input'!U$6:U$209,'Consolidated Input'!$A$6:$A$209,$F20,'Consolidated Input'!$B$6:$B$209,$C$13)</f>
        <v>0</v>
      </c>
      <c r="P20" s="111">
        <f>SUMIFS('Consolidated Input'!V$6:V$209,'Consolidated Input'!$A$6:$A$209,$F20,'Consolidated Input'!$B$6:$B$209,$C$13)</f>
        <v>0</v>
      </c>
      <c r="Q20" s="111">
        <f>SUMIFS('Consolidated Input'!W$6:W$209,'Consolidated Input'!$A$6:$A$209,$F20,'Consolidated Input'!$B$6:$B$209,$C$13)</f>
        <v>0</v>
      </c>
      <c r="R20" s="111">
        <f>SUMIFS('Consolidated Input'!X$6:X$209,'Consolidated Input'!$A$6:$A$209,$F20,'Consolidated Input'!$B$6:$B$209,$C$13)</f>
        <v>0</v>
      </c>
      <c r="S20" s="111">
        <f>SUMIFS('Consolidated Input'!Y$6:Y$209,'Consolidated Input'!$A$6:$A$209,$F20,'Consolidated Input'!$B$6:$B$209,$C$13)</f>
        <v>0</v>
      </c>
      <c r="U20" s="111">
        <f t="shared" si="1"/>
        <v>0</v>
      </c>
      <c r="V20" s="111">
        <f t="shared" si="2"/>
        <v>0</v>
      </c>
    </row>
    <row r="21" spans="5:22" hidden="1" outlineLevel="1" x14ac:dyDescent="0.35">
      <c r="E21" s="10" t="str">
        <f>InpC!$E$27</f>
        <v>Hafren Dyfrdwy</v>
      </c>
      <c r="F21" s="10" t="str">
        <f>InpC!$F$27</f>
        <v>HDD</v>
      </c>
      <c r="G21" s="22" t="s">
        <v>34</v>
      </c>
      <c r="J21" s="111">
        <f>SUMIFS('Consolidated Input'!F$6:F$209,'Consolidated Input'!$A$6:$A$209,$F21,'Consolidated Input'!$B$6:$B$209,$C$12)*J$10*Time!J$29</f>
        <v>0</v>
      </c>
      <c r="K21" s="111">
        <f>SUMIFS('Consolidated Input'!G$6:G$209,'Consolidated Input'!$A$6:$A$209,$F21,'Consolidated Input'!$B$6:$B$209,$C$12)*K$10*Time!K$29</f>
        <v>0</v>
      </c>
      <c r="L21" s="111">
        <f>SUMIFS('Consolidated Input'!H$6:H$209,'Consolidated Input'!$A$6:$A$209,$F21,'Consolidated Input'!$B$6:$B$209,$C$12)*L$10*Time!L$29</f>
        <v>0</v>
      </c>
      <c r="M21" s="111">
        <f>SUMIFS('Consolidated Input'!S$6:S$209,'Consolidated Input'!$A$6:$A$209,$F21,'Consolidated Input'!$B$6:$B$209,$C$13)</f>
        <v>0</v>
      </c>
      <c r="N21" s="111">
        <f>SUMIFS('Consolidated Input'!T$6:T$209,'Consolidated Input'!$A$6:$A$209,$F21,'Consolidated Input'!$B$6:$B$209,$C$13)</f>
        <v>0</v>
      </c>
      <c r="O21" s="111">
        <f>SUMIFS('Consolidated Input'!U$6:U$209,'Consolidated Input'!$A$6:$A$209,$F21,'Consolidated Input'!$B$6:$B$209,$C$13)</f>
        <v>0</v>
      </c>
      <c r="P21" s="111">
        <f>SUMIFS('Consolidated Input'!V$6:V$209,'Consolidated Input'!$A$6:$A$209,$F21,'Consolidated Input'!$B$6:$B$209,$C$13)</f>
        <v>0</v>
      </c>
      <c r="Q21" s="111">
        <f>SUMIFS('Consolidated Input'!W$6:W$209,'Consolidated Input'!$A$6:$A$209,$F21,'Consolidated Input'!$B$6:$B$209,$C$13)</f>
        <v>0</v>
      </c>
      <c r="R21" s="111">
        <f>SUMIFS('Consolidated Input'!X$6:X$209,'Consolidated Input'!$A$6:$A$209,$F21,'Consolidated Input'!$B$6:$B$209,$C$13)</f>
        <v>0</v>
      </c>
      <c r="S21" s="111">
        <f>SUMIFS('Consolidated Input'!Y$6:Y$209,'Consolidated Input'!$A$6:$A$209,$F21,'Consolidated Input'!$B$6:$B$209,$C$13)</f>
        <v>0</v>
      </c>
      <c r="U21" s="111">
        <f t="shared" si="1"/>
        <v>0</v>
      </c>
      <c r="V21" s="111">
        <f t="shared" si="2"/>
        <v>0</v>
      </c>
    </row>
    <row r="22" spans="5:22" hidden="1" outlineLevel="1" x14ac:dyDescent="0.35">
      <c r="E22" s="10" t="str">
        <f>InpC!$E$28</f>
        <v>Northumbrian Water</v>
      </c>
      <c r="F22" s="10" t="str">
        <f>InpC!$F$28</f>
        <v>NES</v>
      </c>
      <c r="G22" s="22" t="s">
        <v>34</v>
      </c>
      <c r="J22" s="111">
        <f>SUMIFS('Consolidated Input'!F$6:F$209,'Consolidated Input'!$A$6:$A$209,$F22,'Consolidated Input'!$B$6:$B$209,$C$12)*J$10*Time!J$29</f>
        <v>0</v>
      </c>
      <c r="K22" s="111">
        <f>SUMIFS('Consolidated Input'!G$6:G$209,'Consolidated Input'!$A$6:$A$209,$F22,'Consolidated Input'!$B$6:$B$209,$C$12)*K$10*Time!K$29</f>
        <v>0</v>
      </c>
      <c r="L22" s="111">
        <f>SUMIFS('Consolidated Input'!H$6:H$209,'Consolidated Input'!$A$6:$A$209,$F22,'Consolidated Input'!$B$6:$B$209,$C$12)*L$10*Time!L$29</f>
        <v>0</v>
      </c>
      <c r="M22" s="111">
        <f>SUMIFS('Consolidated Input'!S$6:S$209,'Consolidated Input'!$A$6:$A$209,$F22,'Consolidated Input'!$B$6:$B$209,$C$13)</f>
        <v>0</v>
      </c>
      <c r="N22" s="111">
        <f>SUMIFS('Consolidated Input'!T$6:T$209,'Consolidated Input'!$A$6:$A$209,$F22,'Consolidated Input'!$B$6:$B$209,$C$13)</f>
        <v>0</v>
      </c>
      <c r="O22" s="111">
        <f>SUMIFS('Consolidated Input'!U$6:U$209,'Consolidated Input'!$A$6:$A$209,$F22,'Consolidated Input'!$B$6:$B$209,$C$13)</f>
        <v>0</v>
      </c>
      <c r="P22" s="111">
        <f>SUMIFS('Consolidated Input'!V$6:V$209,'Consolidated Input'!$A$6:$A$209,$F22,'Consolidated Input'!$B$6:$B$209,$C$13)</f>
        <v>0</v>
      </c>
      <c r="Q22" s="111">
        <f>SUMIFS('Consolidated Input'!W$6:W$209,'Consolidated Input'!$A$6:$A$209,$F22,'Consolidated Input'!$B$6:$B$209,$C$13)</f>
        <v>0</v>
      </c>
      <c r="R22" s="111">
        <f>SUMIFS('Consolidated Input'!X$6:X$209,'Consolidated Input'!$A$6:$A$209,$F22,'Consolidated Input'!$B$6:$B$209,$C$13)</f>
        <v>0</v>
      </c>
      <c r="S22" s="111">
        <f>SUMIFS('Consolidated Input'!Y$6:Y$209,'Consolidated Input'!$A$6:$A$209,$F22,'Consolidated Input'!$B$6:$B$209,$C$13)</f>
        <v>0</v>
      </c>
      <c r="U22" s="111">
        <f t="shared" si="1"/>
        <v>0</v>
      </c>
      <c r="V22" s="111">
        <f t="shared" si="2"/>
        <v>0</v>
      </c>
    </row>
    <row r="23" spans="5:22" hidden="1" outlineLevel="1" x14ac:dyDescent="0.35">
      <c r="E23" s="10" t="str">
        <f>InpC!$E$29</f>
        <v>Severn Trent Water</v>
      </c>
      <c r="F23" s="10" t="str">
        <f>InpC!$F$29</f>
        <v>SVE</v>
      </c>
      <c r="G23" s="22" t="s">
        <v>34</v>
      </c>
      <c r="J23" s="111">
        <f>SUMIFS('Consolidated Input'!F$6:F$209,'Consolidated Input'!$A$6:$A$209,$F23,'Consolidated Input'!$B$6:$B$209,$C$12)*J$10*Time!J$29</f>
        <v>0</v>
      </c>
      <c r="K23" s="111">
        <f>SUMIFS('Consolidated Input'!G$6:G$209,'Consolidated Input'!$A$6:$A$209,$F23,'Consolidated Input'!$B$6:$B$209,$C$12)*K$10*Time!K$29</f>
        <v>0</v>
      </c>
      <c r="L23" s="111">
        <f>SUMIFS('Consolidated Input'!H$6:H$209,'Consolidated Input'!$A$6:$A$209,$F23,'Consolidated Input'!$B$6:$B$209,$C$12)*L$10*Time!L$29</f>
        <v>0</v>
      </c>
      <c r="M23" s="111">
        <f>SUMIFS('Consolidated Input'!S$6:S$209,'Consolidated Input'!$A$6:$A$209,$F23,'Consolidated Input'!$B$6:$B$209,$C$13)</f>
        <v>0</v>
      </c>
      <c r="N23" s="111">
        <f>SUMIFS('Consolidated Input'!T$6:T$209,'Consolidated Input'!$A$6:$A$209,$F23,'Consolidated Input'!$B$6:$B$209,$C$13)</f>
        <v>0</v>
      </c>
      <c r="O23" s="111">
        <f>SUMIFS('Consolidated Input'!U$6:U$209,'Consolidated Input'!$A$6:$A$209,$F23,'Consolidated Input'!$B$6:$B$209,$C$13)</f>
        <v>0</v>
      </c>
      <c r="P23" s="111">
        <f>SUMIFS('Consolidated Input'!V$6:V$209,'Consolidated Input'!$A$6:$A$209,$F23,'Consolidated Input'!$B$6:$B$209,$C$13)</f>
        <v>0</v>
      </c>
      <c r="Q23" s="111">
        <f>SUMIFS('Consolidated Input'!W$6:W$209,'Consolidated Input'!$A$6:$A$209,$F23,'Consolidated Input'!$B$6:$B$209,$C$13)</f>
        <v>0</v>
      </c>
      <c r="R23" s="111">
        <f>SUMIFS('Consolidated Input'!X$6:X$209,'Consolidated Input'!$A$6:$A$209,$F23,'Consolidated Input'!$B$6:$B$209,$C$13)</f>
        <v>0</v>
      </c>
      <c r="S23" s="111">
        <f>SUMIFS('Consolidated Input'!Y$6:Y$209,'Consolidated Input'!$A$6:$A$209,$F23,'Consolidated Input'!$B$6:$B$209,$C$13)</f>
        <v>0</v>
      </c>
      <c r="U23" s="111">
        <f t="shared" si="1"/>
        <v>0</v>
      </c>
      <c r="V23" s="111">
        <f t="shared" si="2"/>
        <v>0</v>
      </c>
    </row>
    <row r="24" spans="5:22" hidden="1" outlineLevel="1" x14ac:dyDescent="0.35">
      <c r="E24" s="10" t="str">
        <f>InpC!$E$30</f>
        <v>Southern Water</v>
      </c>
      <c r="F24" s="10" t="str">
        <f>InpC!$F$30</f>
        <v>SRN</v>
      </c>
      <c r="G24" s="22" t="s">
        <v>34</v>
      </c>
      <c r="J24" s="111">
        <f>SUMIFS('Consolidated Input'!F$6:F$209,'Consolidated Input'!$A$6:$A$209,$F24,'Consolidated Input'!$B$6:$B$209,$C$12)*J$10*Time!J$29</f>
        <v>0.15131962616822431</v>
      </c>
      <c r="K24" s="111">
        <f>SUMIFS('Consolidated Input'!G$6:G$209,'Consolidated Input'!$A$6:$A$209,$F24,'Consolidated Input'!$B$6:$B$209,$C$12)*K$10*Time!K$29</f>
        <v>0.10980294659300187</v>
      </c>
      <c r="L24" s="111">
        <f>SUMIFS('Consolidated Input'!H$6:H$209,'Consolidated Input'!$A$6:$A$209,$F24,'Consolidated Input'!$B$6:$B$209,$C$12)*L$10*Time!L$29</f>
        <v>0.29399999999999998</v>
      </c>
      <c r="M24" s="111">
        <f>SUMIFS('Consolidated Input'!S$6:S$209,'Consolidated Input'!$A$6:$A$209,$F24,'Consolidated Input'!$B$6:$B$209,$C$13)</f>
        <v>0.74</v>
      </c>
      <c r="N24" s="111">
        <f>SUMIFS('Consolidated Input'!T$6:T$209,'Consolidated Input'!$A$6:$A$209,$F24,'Consolidated Input'!$B$6:$B$209,$C$13)</f>
        <v>0.11</v>
      </c>
      <c r="O24" s="111">
        <f>SUMIFS('Consolidated Input'!U$6:U$209,'Consolidated Input'!$A$6:$A$209,$F24,'Consolidated Input'!$B$6:$B$209,$C$13)</f>
        <v>0.7</v>
      </c>
      <c r="P24" s="111">
        <f>SUMIFS('Consolidated Input'!V$6:V$209,'Consolidated Input'!$A$6:$A$209,$F24,'Consolidated Input'!$B$6:$B$209,$C$13)</f>
        <v>0.7</v>
      </c>
      <c r="Q24" s="111">
        <f>SUMIFS('Consolidated Input'!W$6:W$209,'Consolidated Input'!$A$6:$A$209,$F24,'Consolidated Input'!$B$6:$B$209,$C$13)</f>
        <v>0.7</v>
      </c>
      <c r="R24" s="111">
        <f>SUMIFS('Consolidated Input'!X$6:X$209,'Consolidated Input'!$A$6:$A$209,$F24,'Consolidated Input'!$B$6:$B$209,$C$13)</f>
        <v>0.7</v>
      </c>
      <c r="S24" s="111">
        <f>SUMIFS('Consolidated Input'!Y$6:Y$209,'Consolidated Input'!$A$6:$A$209,$F24,'Consolidated Input'!$B$6:$B$209,$C$13)</f>
        <v>0.7</v>
      </c>
      <c r="U24" s="111">
        <f t="shared" si="1"/>
        <v>0.7</v>
      </c>
      <c r="V24" s="111">
        <f t="shared" si="2"/>
        <v>3.5</v>
      </c>
    </row>
    <row r="25" spans="5:22" hidden="1" outlineLevel="1" x14ac:dyDescent="0.35">
      <c r="E25" s="10" t="str">
        <f>InpC!$E$31</f>
        <v>Thames Water</v>
      </c>
      <c r="F25" s="10" t="str">
        <f>InpC!$F$31</f>
        <v>TMS</v>
      </c>
      <c r="G25" s="22" t="s">
        <v>34</v>
      </c>
      <c r="J25" s="111">
        <f>SUMIFS('Consolidated Input'!F$6:F$209,'Consolidated Input'!$A$6:$A$209,$F25,'Consolidated Input'!$B$6:$B$209,$C$12)*J$10*Time!J$29</f>
        <v>0.8782672897196262</v>
      </c>
      <c r="K25" s="111">
        <f>SUMIFS('Consolidated Input'!G$6:G$209,'Consolidated Input'!$A$6:$A$209,$F25,'Consolidated Input'!$B$6:$B$209,$C$12)*K$10*Time!K$29</f>
        <v>1.0899705340699819</v>
      </c>
      <c r="L25" s="111">
        <f>SUMIFS('Consolidated Input'!H$6:H$209,'Consolidated Input'!$A$6:$A$209,$F25,'Consolidated Input'!$B$6:$B$209,$C$12)*L$10*Time!L$29</f>
        <v>2.7120000000000002</v>
      </c>
      <c r="M25" s="111">
        <f>SUMIFS('Consolidated Input'!S$6:S$209,'Consolidated Input'!$A$6:$A$209,$F25,'Consolidated Input'!$B$6:$B$209,$C$13)</f>
        <v>1.611954459203035</v>
      </c>
      <c r="N25" s="111">
        <f>SUMIFS('Consolidated Input'!T$6:T$209,'Consolidated Input'!$A$6:$A$209,$F25,'Consolidated Input'!$B$6:$B$209,$C$13)</f>
        <v>1.081</v>
      </c>
      <c r="O25" s="111">
        <f>SUMIFS('Consolidated Input'!U$6:U$209,'Consolidated Input'!$A$6:$A$209,$F25,'Consolidated Input'!$B$6:$B$209,$C$13)</f>
        <v>1.109</v>
      </c>
      <c r="P25" s="111">
        <f>SUMIFS('Consolidated Input'!V$6:V$209,'Consolidated Input'!$A$6:$A$209,$F25,'Consolidated Input'!$B$6:$B$209,$C$13)</f>
        <v>1.109</v>
      </c>
      <c r="Q25" s="111">
        <f>SUMIFS('Consolidated Input'!W$6:W$209,'Consolidated Input'!$A$6:$A$209,$F25,'Consolidated Input'!$B$6:$B$209,$C$13)</f>
        <v>1.109</v>
      </c>
      <c r="R25" s="111">
        <f>SUMIFS('Consolidated Input'!X$6:X$209,'Consolidated Input'!$A$6:$A$209,$F25,'Consolidated Input'!$B$6:$B$209,$C$13)</f>
        <v>1.109</v>
      </c>
      <c r="S25" s="111">
        <f>SUMIFS('Consolidated Input'!Y$6:Y$209,'Consolidated Input'!$A$6:$A$209,$F25,'Consolidated Input'!$B$6:$B$209,$C$13)</f>
        <v>1.109</v>
      </c>
      <c r="U25" s="111">
        <f t="shared" si="1"/>
        <v>1.109</v>
      </c>
      <c r="V25" s="111">
        <f t="shared" si="2"/>
        <v>5.5449999999999999</v>
      </c>
    </row>
    <row r="26" spans="5:22" hidden="1" outlineLevel="1" x14ac:dyDescent="0.35">
      <c r="E26" s="10" t="str">
        <f>InpC!$E$32</f>
        <v>United Utilities</v>
      </c>
      <c r="F26" s="10" t="str">
        <f>InpC!$F$32</f>
        <v>NWT</v>
      </c>
      <c r="G26" s="22" t="s">
        <v>34</v>
      </c>
      <c r="J26" s="111">
        <f>SUMIFS('Consolidated Input'!F$6:F$209,'Consolidated Input'!$A$6:$A$209,$F26,'Consolidated Input'!$B$6:$B$209,$C$12)*J$10*Time!J$29</f>
        <v>0</v>
      </c>
      <c r="K26" s="111">
        <f>SUMIFS('Consolidated Input'!G$6:G$209,'Consolidated Input'!$A$6:$A$209,$F26,'Consolidated Input'!$B$6:$B$209,$C$12)*K$10*Time!K$29</f>
        <v>0</v>
      </c>
      <c r="L26" s="111">
        <f>SUMIFS('Consolidated Input'!H$6:H$209,'Consolidated Input'!$A$6:$A$209,$F26,'Consolidated Input'!$B$6:$B$209,$C$12)*L$10*Time!L$29</f>
        <v>0</v>
      </c>
      <c r="M26" s="111">
        <f>SUMIFS('Consolidated Input'!S$6:S$209,'Consolidated Input'!$A$6:$A$209,$F26,'Consolidated Input'!$B$6:$B$209,$C$13)</f>
        <v>0</v>
      </c>
      <c r="N26" s="111">
        <f>SUMIFS('Consolidated Input'!T$6:T$209,'Consolidated Input'!$A$6:$A$209,$F26,'Consolidated Input'!$B$6:$B$209,$C$13)</f>
        <v>0</v>
      </c>
      <c r="O26" s="111">
        <f>SUMIFS('Consolidated Input'!U$6:U$209,'Consolidated Input'!$A$6:$A$209,$F26,'Consolidated Input'!$B$6:$B$209,$C$13)</f>
        <v>0.40621507560380599</v>
      </c>
      <c r="P26" s="111">
        <f>SUMIFS('Consolidated Input'!V$6:V$209,'Consolidated Input'!$A$6:$A$209,$F26,'Consolidated Input'!$B$6:$B$209,$C$13)</f>
        <v>0.41068102801783751</v>
      </c>
      <c r="Q26" s="111">
        <f>SUMIFS('Consolidated Input'!W$6:W$209,'Consolidated Input'!$A$6:$A$209,$F26,'Consolidated Input'!$B$6:$B$209,$C$13)</f>
        <v>0.40984943852449462</v>
      </c>
      <c r="R26" s="111">
        <f>SUMIFS('Consolidated Input'!X$6:X$209,'Consolidated Input'!$A$6:$A$209,$F26,'Consolidated Input'!$B$6:$B$209,$C$13)</f>
        <v>0.41381468054647419</v>
      </c>
      <c r="S26" s="111">
        <f>SUMIFS('Consolidated Input'!Y$6:Y$209,'Consolidated Input'!$A$6:$A$209,$F26,'Consolidated Input'!$B$6:$B$209,$C$13)</f>
        <v>0.41393201494067727</v>
      </c>
      <c r="U26" s="111">
        <f t="shared" si="1"/>
        <v>0.41089844752665794</v>
      </c>
      <c r="V26" s="111">
        <f t="shared" si="2"/>
        <v>2.0544922376332897</v>
      </c>
    </row>
    <row r="27" spans="5:22" hidden="1" outlineLevel="1" x14ac:dyDescent="0.35">
      <c r="E27" s="10" t="str">
        <f>InpC!$E$33</f>
        <v>Wessex Water</v>
      </c>
      <c r="F27" s="10" t="str">
        <f>InpC!$F$33</f>
        <v>WSX</v>
      </c>
      <c r="G27" s="22" t="s">
        <v>34</v>
      </c>
      <c r="J27" s="111">
        <f>SUMIFS('Consolidated Input'!F$6:F$209,'Consolidated Input'!$A$6:$A$209,$F27,'Consolidated Input'!$B$6:$B$209,$C$12)*J$10*Time!J$29</f>
        <v>0</v>
      </c>
      <c r="K27" s="111">
        <f>SUMIFS('Consolidated Input'!G$6:G$209,'Consolidated Input'!$A$6:$A$209,$F27,'Consolidated Input'!$B$6:$B$209,$C$12)*K$10*Time!K$29</f>
        <v>0</v>
      </c>
      <c r="L27" s="111">
        <f>SUMIFS('Consolidated Input'!H$6:H$209,'Consolidated Input'!$A$6:$A$209,$F27,'Consolidated Input'!$B$6:$B$209,$C$12)*L$10*Time!L$29</f>
        <v>0</v>
      </c>
      <c r="M27" s="111">
        <f>SUMIFS('Consolidated Input'!S$6:S$209,'Consolidated Input'!$A$6:$A$209,$F27,'Consolidated Input'!$B$6:$B$209,$C$13)</f>
        <v>0</v>
      </c>
      <c r="N27" s="111">
        <f>SUMIFS('Consolidated Input'!T$6:T$209,'Consolidated Input'!$A$6:$A$209,$F27,'Consolidated Input'!$B$6:$B$209,$C$13)</f>
        <v>0</v>
      </c>
      <c r="O27" s="111">
        <f>SUMIFS('Consolidated Input'!U$6:U$209,'Consolidated Input'!$A$6:$A$209,$F27,'Consolidated Input'!$B$6:$B$209,$C$13)</f>
        <v>0</v>
      </c>
      <c r="P27" s="111">
        <f>SUMIFS('Consolidated Input'!V$6:V$209,'Consolidated Input'!$A$6:$A$209,$F27,'Consolidated Input'!$B$6:$B$209,$C$13)</f>
        <v>0</v>
      </c>
      <c r="Q27" s="111">
        <f>SUMIFS('Consolidated Input'!W$6:W$209,'Consolidated Input'!$A$6:$A$209,$F27,'Consolidated Input'!$B$6:$B$209,$C$13)</f>
        <v>0</v>
      </c>
      <c r="R27" s="111">
        <f>SUMIFS('Consolidated Input'!X$6:X$209,'Consolidated Input'!$A$6:$A$209,$F27,'Consolidated Input'!$B$6:$B$209,$C$13)</f>
        <v>0</v>
      </c>
      <c r="S27" s="111">
        <f>SUMIFS('Consolidated Input'!Y$6:Y$209,'Consolidated Input'!$A$6:$A$209,$F27,'Consolidated Input'!$B$6:$B$209,$C$13)</f>
        <v>0</v>
      </c>
      <c r="U27" s="111">
        <f t="shared" si="1"/>
        <v>0</v>
      </c>
      <c r="V27" s="111">
        <f t="shared" si="2"/>
        <v>0</v>
      </c>
    </row>
    <row r="28" spans="5:22" hidden="1" outlineLevel="1" x14ac:dyDescent="0.35">
      <c r="E28" s="10" t="str">
        <f>InpC!$E$34</f>
        <v>Yorkshire Water</v>
      </c>
      <c r="F28" s="10" t="str">
        <f>InpC!$F$34</f>
        <v>YKY</v>
      </c>
      <c r="G28" s="22" t="s">
        <v>34</v>
      </c>
      <c r="J28" s="111">
        <f>SUMIFS('Consolidated Input'!F$6:F$209,'Consolidated Input'!$A$6:$A$209,$F28,'Consolidated Input'!$B$6:$B$209,$C$12)*J$10*Time!J$29</f>
        <v>0</v>
      </c>
      <c r="K28" s="111">
        <f>SUMIFS('Consolidated Input'!G$6:G$209,'Consolidated Input'!$A$6:$A$209,$F28,'Consolidated Input'!$B$6:$B$209,$C$12)*K$10*Time!K$29</f>
        <v>0</v>
      </c>
      <c r="L28" s="111">
        <f>SUMIFS('Consolidated Input'!H$6:H$209,'Consolidated Input'!$A$6:$A$209,$F28,'Consolidated Input'!$B$6:$B$209,$C$12)*L$10*Time!L$29</f>
        <v>0</v>
      </c>
      <c r="M28" s="111">
        <f>SUMIFS('Consolidated Input'!S$6:S$209,'Consolidated Input'!$A$6:$A$209,$F28,'Consolidated Input'!$B$6:$B$209,$C$13)</f>
        <v>0</v>
      </c>
      <c r="N28" s="111">
        <f>SUMIFS('Consolidated Input'!T$6:T$209,'Consolidated Input'!$A$6:$A$209,$F28,'Consolidated Input'!$B$6:$B$209,$C$13)</f>
        <v>0</v>
      </c>
      <c r="O28" s="111">
        <f>SUMIFS('Consolidated Input'!U$6:U$209,'Consolidated Input'!$A$6:$A$209,$F28,'Consolidated Input'!$B$6:$B$209,$C$13)</f>
        <v>0.96099999999999997</v>
      </c>
      <c r="P28" s="111">
        <f>SUMIFS('Consolidated Input'!V$6:V$209,'Consolidated Input'!$A$6:$A$209,$F28,'Consolidated Input'!$B$6:$B$209,$C$13)</f>
        <v>0.96099999999999997</v>
      </c>
      <c r="Q28" s="111">
        <f>SUMIFS('Consolidated Input'!W$6:W$209,'Consolidated Input'!$A$6:$A$209,$F28,'Consolidated Input'!$B$6:$B$209,$C$13)</f>
        <v>0.96099999999999997</v>
      </c>
      <c r="R28" s="111">
        <f>SUMIFS('Consolidated Input'!X$6:X$209,'Consolidated Input'!$A$6:$A$209,$F28,'Consolidated Input'!$B$6:$B$209,$C$13)</f>
        <v>0.96099999999999997</v>
      </c>
      <c r="S28" s="111">
        <f>SUMIFS('Consolidated Input'!Y$6:Y$209,'Consolidated Input'!$A$6:$A$209,$F28,'Consolidated Input'!$B$6:$B$209,$C$13)</f>
        <v>0.96099999999999997</v>
      </c>
      <c r="U28" s="111">
        <f t="shared" si="1"/>
        <v>0.96099999999999997</v>
      </c>
      <c r="V28" s="111">
        <f t="shared" si="2"/>
        <v>4.8049999999999997</v>
      </c>
    </row>
    <row r="29" spans="5:22" hidden="1" outlineLevel="1" x14ac:dyDescent="0.35">
      <c r="E29" s="10" t="str">
        <f>InpC!$E$35</f>
        <v>Affinity Water</v>
      </c>
      <c r="F29" s="10" t="str">
        <f>InpC!$F$35</f>
        <v>AFW</v>
      </c>
      <c r="G29" s="22" t="s">
        <v>34</v>
      </c>
      <c r="J29" s="111">
        <f>SUMIFS('Consolidated Input'!F$6:F$209,'Consolidated Input'!$A$6:$A$209,$F29,'Consolidated Input'!$B$6:$B$209,$C$12)*J$10*Time!J$29</f>
        <v>0</v>
      </c>
      <c r="K29" s="111">
        <f>SUMIFS('Consolidated Input'!G$6:G$209,'Consolidated Input'!$A$6:$A$209,$F29,'Consolidated Input'!$B$6:$B$209,$C$12)*K$10*Time!K$29</f>
        <v>3.0220994475138128E-2</v>
      </c>
      <c r="L29" s="111">
        <f>SUMIFS('Consolidated Input'!H$6:H$209,'Consolidated Input'!$A$6:$A$209,$F29,'Consolidated Input'!$B$6:$B$209,$C$12)*L$10*Time!L$29</f>
        <v>1.2999999999999999E-2</v>
      </c>
      <c r="M29" s="111">
        <f>SUMIFS('Consolidated Input'!S$6:S$209,'Consolidated Input'!$A$6:$A$209,$F29,'Consolidated Input'!$B$6:$B$209,$C$13)</f>
        <v>7.0000000000000001E-3</v>
      </c>
      <c r="N29" s="111">
        <f>SUMIFS('Consolidated Input'!T$6:T$209,'Consolidated Input'!$A$6:$A$209,$F29,'Consolidated Input'!$B$6:$B$209,$C$13)</f>
        <v>1.4999999999999999E-2</v>
      </c>
      <c r="O29" s="112">
        <f>SUMIFS('Consolidated Input'!U$6:U$209,'Consolidated Input'!$A$6:$A$209,$F29,'Consolidated Input'!$B$6:$B$209,$C$13)</f>
        <v>1.4999999999999999E-2</v>
      </c>
      <c r="P29" s="112">
        <f>SUMIFS('Consolidated Input'!V$6:V$209,'Consolidated Input'!$A$6:$A$209,$F29,'Consolidated Input'!$B$6:$B$209,$C$13)</f>
        <v>1.4999999999999999E-2</v>
      </c>
      <c r="Q29" s="112">
        <f>SUMIFS('Consolidated Input'!W$6:W$209,'Consolidated Input'!$A$6:$A$209,$F29,'Consolidated Input'!$B$6:$B$209,$C$13)</f>
        <v>1.4999999999999999E-2</v>
      </c>
      <c r="R29" s="112">
        <f>SUMIFS('Consolidated Input'!X$6:X$209,'Consolidated Input'!$A$6:$A$209,$F29,'Consolidated Input'!$B$6:$B$209,$C$13)</f>
        <v>1.4999999999999999E-2</v>
      </c>
      <c r="S29" s="112">
        <f>SUMIFS('Consolidated Input'!Y$6:Y$209,'Consolidated Input'!$A$6:$A$209,$F29,'Consolidated Input'!$B$6:$B$209,$C$13)</f>
        <v>1.4999999999999999E-2</v>
      </c>
      <c r="U29" s="111">
        <f t="shared" si="1"/>
        <v>1.4999999999999999E-2</v>
      </c>
      <c r="V29" s="111">
        <f t="shared" si="2"/>
        <v>7.4999999999999997E-2</v>
      </c>
    </row>
    <row r="30" spans="5:22" hidden="1" outlineLevel="1" x14ac:dyDescent="0.35">
      <c r="E30" s="10" t="str">
        <f>InpC!$E$36</f>
        <v>Portsmouth Water</v>
      </c>
      <c r="F30" s="10" t="str">
        <f>InpC!$F$36</f>
        <v>PRT</v>
      </c>
      <c r="G30" s="22" t="s">
        <v>34</v>
      </c>
      <c r="J30" s="111">
        <f>SUMIFS('Consolidated Input'!F$6:F$209,'Consolidated Input'!$A$6:$A$209,$F30,'Consolidated Input'!$B$6:$B$209,$C$12)*J$10*Time!J$29</f>
        <v>0</v>
      </c>
      <c r="K30" s="111">
        <f>SUMIFS('Consolidated Input'!G$6:G$209,'Consolidated Input'!$A$6:$A$209,$F30,'Consolidated Input'!$B$6:$B$209,$C$12)*K$10*Time!K$29</f>
        <v>0</v>
      </c>
      <c r="L30" s="111">
        <f>SUMIFS('Consolidated Input'!H$6:H$209,'Consolidated Input'!$A$6:$A$209,$F30,'Consolidated Input'!$B$6:$B$209,$C$12)*L$10*Time!L$29</f>
        <v>0</v>
      </c>
      <c r="M30" s="111">
        <f>SUMIFS('Consolidated Input'!S$6:S$209,'Consolidated Input'!$A$6:$A$209,$F30,'Consolidated Input'!$B$6:$B$209,$C$13)</f>
        <v>0.15159137577002049</v>
      </c>
      <c r="N30" s="111">
        <f>SUMIFS('Consolidated Input'!T$6:T$209,'Consolidated Input'!$A$6:$A$209,$F30,'Consolidated Input'!$B$6:$B$209,$C$13)</f>
        <v>0.15</v>
      </c>
      <c r="O30" s="111">
        <f>SUMIFS('Consolidated Input'!U$6:U$209,'Consolidated Input'!$A$6:$A$209,$F30,'Consolidated Input'!$B$6:$B$209,$C$13)</f>
        <v>0.20200000000000001</v>
      </c>
      <c r="P30" s="111">
        <f>SUMIFS('Consolidated Input'!V$6:V$209,'Consolidated Input'!$A$6:$A$209,$F30,'Consolidated Input'!$B$6:$B$209,$C$13)</f>
        <v>0.20399999999999999</v>
      </c>
      <c r="Q30" s="111">
        <f>SUMIFS('Consolidated Input'!W$6:W$209,'Consolidated Input'!$A$6:$A$209,$F30,'Consolidated Input'!$B$6:$B$209,$C$13)</f>
        <v>0.20200000000000001</v>
      </c>
      <c r="R30" s="111">
        <f>SUMIFS('Consolidated Input'!X$6:X$209,'Consolidated Input'!$A$6:$A$209,$F30,'Consolidated Input'!$B$6:$B$209,$C$13)</f>
        <v>0.20200000000000001</v>
      </c>
      <c r="S30" s="111">
        <f>SUMIFS('Consolidated Input'!Y$6:Y$209,'Consolidated Input'!$A$6:$A$209,$F30,'Consolidated Input'!$B$6:$B$209,$C$13)</f>
        <v>0.20200000000000001</v>
      </c>
      <c r="U30" s="111">
        <f t="shared" si="1"/>
        <v>0.2024</v>
      </c>
      <c r="V30" s="111">
        <f t="shared" si="2"/>
        <v>1.012</v>
      </c>
    </row>
    <row r="31" spans="5:22" hidden="1" outlineLevel="1" x14ac:dyDescent="0.35">
      <c r="E31" s="10" t="str">
        <f>InpC!$E$37</f>
        <v>South East Water</v>
      </c>
      <c r="F31" s="10" t="str">
        <f>InpC!$F$37</f>
        <v>SEW</v>
      </c>
      <c r="G31" s="22" t="s">
        <v>34</v>
      </c>
      <c r="J31" s="111">
        <f>SUMIFS('Consolidated Input'!F$6:F$209,'Consolidated Input'!$A$6:$A$209,$F31,'Consolidated Input'!$B$6:$B$209,$C$12)*J$10*Time!J$29</f>
        <v>7.2592523364485975E-2</v>
      </c>
      <c r="K31" s="111">
        <f>SUMIFS('Consolidated Input'!G$6:G$209,'Consolidated Input'!$A$6:$A$209,$F31,'Consolidated Input'!$B$6:$B$209,$C$12)*K$10*Time!K$29</f>
        <v>0.19341436464088402</v>
      </c>
      <c r="L31" s="111">
        <f>SUMIFS('Consolidated Input'!H$6:H$209,'Consolidated Input'!$A$6:$A$209,$F31,'Consolidated Input'!$B$6:$B$209,$C$12)*L$10*Time!L$29</f>
        <v>0.109</v>
      </c>
      <c r="M31" s="111">
        <f>SUMIFS('Consolidated Input'!S$6:S$209,'Consolidated Input'!$A$6:$A$209,$F31,'Consolidated Input'!$B$6:$B$209,$C$13)</f>
        <v>0.3695040310471483</v>
      </c>
      <c r="N31" s="111">
        <f>SUMIFS('Consolidated Input'!T$6:T$209,'Consolidated Input'!$A$6:$A$209,$F31,'Consolidated Input'!$B$6:$B$209,$C$13)</f>
        <v>0.48036680478063809</v>
      </c>
      <c r="O31" s="111">
        <f>SUMIFS('Consolidated Input'!U$6:U$209,'Consolidated Input'!$A$6:$A$209,$F31,'Consolidated Input'!$B$6:$B$209,$C$13)</f>
        <v>0.48</v>
      </c>
      <c r="P31" s="111">
        <f>SUMIFS('Consolidated Input'!V$6:V$209,'Consolidated Input'!$A$6:$A$209,$F31,'Consolidated Input'!$B$6:$B$209,$C$13)</f>
        <v>0.48</v>
      </c>
      <c r="Q31" s="111">
        <f>SUMIFS('Consolidated Input'!W$6:W$209,'Consolidated Input'!$A$6:$A$209,$F31,'Consolidated Input'!$B$6:$B$209,$C$13)</f>
        <v>0.48</v>
      </c>
      <c r="R31" s="111">
        <f>SUMIFS('Consolidated Input'!X$6:X$209,'Consolidated Input'!$A$6:$A$209,$F31,'Consolidated Input'!$B$6:$B$209,$C$13)</f>
        <v>0.48</v>
      </c>
      <c r="S31" s="111">
        <f>SUMIFS('Consolidated Input'!Y$6:Y$209,'Consolidated Input'!$A$6:$A$209,$F31,'Consolidated Input'!$B$6:$B$209,$C$13)</f>
        <v>0.48</v>
      </c>
      <c r="U31" s="111">
        <f t="shared" si="1"/>
        <v>0.48</v>
      </c>
      <c r="V31" s="111">
        <f t="shared" si="2"/>
        <v>2.4</v>
      </c>
    </row>
    <row r="32" spans="5:22" hidden="1" outlineLevel="1" x14ac:dyDescent="0.35">
      <c r="E32" s="10" t="str">
        <f>InpC!$E$38</f>
        <v>South Staffs Water</v>
      </c>
      <c r="F32" s="10" t="str">
        <f>InpC!$F$38</f>
        <v>SSC</v>
      </c>
      <c r="G32" s="22" t="s">
        <v>34</v>
      </c>
      <c r="J32" s="111">
        <f>SUMIFS('Consolidated Input'!F$6:F$209,'Consolidated Input'!$A$6:$A$209,$F32,'Consolidated Input'!$B$6:$B$209,$C$12)*J$10*Time!J$29</f>
        <v>0.22902429906542057</v>
      </c>
      <c r="K32" s="111">
        <f>SUMIFS('Consolidated Input'!G$6:G$209,'Consolidated Input'!$A$6:$A$209,$F32,'Consolidated Input'!$B$6:$B$209,$C$12)*K$10*Time!K$29</f>
        <v>0.27299631675874775</v>
      </c>
      <c r="L32" s="111">
        <f>SUMIFS('Consolidated Input'!H$6:H$209,'Consolidated Input'!$A$6:$A$209,$F32,'Consolidated Input'!$B$6:$B$209,$C$12)*L$10*Time!L$29</f>
        <v>0.253</v>
      </c>
      <c r="M32" s="111">
        <f>SUMIFS('Consolidated Input'!S$6:S$209,'Consolidated Input'!$A$6:$A$209,$F32,'Consolidated Input'!$B$6:$B$209,$C$13)</f>
        <v>0.253</v>
      </c>
      <c r="N32" s="111">
        <f>SUMIFS('Consolidated Input'!T$6:T$209,'Consolidated Input'!$A$6:$A$209,$F32,'Consolidated Input'!$B$6:$B$209,$C$13)</f>
        <v>0.253</v>
      </c>
      <c r="O32" s="111">
        <f>SUMIFS('Consolidated Input'!U$6:U$209,'Consolidated Input'!$A$6:$A$209,$F32,'Consolidated Input'!$B$6:$B$209,$C$13)</f>
        <v>0.253</v>
      </c>
      <c r="P32" s="111">
        <f>SUMIFS('Consolidated Input'!V$6:V$209,'Consolidated Input'!$A$6:$A$209,$F32,'Consolidated Input'!$B$6:$B$209,$C$13)</f>
        <v>0.253</v>
      </c>
      <c r="Q32" s="111">
        <f>SUMIFS('Consolidated Input'!W$6:W$209,'Consolidated Input'!$A$6:$A$209,$F32,'Consolidated Input'!$B$6:$B$209,$C$13)</f>
        <v>0.253</v>
      </c>
      <c r="R32" s="111">
        <f>SUMIFS('Consolidated Input'!X$6:X$209,'Consolidated Input'!$A$6:$A$209,$F32,'Consolidated Input'!$B$6:$B$209,$C$13)</f>
        <v>0.253</v>
      </c>
      <c r="S32" s="111">
        <f>SUMIFS('Consolidated Input'!Y$6:Y$209,'Consolidated Input'!$A$6:$A$209,$F32,'Consolidated Input'!$B$6:$B$209,$C$13)</f>
        <v>0.253</v>
      </c>
      <c r="U32" s="111">
        <f t="shared" si="1"/>
        <v>0.253</v>
      </c>
      <c r="V32" s="111">
        <f t="shared" si="2"/>
        <v>1.2650000000000001</v>
      </c>
    </row>
    <row r="33" spans="3:22" hidden="1" outlineLevel="1" x14ac:dyDescent="0.35">
      <c r="E33" s="10" t="str">
        <f>InpC!$E$39</f>
        <v>SES Water</v>
      </c>
      <c r="F33" s="10" t="str">
        <f>InpC!$F$39</f>
        <v>SES</v>
      </c>
      <c r="G33" s="22" t="s">
        <v>34</v>
      </c>
      <c r="J33" s="111">
        <f>SUMIFS('Consolidated Input'!F$6:F$209,'Consolidated Input'!$A$6:$A$209,$F33,'Consolidated Input'!$B$6:$B$209,$C$12)*J$10*Time!J$29</f>
        <v>0</v>
      </c>
      <c r="K33" s="111">
        <f>SUMIFS('Consolidated Input'!G$6:G$209,'Consolidated Input'!$A$6:$A$209,$F33,'Consolidated Input'!$B$6:$B$209,$C$12)*K$10*Time!K$29</f>
        <v>0</v>
      </c>
      <c r="L33" s="111">
        <f>SUMIFS('Consolidated Input'!H$6:H$209,'Consolidated Input'!$A$6:$A$209,$F33,'Consolidated Input'!$B$6:$B$209,$C$12)*L$10*Time!L$29</f>
        <v>0</v>
      </c>
      <c r="M33" s="111">
        <f>SUMIFS('Consolidated Input'!S$6:S$209,'Consolidated Input'!$A$6:$A$209,$F33,'Consolidated Input'!$B$6:$B$209,$C$13)</f>
        <v>0</v>
      </c>
      <c r="N33" s="111">
        <f>SUMIFS('Consolidated Input'!T$6:T$209,'Consolidated Input'!$A$6:$A$209,$F33,'Consolidated Input'!$B$6:$B$209,$C$13)</f>
        <v>0</v>
      </c>
      <c r="O33" s="111">
        <f>SUMIFS('Consolidated Input'!U$6:U$209,'Consolidated Input'!$A$6:$A$209,$F33,'Consolidated Input'!$B$6:$B$209,$C$13)</f>
        <v>0</v>
      </c>
      <c r="P33" s="111">
        <f>SUMIFS('Consolidated Input'!V$6:V$209,'Consolidated Input'!$A$6:$A$209,$F33,'Consolidated Input'!$B$6:$B$209,$C$13)</f>
        <v>0</v>
      </c>
      <c r="Q33" s="111">
        <f>SUMIFS('Consolidated Input'!W$6:W$209,'Consolidated Input'!$A$6:$A$209,$F33,'Consolidated Input'!$B$6:$B$209,$C$13)</f>
        <v>0</v>
      </c>
      <c r="R33" s="111">
        <f>SUMIFS('Consolidated Input'!X$6:X$209,'Consolidated Input'!$A$6:$A$209,$F33,'Consolidated Input'!$B$6:$B$209,$C$13)</f>
        <v>0</v>
      </c>
      <c r="S33" s="111">
        <f>SUMIFS('Consolidated Input'!Y$6:Y$209,'Consolidated Input'!$A$6:$A$209,$F33,'Consolidated Input'!$B$6:$B$209,$C$13)</f>
        <v>0</v>
      </c>
      <c r="U33" s="111">
        <f t="shared" si="1"/>
        <v>0</v>
      </c>
      <c r="V33" s="111">
        <f t="shared" si="2"/>
        <v>0</v>
      </c>
    </row>
    <row r="34" spans="3:22" hidden="1" outlineLevel="1" x14ac:dyDescent="0.35">
      <c r="E34" s="10" t="str">
        <f>InpC!$E$40</f>
        <v>South West Water</v>
      </c>
      <c r="F34" s="10" t="str">
        <f>InpC!$F$40</f>
        <v>SWB</v>
      </c>
      <c r="G34" s="22" t="s">
        <v>34</v>
      </c>
      <c r="J34" s="111">
        <f>SUMIFS('Consolidated Input'!F$6:F$209,'Consolidated Input'!$A$6:$A$209,$F34,'Consolidated Input'!$B$6:$B$209,$C$12)*J$10*Time!J$29</f>
        <v>0</v>
      </c>
      <c r="K34" s="111">
        <f>SUMIFS('Consolidated Input'!G$6:G$209,'Consolidated Input'!$A$6:$A$209,$F34,'Consolidated Input'!$B$6:$B$209,$C$12)*K$10*Time!K$29</f>
        <v>0</v>
      </c>
      <c r="L34" s="111">
        <f>SUMIFS('Consolidated Input'!H$6:H$209,'Consolidated Input'!$A$6:$A$209,$F34,'Consolidated Input'!$B$6:$B$209,$C$12)*L$10*Time!L$29</f>
        <v>0</v>
      </c>
      <c r="M34" s="111">
        <f>SUMIFS('Consolidated Input'!S$6:S$209,'Consolidated Input'!$A$6:$A$209,$F34,'Consolidated Input'!$B$6:$B$209,$C$13)</f>
        <v>0</v>
      </c>
      <c r="N34" s="111">
        <f>SUMIFS('Consolidated Input'!T$6:T$209,'Consolidated Input'!$A$6:$A$209,$F34,'Consolidated Input'!$B$6:$B$209,$C$13)</f>
        <v>0</v>
      </c>
      <c r="O34" s="111">
        <f>SUMIFS('Consolidated Input'!U$6:U$209,'Consolidated Input'!$A$6:$A$209,$F34,'Consolidated Input'!$B$6:$B$209,$C$13)</f>
        <v>0</v>
      </c>
      <c r="P34" s="111">
        <f>SUMIFS('Consolidated Input'!V$6:V$209,'Consolidated Input'!$A$6:$A$209,$F34,'Consolidated Input'!$B$6:$B$209,$C$13)</f>
        <v>0</v>
      </c>
      <c r="Q34" s="111">
        <f>SUMIFS('Consolidated Input'!W$6:W$209,'Consolidated Input'!$A$6:$A$209,$F34,'Consolidated Input'!$B$6:$B$209,$C$13)</f>
        <v>0</v>
      </c>
      <c r="R34" s="111">
        <f>SUMIFS('Consolidated Input'!X$6:X$209,'Consolidated Input'!$A$6:$A$209,$F34,'Consolidated Input'!$B$6:$B$209,$C$13)</f>
        <v>0</v>
      </c>
      <c r="S34" s="111">
        <f>SUMIFS('Consolidated Input'!Y$6:Y$209,'Consolidated Input'!$A$6:$A$209,$F34,'Consolidated Input'!$B$6:$B$209,$C$13)</f>
        <v>0</v>
      </c>
      <c r="U34" s="111">
        <f t="shared" si="1"/>
        <v>0</v>
      </c>
      <c r="V34" s="111">
        <f t="shared" si="2"/>
        <v>0</v>
      </c>
    </row>
    <row r="35" spans="3:22" hidden="1" outlineLevel="1" x14ac:dyDescent="0.35">
      <c r="E35" s="10" t="str">
        <f>InpC!$E$41</f>
        <v>Bristol Water</v>
      </c>
      <c r="F35" s="10" t="str">
        <f>InpC!$F$41</f>
        <v>BRL</v>
      </c>
      <c r="G35" s="22" t="s">
        <v>34</v>
      </c>
      <c r="J35" s="111">
        <f>SUMIFS('Consolidated Input'!F$6:F$209,'Consolidated Input'!$A$6:$A$209,$F35,'Consolidated Input'!$B$6:$B$209,$C$12)*J$10*Time!J$29</f>
        <v>0</v>
      </c>
      <c r="K35" s="111">
        <f>SUMIFS('Consolidated Input'!G$6:G$209,'Consolidated Input'!$A$6:$A$209,$F35,'Consolidated Input'!$B$6:$B$209,$C$12)*K$10*Time!K$29</f>
        <v>0</v>
      </c>
      <c r="L35" s="111">
        <f>SUMIFS('Consolidated Input'!H$6:H$209,'Consolidated Input'!$A$6:$A$209,$F35,'Consolidated Input'!$B$6:$B$209,$C$12)*L$10*Time!L$29</f>
        <v>0</v>
      </c>
      <c r="M35" s="111">
        <f>SUMIFS('Consolidated Input'!S$6:S$209,'Consolidated Input'!$A$6:$A$209,$F35,'Consolidated Input'!$B$6:$B$209,$C$13)</f>
        <v>0</v>
      </c>
      <c r="N35" s="111">
        <f>SUMIFS('Consolidated Input'!T$6:T$209,'Consolidated Input'!$A$6:$A$209,$F35,'Consolidated Input'!$B$6:$B$209,$C$13)</f>
        <v>0</v>
      </c>
      <c r="O35" s="111">
        <f>SUMIFS('Consolidated Input'!U$6:U$209,'Consolidated Input'!$A$6:$A$209,$F35,'Consolidated Input'!$B$6:$B$209,$C$13)</f>
        <v>0</v>
      </c>
      <c r="P35" s="111">
        <f>SUMIFS('Consolidated Input'!V$6:V$209,'Consolidated Input'!$A$6:$A$209,$F35,'Consolidated Input'!$B$6:$B$209,$C$13)</f>
        <v>0</v>
      </c>
      <c r="Q35" s="111">
        <f>SUMIFS('Consolidated Input'!W$6:W$209,'Consolidated Input'!$A$6:$A$209,$F35,'Consolidated Input'!$B$6:$B$209,$C$13)</f>
        <v>0</v>
      </c>
      <c r="R35" s="111">
        <f>SUMIFS('Consolidated Input'!X$6:X$209,'Consolidated Input'!$A$6:$A$209,$F35,'Consolidated Input'!$B$6:$B$209,$C$13)</f>
        <v>0</v>
      </c>
      <c r="S35" s="111">
        <f>SUMIFS('Consolidated Input'!Y$6:Y$209,'Consolidated Input'!$A$6:$A$209,$F35,'Consolidated Input'!$B$6:$B$209,$C$13)</f>
        <v>0</v>
      </c>
      <c r="U35" s="111">
        <f t="shared" si="1"/>
        <v>0</v>
      </c>
      <c r="V35" s="111">
        <f t="shared" si="2"/>
        <v>0</v>
      </c>
    </row>
    <row r="36" spans="3:22" hidden="1" outlineLevel="1" x14ac:dyDescent="0.35">
      <c r="E36" s="10" t="s">
        <v>147</v>
      </c>
      <c r="G36" s="22" t="s">
        <v>34</v>
      </c>
      <c r="J36" s="133">
        <f>SUM(J19:J35)</f>
        <v>1.3312037383177571</v>
      </c>
      <c r="K36" s="133">
        <f t="shared" ref="K36:S36" si="3">SUM(K19:K35)</f>
        <v>1.6964051565377538</v>
      </c>
      <c r="L36" s="133">
        <f t="shared" si="3"/>
        <v>3.3810000000000002</v>
      </c>
      <c r="M36" s="133">
        <f t="shared" si="3"/>
        <v>3.1330498660202042</v>
      </c>
      <c r="N36" s="133">
        <f t="shared" si="3"/>
        <v>2.0893668047806382</v>
      </c>
      <c r="O36" s="133">
        <f t="shared" si="3"/>
        <v>4.1262150756038061</v>
      </c>
      <c r="P36" s="133">
        <f t="shared" si="3"/>
        <v>4.1326810280178377</v>
      </c>
      <c r="Q36" s="133">
        <f t="shared" si="3"/>
        <v>4.1298494385244942</v>
      </c>
      <c r="R36" s="133">
        <f t="shared" si="3"/>
        <v>4.1338146805464735</v>
      </c>
      <c r="S36" s="133">
        <f t="shared" si="3"/>
        <v>4.1339320149406769</v>
      </c>
      <c r="U36" s="133">
        <f t="shared" ref="U36:V36" si="4">SUM(U19:U35)</f>
        <v>4.1312984475266576</v>
      </c>
      <c r="V36" s="133">
        <f t="shared" si="4"/>
        <v>20.656492237633287</v>
      </c>
    </row>
    <row r="38" spans="3:22" x14ac:dyDescent="0.35">
      <c r="C38" s="11" t="str">
        <f>C12</f>
        <v>W3037TOT</v>
      </c>
      <c r="D38" s="5" t="str">
        <f>D12</f>
        <v>Other operating expenditure - Costs associated with lane rental schemes - Total</v>
      </c>
      <c r="F38" s="131">
        <f>MATCH(D38,APRChoices,0)</f>
        <v>2</v>
      </c>
      <c r="G38" s="22" t="s">
        <v>125</v>
      </c>
      <c r="J38" s="74">
        <f>J$2</f>
        <v>44286</v>
      </c>
      <c r="K38" s="74">
        <f t="shared" ref="K38:V38" si="5">K$2</f>
        <v>44651</v>
      </c>
      <c r="L38" s="74">
        <f t="shared" si="5"/>
        <v>45016</v>
      </c>
      <c r="M38" s="74">
        <f t="shared" si="5"/>
        <v>45382</v>
      </c>
      <c r="N38" s="74">
        <f t="shared" si="5"/>
        <v>45747</v>
      </c>
      <c r="O38" s="74">
        <f t="shared" si="5"/>
        <v>46112</v>
      </c>
      <c r="P38" s="74">
        <f t="shared" si="5"/>
        <v>46477</v>
      </c>
      <c r="Q38" s="74">
        <f t="shared" si="5"/>
        <v>46843</v>
      </c>
      <c r="R38" s="74">
        <f t="shared" si="5"/>
        <v>47208</v>
      </c>
      <c r="S38" s="74">
        <f t="shared" si="5"/>
        <v>47573</v>
      </c>
      <c r="U38" s="74" t="str">
        <f t="shared" si="5"/>
        <v>PR24 Average</v>
      </c>
      <c r="V38" s="74" t="str">
        <f t="shared" si="5"/>
        <v>PR24 Total</v>
      </c>
    </row>
    <row r="39" spans="3:22" x14ac:dyDescent="0.35">
      <c r="C39" s="5" t="str">
        <f>INDEX(InpC!$G$57:$G$62,'Lane Rental Schemes'!F38,)</f>
        <v>CW2_012TOT_PR24</v>
      </c>
      <c r="D39" s="5" t="str">
        <f>INDEX(InpC!$G$48:$G$53,'Lane Rental Schemes'!F38,)</f>
        <v>Location specific costs &amp; obligations - Costs associated with lane rental schemes - Total</v>
      </c>
      <c r="G39" s="22" t="s">
        <v>126</v>
      </c>
      <c r="J39" s="74"/>
      <c r="K39" s="74"/>
      <c r="L39" s="74"/>
      <c r="M39" s="74"/>
      <c r="N39" s="74"/>
      <c r="O39" s="74"/>
      <c r="P39" s="74"/>
      <c r="Q39" s="74"/>
      <c r="R39" s="74"/>
      <c r="S39" s="74"/>
      <c r="U39" s="74"/>
      <c r="V39" s="74"/>
    </row>
    <row r="40" spans="3:22" collapsed="1" x14ac:dyDescent="0.35">
      <c r="E40" s="5" t="s">
        <v>179</v>
      </c>
    </row>
    <row r="41" spans="3:22" hidden="1" outlineLevel="1" x14ac:dyDescent="0.35"/>
    <row r="42" spans="3:22" hidden="1" outlineLevel="1" x14ac:dyDescent="0.35">
      <c r="E42" s="130" t="s">
        <v>177</v>
      </c>
      <c r="J42" s="8"/>
      <c r="K42" s="8"/>
      <c r="L42" s="8"/>
      <c r="M42" s="8"/>
      <c r="N42" s="8"/>
      <c r="O42" s="8"/>
      <c r="P42" s="8"/>
      <c r="Q42" s="8"/>
      <c r="R42" s="8"/>
      <c r="S42" s="8"/>
      <c r="U42" s="8"/>
      <c r="V42" s="8"/>
    </row>
    <row r="43" spans="3:22" hidden="1" outlineLevel="1" x14ac:dyDescent="0.35">
      <c r="E43" s="129">
        <f>InpT!$F$8</f>
        <v>45016</v>
      </c>
      <c r="G43" s="22" t="s">
        <v>178</v>
      </c>
      <c r="J43" s="8"/>
      <c r="K43" s="8"/>
      <c r="L43" s="8"/>
      <c r="M43" s="8"/>
      <c r="N43" s="8"/>
      <c r="O43" s="8"/>
      <c r="P43" s="8"/>
      <c r="Q43" s="8"/>
      <c r="R43" s="8"/>
      <c r="S43" s="8"/>
      <c r="U43" s="8"/>
      <c r="V43" s="8"/>
    </row>
    <row r="44" spans="3:22" hidden="1" outlineLevel="1" x14ac:dyDescent="0.35">
      <c r="E44" s="129"/>
      <c r="J44" s="8"/>
      <c r="K44" s="8"/>
      <c r="L44" s="8"/>
      <c r="M44" s="8"/>
      <c r="N44" s="8"/>
      <c r="O44" s="8"/>
      <c r="P44" s="8"/>
      <c r="Q44" s="8"/>
      <c r="R44" s="8"/>
      <c r="S44" s="8"/>
      <c r="U44" s="8"/>
      <c r="V44" s="8"/>
    </row>
    <row r="45" spans="3:22" hidden="1" outlineLevel="1" x14ac:dyDescent="0.35">
      <c r="E45" s="10" t="str">
        <f>InpC!$E$25</f>
        <v>Anglian Water</v>
      </c>
      <c r="F45" s="10" t="str">
        <f>InpC!$F$25</f>
        <v>ANH</v>
      </c>
      <c r="G45" s="22" t="s">
        <v>34</v>
      </c>
      <c r="J45" s="128"/>
      <c r="K45" s="128"/>
      <c r="L45" s="128"/>
      <c r="M45" s="128"/>
      <c r="N45" s="128"/>
      <c r="O45" s="128"/>
      <c r="P45" s="128"/>
      <c r="Q45" s="128"/>
      <c r="R45" s="128"/>
      <c r="S45" s="128"/>
      <c r="U45" s="111">
        <f t="shared" ref="U45:U61" si="6">IFERROR(AVERAGE(O45:S45),0)</f>
        <v>0</v>
      </c>
      <c r="V45" s="111">
        <f t="shared" ref="V45:V61" si="7">SUM(O45:S45)</f>
        <v>0</v>
      </c>
    </row>
    <row r="46" spans="3:22" hidden="1" outlineLevel="1" x14ac:dyDescent="0.35">
      <c r="E46" s="10" t="str">
        <f>InpC!$E$26</f>
        <v>Dŵr Cymru</v>
      </c>
      <c r="F46" s="10" t="str">
        <f>InpC!$F$26</f>
        <v>WSH</v>
      </c>
      <c r="G46" s="22" t="s">
        <v>34</v>
      </c>
      <c r="J46" s="128"/>
      <c r="K46" s="128"/>
      <c r="L46" s="128"/>
      <c r="M46" s="128"/>
      <c r="N46" s="128"/>
      <c r="O46" s="128"/>
      <c r="P46" s="128"/>
      <c r="Q46" s="128"/>
      <c r="R46" s="128"/>
      <c r="S46" s="128"/>
      <c r="U46" s="111">
        <f t="shared" si="6"/>
        <v>0</v>
      </c>
      <c r="V46" s="111">
        <f t="shared" si="7"/>
        <v>0</v>
      </c>
    </row>
    <row r="47" spans="3:22" hidden="1" outlineLevel="1" x14ac:dyDescent="0.35">
      <c r="E47" s="10" t="str">
        <f>InpC!$E$27</f>
        <v>Hafren Dyfrdwy</v>
      </c>
      <c r="F47" s="10" t="str">
        <f>InpC!$F$27</f>
        <v>HDD</v>
      </c>
      <c r="G47" s="22" t="s">
        <v>34</v>
      </c>
      <c r="J47" s="128"/>
      <c r="K47" s="128"/>
      <c r="L47" s="128"/>
      <c r="M47" s="128"/>
      <c r="N47" s="128"/>
      <c r="O47" s="128"/>
      <c r="P47" s="128"/>
      <c r="Q47" s="128"/>
      <c r="R47" s="128"/>
      <c r="S47" s="128"/>
      <c r="U47" s="111">
        <f t="shared" si="6"/>
        <v>0</v>
      </c>
      <c r="V47" s="111">
        <f t="shared" si="7"/>
        <v>0</v>
      </c>
    </row>
    <row r="48" spans="3:22" hidden="1" outlineLevel="1" x14ac:dyDescent="0.35">
      <c r="E48" s="10" t="str">
        <f>InpC!$E$28</f>
        <v>Northumbrian Water</v>
      </c>
      <c r="F48" s="10" t="str">
        <f>InpC!$F$28</f>
        <v>NES</v>
      </c>
      <c r="G48" s="22" t="s">
        <v>34</v>
      </c>
      <c r="J48" s="128"/>
      <c r="K48" s="128"/>
      <c r="L48" s="128"/>
      <c r="M48" s="128"/>
      <c r="N48" s="128"/>
      <c r="O48" s="128"/>
      <c r="P48" s="128"/>
      <c r="Q48" s="128"/>
      <c r="R48" s="128"/>
      <c r="S48" s="128"/>
      <c r="U48" s="111">
        <f t="shared" si="6"/>
        <v>0</v>
      </c>
      <c r="V48" s="111">
        <f t="shared" si="7"/>
        <v>0</v>
      </c>
    </row>
    <row r="49" spans="3:22" hidden="1" outlineLevel="1" x14ac:dyDescent="0.35">
      <c r="E49" s="10" t="str">
        <f>InpC!$E$29</f>
        <v>Severn Trent Water</v>
      </c>
      <c r="F49" s="10" t="str">
        <f>InpC!$F$29</f>
        <v>SVE</v>
      </c>
      <c r="G49" s="22" t="s">
        <v>34</v>
      </c>
      <c r="J49" s="128"/>
      <c r="K49" s="128"/>
      <c r="L49" s="128"/>
      <c r="M49" s="128"/>
      <c r="N49" s="128"/>
      <c r="O49" s="128"/>
      <c r="P49" s="128"/>
      <c r="Q49" s="128"/>
      <c r="R49" s="128"/>
      <c r="S49" s="128"/>
      <c r="U49" s="111">
        <f t="shared" si="6"/>
        <v>0</v>
      </c>
      <c r="V49" s="111">
        <f t="shared" si="7"/>
        <v>0</v>
      </c>
    </row>
    <row r="50" spans="3:22" hidden="1" outlineLevel="1" x14ac:dyDescent="0.35">
      <c r="E50" s="10" t="str">
        <f>InpC!$E$30</f>
        <v>Southern Water</v>
      </c>
      <c r="F50" s="10" t="str">
        <f>InpC!$F$30</f>
        <v>SRN</v>
      </c>
      <c r="G50" s="22" t="s">
        <v>34</v>
      </c>
      <c r="J50" s="128"/>
      <c r="K50" s="128"/>
      <c r="L50" s="128"/>
      <c r="M50" s="128"/>
      <c r="N50" s="128"/>
      <c r="O50" s="128"/>
      <c r="P50" s="128"/>
      <c r="Q50" s="128"/>
      <c r="R50" s="128"/>
      <c r="S50" s="128"/>
      <c r="U50" s="111">
        <f t="shared" si="6"/>
        <v>0</v>
      </c>
      <c r="V50" s="111">
        <f t="shared" si="7"/>
        <v>0</v>
      </c>
    </row>
    <row r="51" spans="3:22" hidden="1" outlineLevel="1" x14ac:dyDescent="0.35">
      <c r="E51" s="10" t="str">
        <f>InpC!$E$31</f>
        <v>Thames Water</v>
      </c>
      <c r="F51" s="10" t="str">
        <f>InpC!$F$31</f>
        <v>TMS</v>
      </c>
      <c r="G51" s="22" t="s">
        <v>34</v>
      </c>
      <c r="J51" s="128"/>
      <c r="K51" s="128"/>
      <c r="L51" s="128"/>
      <c r="M51" s="128"/>
      <c r="N51" s="128"/>
      <c r="O51" s="128"/>
      <c r="P51" s="128"/>
      <c r="Q51" s="128"/>
      <c r="R51" s="128"/>
      <c r="S51" s="128"/>
      <c r="U51" s="111">
        <f t="shared" si="6"/>
        <v>0</v>
      </c>
      <c r="V51" s="111">
        <f t="shared" si="7"/>
        <v>0</v>
      </c>
    </row>
    <row r="52" spans="3:22" hidden="1" outlineLevel="1" x14ac:dyDescent="0.35">
      <c r="E52" s="10" t="str">
        <f>InpC!$E$32</f>
        <v>United Utilities</v>
      </c>
      <c r="F52" s="10" t="str">
        <f>InpC!$F$32</f>
        <v>NWT</v>
      </c>
      <c r="G52" s="22" t="s">
        <v>34</v>
      </c>
      <c r="J52" s="128"/>
      <c r="K52" s="128"/>
      <c r="L52" s="128"/>
      <c r="M52" s="128"/>
      <c r="N52" s="128"/>
      <c r="O52" s="128"/>
      <c r="P52" s="128"/>
      <c r="Q52" s="128"/>
      <c r="R52" s="128"/>
      <c r="S52" s="128"/>
      <c r="U52" s="111">
        <f t="shared" si="6"/>
        <v>0</v>
      </c>
      <c r="V52" s="111">
        <f t="shared" si="7"/>
        <v>0</v>
      </c>
    </row>
    <row r="53" spans="3:22" hidden="1" outlineLevel="1" x14ac:dyDescent="0.35">
      <c r="E53" s="10" t="str">
        <f>InpC!$E$33</f>
        <v>Wessex Water</v>
      </c>
      <c r="F53" s="10" t="str">
        <f>InpC!$F$33</f>
        <v>WSX</v>
      </c>
      <c r="G53" s="22" t="s">
        <v>34</v>
      </c>
      <c r="J53" s="128"/>
      <c r="K53" s="128"/>
      <c r="L53" s="128"/>
      <c r="M53" s="128"/>
      <c r="N53" s="128"/>
      <c r="O53" s="128"/>
      <c r="P53" s="128"/>
      <c r="Q53" s="128"/>
      <c r="R53" s="128"/>
      <c r="S53" s="128"/>
      <c r="U53" s="111">
        <f t="shared" si="6"/>
        <v>0</v>
      </c>
      <c r="V53" s="111">
        <f t="shared" si="7"/>
        <v>0</v>
      </c>
    </row>
    <row r="54" spans="3:22" hidden="1" outlineLevel="1" x14ac:dyDescent="0.35">
      <c r="E54" s="10" t="str">
        <f>InpC!$E$34</f>
        <v>Yorkshire Water</v>
      </c>
      <c r="F54" s="10" t="str">
        <f>InpC!$F$34</f>
        <v>YKY</v>
      </c>
      <c r="G54" s="22" t="s">
        <v>34</v>
      </c>
      <c r="J54" s="128"/>
      <c r="K54" s="128"/>
      <c r="L54" s="128"/>
      <c r="M54" s="128"/>
      <c r="N54" s="128"/>
      <c r="O54" s="128"/>
      <c r="P54" s="128"/>
      <c r="Q54" s="128"/>
      <c r="R54" s="128"/>
      <c r="S54" s="128"/>
      <c r="U54" s="111">
        <f t="shared" si="6"/>
        <v>0</v>
      </c>
      <c r="V54" s="111">
        <f t="shared" si="7"/>
        <v>0</v>
      </c>
    </row>
    <row r="55" spans="3:22" hidden="1" outlineLevel="1" x14ac:dyDescent="0.35">
      <c r="E55" s="10" t="str">
        <f>InpC!$E$35</f>
        <v>Affinity Water</v>
      </c>
      <c r="F55" s="10" t="str">
        <f>InpC!$F$35</f>
        <v>AFW</v>
      </c>
      <c r="G55" s="22" t="s">
        <v>34</v>
      </c>
      <c r="J55" s="128"/>
      <c r="K55" s="128"/>
      <c r="L55" s="128"/>
      <c r="M55" s="128"/>
      <c r="N55" s="128"/>
      <c r="O55" s="128"/>
      <c r="P55" s="128"/>
      <c r="Q55" s="128"/>
      <c r="R55" s="128"/>
      <c r="S55" s="128"/>
      <c r="U55" s="111">
        <f t="shared" si="6"/>
        <v>0</v>
      </c>
      <c r="V55" s="111">
        <f t="shared" si="7"/>
        <v>0</v>
      </c>
    </row>
    <row r="56" spans="3:22" hidden="1" outlineLevel="1" x14ac:dyDescent="0.35">
      <c r="E56" s="10" t="str">
        <f>InpC!$E$36</f>
        <v>Portsmouth Water</v>
      </c>
      <c r="F56" s="10" t="str">
        <f>InpC!$F$36</f>
        <v>PRT</v>
      </c>
      <c r="G56" s="22" t="s">
        <v>34</v>
      </c>
      <c r="J56" s="128"/>
      <c r="K56" s="128"/>
      <c r="L56" s="128"/>
      <c r="M56" s="128"/>
      <c r="N56" s="128"/>
      <c r="O56" s="128"/>
      <c r="P56" s="128"/>
      <c r="Q56" s="128"/>
      <c r="R56" s="128"/>
      <c r="S56" s="128"/>
      <c r="U56" s="111">
        <f t="shared" si="6"/>
        <v>0</v>
      </c>
      <c r="V56" s="111">
        <f t="shared" si="7"/>
        <v>0</v>
      </c>
    </row>
    <row r="57" spans="3:22" hidden="1" outlineLevel="1" x14ac:dyDescent="0.35">
      <c r="E57" s="10" t="str">
        <f>InpC!$E$37</f>
        <v>South East Water</v>
      </c>
      <c r="F57" s="10" t="str">
        <f>InpC!$F$37</f>
        <v>SEW</v>
      </c>
      <c r="G57" s="22" t="s">
        <v>34</v>
      </c>
      <c r="J57" s="128"/>
      <c r="K57" s="128"/>
      <c r="L57" s="128"/>
      <c r="M57" s="128"/>
      <c r="N57" s="128"/>
      <c r="O57" s="128"/>
      <c r="P57" s="128"/>
      <c r="Q57" s="128"/>
      <c r="R57" s="128"/>
      <c r="S57" s="128"/>
      <c r="U57" s="111">
        <f t="shared" si="6"/>
        <v>0</v>
      </c>
      <c r="V57" s="111">
        <f t="shared" si="7"/>
        <v>0</v>
      </c>
    </row>
    <row r="58" spans="3:22" hidden="1" outlineLevel="1" x14ac:dyDescent="0.35">
      <c r="E58" s="10" t="str">
        <f>InpC!$E$38</f>
        <v>South Staffs Water</v>
      </c>
      <c r="F58" s="10" t="str">
        <f>InpC!$F$38</f>
        <v>SSC</v>
      </c>
      <c r="G58" s="22" t="s">
        <v>34</v>
      </c>
      <c r="J58" s="128"/>
      <c r="K58" s="128"/>
      <c r="L58" s="128"/>
      <c r="M58" s="128"/>
      <c r="N58" s="128"/>
      <c r="O58" s="128"/>
      <c r="P58" s="128"/>
      <c r="Q58" s="128"/>
      <c r="R58" s="128"/>
      <c r="S58" s="128"/>
      <c r="U58" s="111">
        <f t="shared" si="6"/>
        <v>0</v>
      </c>
      <c r="V58" s="111">
        <f t="shared" si="7"/>
        <v>0</v>
      </c>
    </row>
    <row r="59" spans="3:22" hidden="1" outlineLevel="1" x14ac:dyDescent="0.35">
      <c r="E59" s="10" t="str">
        <f>InpC!$E$39</f>
        <v>SES Water</v>
      </c>
      <c r="F59" s="10" t="str">
        <f>InpC!$F$39</f>
        <v>SES</v>
      </c>
      <c r="G59" s="22" t="s">
        <v>34</v>
      </c>
      <c r="J59" s="128"/>
      <c r="K59" s="128"/>
      <c r="L59" s="128"/>
      <c r="M59" s="128"/>
      <c r="N59" s="128"/>
      <c r="O59" s="128"/>
      <c r="P59" s="128"/>
      <c r="Q59" s="128"/>
      <c r="R59" s="128"/>
      <c r="S59" s="128"/>
      <c r="U59" s="111">
        <f t="shared" si="6"/>
        <v>0</v>
      </c>
      <c r="V59" s="111">
        <f t="shared" si="7"/>
        <v>0</v>
      </c>
    </row>
    <row r="60" spans="3:22" hidden="1" outlineLevel="1" x14ac:dyDescent="0.35">
      <c r="E60" s="10" t="str">
        <f>InpC!$E$40</f>
        <v>South West Water</v>
      </c>
      <c r="F60" s="10" t="str">
        <f>InpC!$F$40</f>
        <v>SWB</v>
      </c>
      <c r="G60" s="22" t="s">
        <v>34</v>
      </c>
      <c r="J60" s="128"/>
      <c r="K60" s="128"/>
      <c r="L60" s="128"/>
      <c r="M60" s="128"/>
      <c r="N60" s="128"/>
      <c r="O60" s="128"/>
      <c r="P60" s="128"/>
      <c r="Q60" s="128"/>
      <c r="R60" s="128"/>
      <c r="S60" s="128"/>
      <c r="U60" s="111">
        <f t="shared" si="6"/>
        <v>0</v>
      </c>
      <c r="V60" s="111">
        <f t="shared" si="7"/>
        <v>0</v>
      </c>
    </row>
    <row r="61" spans="3:22" hidden="1" outlineLevel="1" x14ac:dyDescent="0.35">
      <c r="E61" s="10" t="str">
        <f>InpC!$E$41</f>
        <v>Bristol Water</v>
      </c>
      <c r="F61" s="10" t="str">
        <f>InpC!$F$41</f>
        <v>BRL</v>
      </c>
      <c r="G61" s="22" t="s">
        <v>34</v>
      </c>
      <c r="J61" s="128"/>
      <c r="K61" s="128"/>
      <c r="L61" s="128"/>
      <c r="M61" s="128"/>
      <c r="N61" s="128"/>
      <c r="O61" s="128"/>
      <c r="P61" s="128"/>
      <c r="Q61" s="128"/>
      <c r="R61" s="128"/>
      <c r="S61" s="128"/>
      <c r="U61" s="111">
        <f t="shared" si="6"/>
        <v>0</v>
      </c>
      <c r="V61" s="111">
        <f t="shared" si="7"/>
        <v>0</v>
      </c>
    </row>
    <row r="62" spans="3:22" hidden="1" outlineLevel="1" x14ac:dyDescent="0.35">
      <c r="E62" s="10" t="s">
        <v>147</v>
      </c>
      <c r="G62" s="22" t="s">
        <v>34</v>
      </c>
      <c r="J62" s="134">
        <f>SUM(J45:J61)</f>
        <v>0</v>
      </c>
      <c r="K62" s="134">
        <f t="shared" ref="K62:S62" si="8">SUM(K45:K61)</f>
        <v>0</v>
      </c>
      <c r="L62" s="134">
        <f t="shared" si="8"/>
        <v>0</v>
      </c>
      <c r="M62" s="134">
        <f t="shared" si="8"/>
        <v>0</v>
      </c>
      <c r="N62" s="134">
        <f t="shared" si="8"/>
        <v>0</v>
      </c>
      <c r="O62" s="134">
        <f t="shared" si="8"/>
        <v>0</v>
      </c>
      <c r="P62" s="134">
        <f t="shared" si="8"/>
        <v>0</v>
      </c>
      <c r="Q62" s="134">
        <f t="shared" si="8"/>
        <v>0</v>
      </c>
      <c r="R62" s="134">
        <f t="shared" si="8"/>
        <v>0</v>
      </c>
      <c r="S62" s="134">
        <f t="shared" si="8"/>
        <v>0</v>
      </c>
      <c r="U62" s="133">
        <f t="shared" ref="U62:V62" si="9">SUM(U45:U61)</f>
        <v>0</v>
      </c>
      <c r="V62" s="133">
        <f t="shared" si="9"/>
        <v>0</v>
      </c>
    </row>
    <row r="64" spans="3:22" x14ac:dyDescent="0.35">
      <c r="C64" s="11" t="str">
        <f>C12</f>
        <v>W3037TOT</v>
      </c>
      <c r="D64" s="5" t="str">
        <f>D12</f>
        <v>Other operating expenditure - Costs associated with lane rental schemes - Total</v>
      </c>
      <c r="F64" s="131">
        <f>MATCH(D64,APRChoices,0)</f>
        <v>2</v>
      </c>
      <c r="G64" s="22" t="s">
        <v>125</v>
      </c>
      <c r="J64" s="74">
        <f>J$2</f>
        <v>44286</v>
      </c>
      <c r="K64" s="74">
        <f t="shared" ref="K64:V64" si="10">K$2</f>
        <v>44651</v>
      </c>
      <c r="L64" s="74">
        <f t="shared" si="10"/>
        <v>45016</v>
      </c>
      <c r="M64" s="74">
        <f t="shared" si="10"/>
        <v>45382</v>
      </c>
      <c r="N64" s="74">
        <f t="shared" si="10"/>
        <v>45747</v>
      </c>
      <c r="O64" s="74">
        <f t="shared" si="10"/>
        <v>46112</v>
      </c>
      <c r="P64" s="74">
        <f t="shared" si="10"/>
        <v>46477</v>
      </c>
      <c r="Q64" s="74">
        <f t="shared" si="10"/>
        <v>46843</v>
      </c>
      <c r="R64" s="74">
        <f t="shared" si="10"/>
        <v>47208</v>
      </c>
      <c r="S64" s="74">
        <f t="shared" si="10"/>
        <v>47573</v>
      </c>
      <c r="U64" s="74" t="str">
        <f t="shared" si="10"/>
        <v>PR24 Average</v>
      </c>
      <c r="V64" s="74" t="str">
        <f t="shared" si="10"/>
        <v>PR24 Total</v>
      </c>
    </row>
    <row r="65" spans="3:22" x14ac:dyDescent="0.35">
      <c r="C65" s="5" t="str">
        <f>INDEX(InpC!$G$57:$G$62,'Lane Rental Schemes'!F64,)</f>
        <v>CW2_012TOT_PR24</v>
      </c>
      <c r="D65" s="5" t="str">
        <f>INDEX(InpC!$G$48:$G$53,'Lane Rental Schemes'!F64,)</f>
        <v>Location specific costs &amp; obligations - Costs associated with lane rental schemes - Total</v>
      </c>
      <c r="G65" s="22" t="s">
        <v>126</v>
      </c>
      <c r="J65" s="74"/>
      <c r="K65" s="74"/>
      <c r="L65" s="74"/>
      <c r="M65" s="74"/>
      <c r="N65" s="74"/>
      <c r="O65" s="74"/>
      <c r="P65" s="74"/>
      <c r="Q65" s="74"/>
      <c r="R65" s="74"/>
      <c r="S65" s="74"/>
      <c r="U65" s="74"/>
      <c r="V65" s="74"/>
    </row>
    <row r="66" spans="3:22" collapsed="1" x14ac:dyDescent="0.35">
      <c r="E66" s="5" t="s">
        <v>180</v>
      </c>
    </row>
    <row r="67" spans="3:22" hidden="1" outlineLevel="1" x14ac:dyDescent="0.35"/>
    <row r="68" spans="3:22" hidden="1" outlineLevel="1" x14ac:dyDescent="0.35">
      <c r="E68" s="130" t="s">
        <v>177</v>
      </c>
      <c r="J68" s="8"/>
      <c r="K68" s="8"/>
      <c r="L68" s="8"/>
      <c r="M68" s="8"/>
      <c r="N68" s="8"/>
      <c r="O68" s="8"/>
      <c r="P68" s="8"/>
      <c r="Q68" s="8"/>
      <c r="R68" s="8"/>
      <c r="S68" s="8"/>
      <c r="U68" s="8"/>
      <c r="V68" s="8"/>
    </row>
    <row r="69" spans="3:22" hidden="1" outlineLevel="1" x14ac:dyDescent="0.35">
      <c r="E69" s="129">
        <f>InpT!$F$8</f>
        <v>45016</v>
      </c>
      <c r="G69" s="22" t="s">
        <v>178</v>
      </c>
      <c r="J69" s="8"/>
      <c r="K69" s="8"/>
      <c r="L69" s="8"/>
      <c r="M69" s="8"/>
      <c r="N69" s="8"/>
      <c r="O69" s="8"/>
      <c r="P69" s="8"/>
      <c r="Q69" s="8"/>
      <c r="R69" s="8"/>
      <c r="S69" s="8"/>
      <c r="U69" s="8"/>
      <c r="V69" s="8"/>
    </row>
    <row r="70" spans="3:22" hidden="1" outlineLevel="1" x14ac:dyDescent="0.35">
      <c r="E70" s="129"/>
      <c r="J70" s="8"/>
      <c r="K70" s="8"/>
      <c r="L70" s="8"/>
      <c r="M70" s="8"/>
      <c r="N70" s="8"/>
      <c r="O70" s="8"/>
      <c r="P70" s="8"/>
      <c r="Q70" s="8"/>
      <c r="R70" s="8"/>
      <c r="S70" s="8"/>
      <c r="U70" s="8"/>
      <c r="V70" s="8"/>
    </row>
    <row r="71" spans="3:22" hidden="1" outlineLevel="1" x14ac:dyDescent="0.35">
      <c r="E71" s="10" t="str">
        <f>InpC!$E$25</f>
        <v>Anglian Water</v>
      </c>
      <c r="F71" s="10" t="str">
        <f>InpC!$F$25</f>
        <v>ANH</v>
      </c>
      <c r="G71" s="22" t="s">
        <v>34</v>
      </c>
      <c r="J71" s="111">
        <f t="shared" ref="J71:S71" si="11">IF(ISBLANK(J45),J19,J45)</f>
        <v>0</v>
      </c>
      <c r="K71" s="111">
        <f t="shared" si="11"/>
        <v>0</v>
      </c>
      <c r="L71" s="111">
        <f t="shared" si="11"/>
        <v>0</v>
      </c>
      <c r="M71" s="111">
        <f t="shared" si="11"/>
        <v>0</v>
      </c>
      <c r="N71" s="111">
        <f t="shared" si="11"/>
        <v>0</v>
      </c>
      <c r="O71" s="111">
        <f t="shared" si="11"/>
        <v>0</v>
      </c>
      <c r="P71" s="111">
        <f t="shared" si="11"/>
        <v>0</v>
      </c>
      <c r="Q71" s="111">
        <f t="shared" si="11"/>
        <v>0</v>
      </c>
      <c r="R71" s="111">
        <f t="shared" si="11"/>
        <v>0</v>
      </c>
      <c r="S71" s="111">
        <f t="shared" si="11"/>
        <v>0</v>
      </c>
      <c r="U71" s="111">
        <f t="shared" ref="U71:U87" si="12">IFERROR(AVERAGE(O71:S71),0)</f>
        <v>0</v>
      </c>
      <c r="V71" s="111">
        <f t="shared" ref="V71:V87" si="13">SUM(O71:S71)</f>
        <v>0</v>
      </c>
    </row>
    <row r="72" spans="3:22" hidden="1" outlineLevel="1" x14ac:dyDescent="0.35">
      <c r="E72" s="10" t="str">
        <f>InpC!$E$26</f>
        <v>Dŵr Cymru</v>
      </c>
      <c r="F72" s="10" t="str">
        <f>InpC!$F$26</f>
        <v>WSH</v>
      </c>
      <c r="G72" s="22" t="s">
        <v>34</v>
      </c>
      <c r="J72" s="111">
        <f t="shared" ref="J72:S72" si="14">IF(ISBLANK(J46),J20,J46)</f>
        <v>0</v>
      </c>
      <c r="K72" s="111">
        <f t="shared" si="14"/>
        <v>0</v>
      </c>
      <c r="L72" s="111">
        <f t="shared" si="14"/>
        <v>0</v>
      </c>
      <c r="M72" s="111">
        <f t="shared" si="14"/>
        <v>0</v>
      </c>
      <c r="N72" s="111">
        <f t="shared" si="14"/>
        <v>0</v>
      </c>
      <c r="O72" s="111">
        <f t="shared" si="14"/>
        <v>0</v>
      </c>
      <c r="P72" s="111">
        <f t="shared" si="14"/>
        <v>0</v>
      </c>
      <c r="Q72" s="111">
        <f t="shared" si="14"/>
        <v>0</v>
      </c>
      <c r="R72" s="111">
        <f t="shared" si="14"/>
        <v>0</v>
      </c>
      <c r="S72" s="111">
        <f t="shared" si="14"/>
        <v>0</v>
      </c>
      <c r="U72" s="111">
        <f t="shared" si="12"/>
        <v>0</v>
      </c>
      <c r="V72" s="111">
        <f t="shared" si="13"/>
        <v>0</v>
      </c>
    </row>
    <row r="73" spans="3:22" hidden="1" outlineLevel="1" x14ac:dyDescent="0.35">
      <c r="E73" s="10" t="str">
        <f>InpC!$E$27</f>
        <v>Hafren Dyfrdwy</v>
      </c>
      <c r="F73" s="10" t="str">
        <f>InpC!$F$27</f>
        <v>HDD</v>
      </c>
      <c r="G73" s="22" t="s">
        <v>34</v>
      </c>
      <c r="J73" s="111">
        <f t="shared" ref="J73:S73" si="15">IF(ISBLANK(J47),J21,J47)</f>
        <v>0</v>
      </c>
      <c r="K73" s="111">
        <f t="shared" si="15"/>
        <v>0</v>
      </c>
      <c r="L73" s="111">
        <f t="shared" si="15"/>
        <v>0</v>
      </c>
      <c r="M73" s="111">
        <f t="shared" si="15"/>
        <v>0</v>
      </c>
      <c r="N73" s="111">
        <f t="shared" si="15"/>
        <v>0</v>
      </c>
      <c r="O73" s="111">
        <f t="shared" si="15"/>
        <v>0</v>
      </c>
      <c r="P73" s="111">
        <f t="shared" si="15"/>
        <v>0</v>
      </c>
      <c r="Q73" s="111">
        <f t="shared" si="15"/>
        <v>0</v>
      </c>
      <c r="R73" s="111">
        <f t="shared" si="15"/>
        <v>0</v>
      </c>
      <c r="S73" s="111">
        <f t="shared" si="15"/>
        <v>0</v>
      </c>
      <c r="U73" s="111">
        <f t="shared" si="12"/>
        <v>0</v>
      </c>
      <c r="V73" s="111">
        <f t="shared" si="13"/>
        <v>0</v>
      </c>
    </row>
    <row r="74" spans="3:22" hidden="1" outlineLevel="1" x14ac:dyDescent="0.35">
      <c r="E74" s="10" t="str">
        <f>InpC!$E$28</f>
        <v>Northumbrian Water</v>
      </c>
      <c r="F74" s="10" t="str">
        <f>InpC!$F$28</f>
        <v>NES</v>
      </c>
      <c r="G74" s="22" t="s">
        <v>34</v>
      </c>
      <c r="J74" s="111">
        <f t="shared" ref="J74:S74" si="16">IF(ISBLANK(J48),J22,J48)</f>
        <v>0</v>
      </c>
      <c r="K74" s="111">
        <f t="shared" si="16"/>
        <v>0</v>
      </c>
      <c r="L74" s="111">
        <f t="shared" si="16"/>
        <v>0</v>
      </c>
      <c r="M74" s="111">
        <f t="shared" si="16"/>
        <v>0</v>
      </c>
      <c r="N74" s="111">
        <f t="shared" si="16"/>
        <v>0</v>
      </c>
      <c r="O74" s="111">
        <f t="shared" si="16"/>
        <v>0</v>
      </c>
      <c r="P74" s="111">
        <f t="shared" si="16"/>
        <v>0</v>
      </c>
      <c r="Q74" s="111">
        <f t="shared" si="16"/>
        <v>0</v>
      </c>
      <c r="R74" s="111">
        <f t="shared" si="16"/>
        <v>0</v>
      </c>
      <c r="S74" s="111">
        <f t="shared" si="16"/>
        <v>0</v>
      </c>
      <c r="U74" s="111">
        <f t="shared" si="12"/>
        <v>0</v>
      </c>
      <c r="V74" s="111">
        <f t="shared" si="13"/>
        <v>0</v>
      </c>
    </row>
    <row r="75" spans="3:22" hidden="1" outlineLevel="1" x14ac:dyDescent="0.35">
      <c r="E75" s="10" t="str">
        <f>InpC!$E$29</f>
        <v>Severn Trent Water</v>
      </c>
      <c r="F75" s="10" t="str">
        <f>InpC!$F$29</f>
        <v>SVE</v>
      </c>
      <c r="G75" s="22" t="s">
        <v>34</v>
      </c>
      <c r="J75" s="111">
        <f t="shared" ref="J75:S75" si="17">IF(ISBLANK(J49),J23,J49)</f>
        <v>0</v>
      </c>
      <c r="K75" s="111">
        <f t="shared" si="17"/>
        <v>0</v>
      </c>
      <c r="L75" s="111">
        <f t="shared" si="17"/>
        <v>0</v>
      </c>
      <c r="M75" s="111">
        <f t="shared" si="17"/>
        <v>0</v>
      </c>
      <c r="N75" s="111">
        <f t="shared" si="17"/>
        <v>0</v>
      </c>
      <c r="O75" s="111">
        <f t="shared" si="17"/>
        <v>0</v>
      </c>
      <c r="P75" s="111">
        <f t="shared" si="17"/>
        <v>0</v>
      </c>
      <c r="Q75" s="111">
        <f t="shared" si="17"/>
        <v>0</v>
      </c>
      <c r="R75" s="111">
        <f t="shared" si="17"/>
        <v>0</v>
      </c>
      <c r="S75" s="111">
        <f t="shared" si="17"/>
        <v>0</v>
      </c>
      <c r="U75" s="111">
        <f t="shared" si="12"/>
        <v>0</v>
      </c>
      <c r="V75" s="111">
        <f t="shared" si="13"/>
        <v>0</v>
      </c>
    </row>
    <row r="76" spans="3:22" hidden="1" outlineLevel="1" x14ac:dyDescent="0.35">
      <c r="E76" s="10" t="str">
        <f>InpC!$E$30</f>
        <v>Southern Water</v>
      </c>
      <c r="F76" s="10" t="str">
        <f>InpC!$F$30</f>
        <v>SRN</v>
      </c>
      <c r="G76" s="22" t="s">
        <v>34</v>
      </c>
      <c r="J76" s="111">
        <f t="shared" ref="J76:S76" si="18">IF(ISBLANK(J50),J24,J50)</f>
        <v>0.15131962616822431</v>
      </c>
      <c r="K76" s="111">
        <f t="shared" si="18"/>
        <v>0.10980294659300187</v>
      </c>
      <c r="L76" s="111">
        <f t="shared" si="18"/>
        <v>0.29399999999999998</v>
      </c>
      <c r="M76" s="111">
        <f t="shared" si="18"/>
        <v>0.74</v>
      </c>
      <c r="N76" s="111">
        <f t="shared" si="18"/>
        <v>0.11</v>
      </c>
      <c r="O76" s="111">
        <f t="shared" si="18"/>
        <v>0.7</v>
      </c>
      <c r="P76" s="111">
        <f t="shared" si="18"/>
        <v>0.7</v>
      </c>
      <c r="Q76" s="111">
        <f t="shared" si="18"/>
        <v>0.7</v>
      </c>
      <c r="R76" s="111">
        <f t="shared" si="18"/>
        <v>0.7</v>
      </c>
      <c r="S76" s="111">
        <f t="shared" si="18"/>
        <v>0.7</v>
      </c>
      <c r="U76" s="111">
        <f t="shared" si="12"/>
        <v>0.7</v>
      </c>
      <c r="V76" s="111">
        <f t="shared" si="13"/>
        <v>3.5</v>
      </c>
    </row>
    <row r="77" spans="3:22" hidden="1" outlineLevel="1" x14ac:dyDescent="0.35">
      <c r="E77" s="10" t="str">
        <f>InpC!$E$31</f>
        <v>Thames Water</v>
      </c>
      <c r="F77" s="10" t="str">
        <f>InpC!$F$31</f>
        <v>TMS</v>
      </c>
      <c r="G77" s="22" t="s">
        <v>34</v>
      </c>
      <c r="J77" s="111">
        <f t="shared" ref="J77:S77" si="19">IF(ISBLANK(J51),J25,J51)</f>
        <v>0.8782672897196262</v>
      </c>
      <c r="K77" s="111">
        <f t="shared" si="19"/>
        <v>1.0899705340699819</v>
      </c>
      <c r="L77" s="111">
        <f t="shared" si="19"/>
        <v>2.7120000000000002</v>
      </c>
      <c r="M77" s="111">
        <f t="shared" si="19"/>
        <v>1.611954459203035</v>
      </c>
      <c r="N77" s="111">
        <f t="shared" si="19"/>
        <v>1.081</v>
      </c>
      <c r="O77" s="111">
        <f t="shared" si="19"/>
        <v>1.109</v>
      </c>
      <c r="P77" s="111">
        <f t="shared" si="19"/>
        <v>1.109</v>
      </c>
      <c r="Q77" s="111">
        <f t="shared" si="19"/>
        <v>1.109</v>
      </c>
      <c r="R77" s="111">
        <f t="shared" si="19"/>
        <v>1.109</v>
      </c>
      <c r="S77" s="111">
        <f t="shared" si="19"/>
        <v>1.109</v>
      </c>
      <c r="U77" s="111">
        <f t="shared" si="12"/>
        <v>1.109</v>
      </c>
      <c r="V77" s="111">
        <f t="shared" si="13"/>
        <v>5.5449999999999999</v>
      </c>
    </row>
    <row r="78" spans="3:22" hidden="1" outlineLevel="1" x14ac:dyDescent="0.35">
      <c r="E78" s="10" t="str">
        <f>InpC!$E$32</f>
        <v>United Utilities</v>
      </c>
      <c r="F78" s="10" t="str">
        <f>InpC!$F$32</f>
        <v>NWT</v>
      </c>
      <c r="G78" s="22" t="s">
        <v>34</v>
      </c>
      <c r="J78" s="111">
        <f t="shared" ref="J78:S78" si="20">IF(ISBLANK(J52),J26,J52)</f>
        <v>0</v>
      </c>
      <c r="K78" s="111">
        <f t="shared" si="20"/>
        <v>0</v>
      </c>
      <c r="L78" s="111">
        <f t="shared" si="20"/>
        <v>0</v>
      </c>
      <c r="M78" s="111">
        <f t="shared" si="20"/>
        <v>0</v>
      </c>
      <c r="N78" s="111">
        <f t="shared" si="20"/>
        <v>0</v>
      </c>
      <c r="O78" s="111">
        <f t="shared" si="20"/>
        <v>0.40621507560380599</v>
      </c>
      <c r="P78" s="111">
        <f t="shared" si="20"/>
        <v>0.41068102801783751</v>
      </c>
      <c r="Q78" s="111">
        <f t="shared" si="20"/>
        <v>0.40984943852449462</v>
      </c>
      <c r="R78" s="111">
        <f t="shared" si="20"/>
        <v>0.41381468054647419</v>
      </c>
      <c r="S78" s="111">
        <f t="shared" si="20"/>
        <v>0.41393201494067727</v>
      </c>
      <c r="U78" s="111">
        <f t="shared" si="12"/>
        <v>0.41089844752665794</v>
      </c>
      <c r="V78" s="111">
        <f t="shared" si="13"/>
        <v>2.0544922376332897</v>
      </c>
    </row>
    <row r="79" spans="3:22" hidden="1" outlineLevel="1" x14ac:dyDescent="0.35">
      <c r="E79" s="10" t="str">
        <f>InpC!$E$33</f>
        <v>Wessex Water</v>
      </c>
      <c r="F79" s="10" t="str">
        <f>InpC!$F$33</f>
        <v>WSX</v>
      </c>
      <c r="G79" s="22" t="s">
        <v>34</v>
      </c>
      <c r="J79" s="111">
        <f t="shared" ref="J79:S79" si="21">IF(ISBLANK(J53),J27,J53)</f>
        <v>0</v>
      </c>
      <c r="K79" s="111">
        <f t="shared" si="21"/>
        <v>0</v>
      </c>
      <c r="L79" s="111">
        <f t="shared" si="21"/>
        <v>0</v>
      </c>
      <c r="M79" s="111">
        <f t="shared" si="21"/>
        <v>0</v>
      </c>
      <c r="N79" s="111">
        <f t="shared" si="21"/>
        <v>0</v>
      </c>
      <c r="O79" s="111">
        <f t="shared" si="21"/>
        <v>0</v>
      </c>
      <c r="P79" s="111">
        <f t="shared" si="21"/>
        <v>0</v>
      </c>
      <c r="Q79" s="111">
        <f t="shared" si="21"/>
        <v>0</v>
      </c>
      <c r="R79" s="111">
        <f t="shared" si="21"/>
        <v>0</v>
      </c>
      <c r="S79" s="111">
        <f t="shared" si="21"/>
        <v>0</v>
      </c>
      <c r="U79" s="111">
        <f t="shared" si="12"/>
        <v>0</v>
      </c>
      <c r="V79" s="111">
        <f t="shared" si="13"/>
        <v>0</v>
      </c>
    </row>
    <row r="80" spans="3:22" hidden="1" outlineLevel="1" x14ac:dyDescent="0.35">
      <c r="E80" s="10" t="str">
        <f>InpC!$E$34</f>
        <v>Yorkshire Water</v>
      </c>
      <c r="F80" s="10" t="str">
        <f>InpC!$F$34</f>
        <v>YKY</v>
      </c>
      <c r="G80" s="22" t="s">
        <v>34</v>
      </c>
      <c r="J80" s="111">
        <f t="shared" ref="J80:S80" si="22">IF(ISBLANK(J54),J28,J54)</f>
        <v>0</v>
      </c>
      <c r="K80" s="111">
        <f t="shared" si="22"/>
        <v>0</v>
      </c>
      <c r="L80" s="111">
        <f t="shared" si="22"/>
        <v>0</v>
      </c>
      <c r="M80" s="111">
        <f t="shared" si="22"/>
        <v>0</v>
      </c>
      <c r="N80" s="111">
        <f t="shared" si="22"/>
        <v>0</v>
      </c>
      <c r="O80" s="111">
        <f t="shared" si="22"/>
        <v>0.96099999999999997</v>
      </c>
      <c r="P80" s="111">
        <f t="shared" si="22"/>
        <v>0.96099999999999997</v>
      </c>
      <c r="Q80" s="111">
        <f t="shared" si="22"/>
        <v>0.96099999999999997</v>
      </c>
      <c r="R80" s="111">
        <f t="shared" si="22"/>
        <v>0.96099999999999997</v>
      </c>
      <c r="S80" s="111">
        <f t="shared" si="22"/>
        <v>0.96099999999999997</v>
      </c>
      <c r="U80" s="111">
        <f t="shared" si="12"/>
        <v>0.96099999999999997</v>
      </c>
      <c r="V80" s="111">
        <f t="shared" si="13"/>
        <v>4.8049999999999997</v>
      </c>
    </row>
    <row r="81" spans="3:22" hidden="1" outlineLevel="1" x14ac:dyDescent="0.35">
      <c r="E81" s="10" t="str">
        <f>InpC!$E$35</f>
        <v>Affinity Water</v>
      </c>
      <c r="F81" s="10" t="str">
        <f>InpC!$F$35</f>
        <v>AFW</v>
      </c>
      <c r="G81" s="22" t="s">
        <v>34</v>
      </c>
      <c r="J81" s="111">
        <f t="shared" ref="J81:S81" si="23">IF(ISBLANK(J55),J29,J55)</f>
        <v>0</v>
      </c>
      <c r="K81" s="111">
        <f t="shared" si="23"/>
        <v>3.0220994475138128E-2</v>
      </c>
      <c r="L81" s="111">
        <f t="shared" si="23"/>
        <v>1.2999999999999999E-2</v>
      </c>
      <c r="M81" s="111">
        <f t="shared" si="23"/>
        <v>7.0000000000000001E-3</v>
      </c>
      <c r="N81" s="111">
        <f t="shared" si="23"/>
        <v>1.4999999999999999E-2</v>
      </c>
      <c r="O81" s="111">
        <f t="shared" si="23"/>
        <v>1.4999999999999999E-2</v>
      </c>
      <c r="P81" s="111">
        <f t="shared" si="23"/>
        <v>1.4999999999999999E-2</v>
      </c>
      <c r="Q81" s="111">
        <f t="shared" si="23"/>
        <v>1.4999999999999999E-2</v>
      </c>
      <c r="R81" s="111">
        <f t="shared" si="23"/>
        <v>1.4999999999999999E-2</v>
      </c>
      <c r="S81" s="111">
        <f t="shared" si="23"/>
        <v>1.4999999999999999E-2</v>
      </c>
      <c r="U81" s="111">
        <f t="shared" si="12"/>
        <v>1.4999999999999999E-2</v>
      </c>
      <c r="V81" s="111">
        <f t="shared" si="13"/>
        <v>7.4999999999999997E-2</v>
      </c>
    </row>
    <row r="82" spans="3:22" hidden="1" outlineLevel="1" x14ac:dyDescent="0.35">
      <c r="E82" s="10" t="str">
        <f>InpC!$E$36</f>
        <v>Portsmouth Water</v>
      </c>
      <c r="F82" s="10" t="str">
        <f>InpC!$F$36</f>
        <v>PRT</v>
      </c>
      <c r="G82" s="22" t="s">
        <v>34</v>
      </c>
      <c r="J82" s="111">
        <f t="shared" ref="J82:S82" si="24">IF(ISBLANK(J56),J30,J56)</f>
        <v>0</v>
      </c>
      <c r="K82" s="111">
        <f t="shared" si="24"/>
        <v>0</v>
      </c>
      <c r="L82" s="111">
        <f t="shared" si="24"/>
        <v>0</v>
      </c>
      <c r="M82" s="111">
        <f t="shared" si="24"/>
        <v>0.15159137577002049</v>
      </c>
      <c r="N82" s="111">
        <f t="shared" si="24"/>
        <v>0.15</v>
      </c>
      <c r="O82" s="111">
        <f t="shared" si="24"/>
        <v>0.20200000000000001</v>
      </c>
      <c r="P82" s="111">
        <f t="shared" si="24"/>
        <v>0.20399999999999999</v>
      </c>
      <c r="Q82" s="111">
        <f t="shared" si="24"/>
        <v>0.20200000000000001</v>
      </c>
      <c r="R82" s="111">
        <f t="shared" si="24"/>
        <v>0.20200000000000001</v>
      </c>
      <c r="S82" s="111">
        <f t="shared" si="24"/>
        <v>0.20200000000000001</v>
      </c>
      <c r="U82" s="111">
        <f t="shared" si="12"/>
        <v>0.2024</v>
      </c>
      <c r="V82" s="111">
        <f t="shared" si="13"/>
        <v>1.012</v>
      </c>
    </row>
    <row r="83" spans="3:22" hidden="1" outlineLevel="1" x14ac:dyDescent="0.35">
      <c r="E83" s="10" t="str">
        <f>InpC!$E$37</f>
        <v>South East Water</v>
      </c>
      <c r="F83" s="10" t="str">
        <f>InpC!$F$37</f>
        <v>SEW</v>
      </c>
      <c r="G83" s="22" t="s">
        <v>34</v>
      </c>
      <c r="J83" s="111">
        <f t="shared" ref="J83:S83" si="25">IF(ISBLANK(J57),J31,J57)</f>
        <v>7.2592523364485975E-2</v>
      </c>
      <c r="K83" s="111">
        <f t="shared" si="25"/>
        <v>0.19341436464088402</v>
      </c>
      <c r="L83" s="111">
        <f t="shared" si="25"/>
        <v>0.109</v>
      </c>
      <c r="M83" s="111">
        <f t="shared" si="25"/>
        <v>0.3695040310471483</v>
      </c>
      <c r="N83" s="111">
        <f t="shared" si="25"/>
        <v>0.48036680478063809</v>
      </c>
      <c r="O83" s="111">
        <f t="shared" si="25"/>
        <v>0.48</v>
      </c>
      <c r="P83" s="111">
        <f t="shared" si="25"/>
        <v>0.48</v>
      </c>
      <c r="Q83" s="111">
        <f t="shared" si="25"/>
        <v>0.48</v>
      </c>
      <c r="R83" s="111">
        <f t="shared" si="25"/>
        <v>0.48</v>
      </c>
      <c r="S83" s="111">
        <f t="shared" si="25"/>
        <v>0.48</v>
      </c>
      <c r="U83" s="111">
        <f t="shared" si="12"/>
        <v>0.48</v>
      </c>
      <c r="V83" s="111">
        <f t="shared" si="13"/>
        <v>2.4</v>
      </c>
    </row>
    <row r="84" spans="3:22" hidden="1" outlineLevel="1" x14ac:dyDescent="0.35">
      <c r="E84" s="10" t="str">
        <f>InpC!$E$38</f>
        <v>South Staffs Water</v>
      </c>
      <c r="F84" s="10" t="str">
        <f>InpC!$F$38</f>
        <v>SSC</v>
      </c>
      <c r="G84" s="22" t="s">
        <v>34</v>
      </c>
      <c r="J84" s="111">
        <f t="shared" ref="J84:S84" si="26">IF(ISBLANK(J58),J32,J58)</f>
        <v>0.22902429906542057</v>
      </c>
      <c r="K84" s="111">
        <f t="shared" si="26"/>
        <v>0.27299631675874775</v>
      </c>
      <c r="L84" s="111">
        <f t="shared" si="26"/>
        <v>0.253</v>
      </c>
      <c r="M84" s="111">
        <f t="shared" si="26"/>
        <v>0.253</v>
      </c>
      <c r="N84" s="111">
        <f t="shared" si="26"/>
        <v>0.253</v>
      </c>
      <c r="O84" s="111">
        <f t="shared" si="26"/>
        <v>0.253</v>
      </c>
      <c r="P84" s="111">
        <f t="shared" si="26"/>
        <v>0.253</v>
      </c>
      <c r="Q84" s="111">
        <f t="shared" si="26"/>
        <v>0.253</v>
      </c>
      <c r="R84" s="111">
        <f t="shared" si="26"/>
        <v>0.253</v>
      </c>
      <c r="S84" s="111">
        <f t="shared" si="26"/>
        <v>0.253</v>
      </c>
      <c r="U84" s="111">
        <f t="shared" si="12"/>
        <v>0.253</v>
      </c>
      <c r="V84" s="111">
        <f t="shared" si="13"/>
        <v>1.2650000000000001</v>
      </c>
    </row>
    <row r="85" spans="3:22" hidden="1" outlineLevel="1" x14ac:dyDescent="0.35">
      <c r="E85" s="10" t="str">
        <f>InpC!$E$39</f>
        <v>SES Water</v>
      </c>
      <c r="F85" s="10" t="str">
        <f>InpC!$F$39</f>
        <v>SES</v>
      </c>
      <c r="G85" s="22" t="s">
        <v>34</v>
      </c>
      <c r="J85" s="111">
        <f t="shared" ref="J85:S85" si="27">IF(ISBLANK(J59),J33,J59)</f>
        <v>0</v>
      </c>
      <c r="K85" s="111">
        <f t="shared" si="27"/>
        <v>0</v>
      </c>
      <c r="L85" s="111">
        <f t="shared" si="27"/>
        <v>0</v>
      </c>
      <c r="M85" s="111">
        <f t="shared" si="27"/>
        <v>0</v>
      </c>
      <c r="N85" s="111">
        <f t="shared" si="27"/>
        <v>0</v>
      </c>
      <c r="O85" s="111">
        <f t="shared" si="27"/>
        <v>0</v>
      </c>
      <c r="P85" s="111">
        <f t="shared" si="27"/>
        <v>0</v>
      </c>
      <c r="Q85" s="111">
        <f t="shared" si="27"/>
        <v>0</v>
      </c>
      <c r="R85" s="111">
        <f t="shared" si="27"/>
        <v>0</v>
      </c>
      <c r="S85" s="111">
        <f t="shared" si="27"/>
        <v>0</v>
      </c>
      <c r="U85" s="111">
        <f t="shared" si="12"/>
        <v>0</v>
      </c>
      <c r="V85" s="111">
        <f t="shared" si="13"/>
        <v>0</v>
      </c>
    </row>
    <row r="86" spans="3:22" hidden="1" outlineLevel="1" x14ac:dyDescent="0.35">
      <c r="E86" s="10" t="str">
        <f>InpC!$E$40</f>
        <v>South West Water</v>
      </c>
      <c r="F86" s="10" t="str">
        <f>InpC!$F$40</f>
        <v>SWB</v>
      </c>
      <c r="G86" s="22" t="s">
        <v>34</v>
      </c>
      <c r="J86" s="111">
        <f t="shared" ref="J86:S86" si="28">IF(ISBLANK(J60),J34,J60)</f>
        <v>0</v>
      </c>
      <c r="K86" s="111">
        <f t="shared" si="28"/>
        <v>0</v>
      </c>
      <c r="L86" s="111">
        <f t="shared" si="28"/>
        <v>0</v>
      </c>
      <c r="M86" s="111">
        <f t="shared" si="28"/>
        <v>0</v>
      </c>
      <c r="N86" s="111">
        <f t="shared" si="28"/>
        <v>0</v>
      </c>
      <c r="O86" s="111">
        <f t="shared" si="28"/>
        <v>0</v>
      </c>
      <c r="P86" s="111">
        <f t="shared" si="28"/>
        <v>0</v>
      </c>
      <c r="Q86" s="111">
        <f t="shared" si="28"/>
        <v>0</v>
      </c>
      <c r="R86" s="111">
        <f t="shared" si="28"/>
        <v>0</v>
      </c>
      <c r="S86" s="111">
        <f t="shared" si="28"/>
        <v>0</v>
      </c>
      <c r="U86" s="111">
        <f t="shared" si="12"/>
        <v>0</v>
      </c>
      <c r="V86" s="111">
        <f t="shared" si="13"/>
        <v>0</v>
      </c>
    </row>
    <row r="87" spans="3:22" hidden="1" outlineLevel="1" x14ac:dyDescent="0.35">
      <c r="E87" s="10" t="str">
        <f>InpC!$E$41</f>
        <v>Bristol Water</v>
      </c>
      <c r="F87" s="10" t="str">
        <f>InpC!$F$41</f>
        <v>BRL</v>
      </c>
      <c r="G87" s="22" t="s">
        <v>34</v>
      </c>
      <c r="J87" s="111">
        <f t="shared" ref="J87:S87" si="29">IF(ISBLANK(J61),J35,J61)</f>
        <v>0</v>
      </c>
      <c r="K87" s="111">
        <f t="shared" si="29"/>
        <v>0</v>
      </c>
      <c r="L87" s="111">
        <f t="shared" si="29"/>
        <v>0</v>
      </c>
      <c r="M87" s="111">
        <f t="shared" si="29"/>
        <v>0</v>
      </c>
      <c r="N87" s="111">
        <f t="shared" si="29"/>
        <v>0</v>
      </c>
      <c r="O87" s="111">
        <f t="shared" si="29"/>
        <v>0</v>
      </c>
      <c r="P87" s="111">
        <f t="shared" si="29"/>
        <v>0</v>
      </c>
      <c r="Q87" s="111">
        <f t="shared" si="29"/>
        <v>0</v>
      </c>
      <c r="R87" s="111">
        <f t="shared" si="29"/>
        <v>0</v>
      </c>
      <c r="S87" s="111">
        <f t="shared" si="29"/>
        <v>0</v>
      </c>
      <c r="U87" s="111">
        <f t="shared" si="12"/>
        <v>0</v>
      </c>
      <c r="V87" s="111">
        <f t="shared" si="13"/>
        <v>0</v>
      </c>
    </row>
    <row r="88" spans="3:22" hidden="1" outlineLevel="1" x14ac:dyDescent="0.35">
      <c r="E88" s="10" t="s">
        <v>147</v>
      </c>
      <c r="G88" s="22" t="s">
        <v>34</v>
      </c>
      <c r="J88" s="133">
        <f>SUM(J71:J87)</f>
        <v>1.3312037383177571</v>
      </c>
      <c r="K88" s="133">
        <f t="shared" ref="K88:S88" si="30">SUM(K71:K87)</f>
        <v>1.6964051565377538</v>
      </c>
      <c r="L88" s="133">
        <f t="shared" si="30"/>
        <v>3.3810000000000002</v>
      </c>
      <c r="M88" s="133">
        <f t="shared" si="30"/>
        <v>3.1330498660202042</v>
      </c>
      <c r="N88" s="133">
        <f t="shared" si="30"/>
        <v>2.0893668047806382</v>
      </c>
      <c r="O88" s="133">
        <f t="shared" si="30"/>
        <v>4.1262150756038061</v>
      </c>
      <c r="P88" s="133">
        <f t="shared" si="30"/>
        <v>4.1326810280178377</v>
      </c>
      <c r="Q88" s="133">
        <f t="shared" si="30"/>
        <v>4.1298494385244942</v>
      </c>
      <c r="R88" s="133">
        <f t="shared" si="30"/>
        <v>4.1338146805464735</v>
      </c>
      <c r="S88" s="133">
        <f t="shared" si="30"/>
        <v>4.1339320149406769</v>
      </c>
      <c r="U88" s="133">
        <f t="shared" ref="U88:V88" si="31">SUM(U71:U87)</f>
        <v>4.1312984475266576</v>
      </c>
      <c r="V88" s="133">
        <f t="shared" si="31"/>
        <v>20.656492237633287</v>
      </c>
    </row>
    <row r="89" spans="3:22" x14ac:dyDescent="0.35">
      <c r="J89" s="148"/>
      <c r="K89" s="148"/>
      <c r="L89" s="148"/>
      <c r="M89" s="148"/>
      <c r="N89" s="148"/>
      <c r="O89" s="148"/>
      <c r="P89" s="148"/>
      <c r="Q89" s="148"/>
      <c r="R89" s="148"/>
      <c r="S89" s="148"/>
      <c r="U89" s="148"/>
      <c r="V89" s="148"/>
    </row>
    <row r="90" spans="3:22" x14ac:dyDescent="0.35">
      <c r="C90" s="5" t="str">
        <f>InpC!$F$52</f>
        <v>WWS1104CAS</v>
      </c>
      <c r="D90" s="5" t="str">
        <f>InpC!$E$52</f>
        <v>Other expenditure - Costs associated with lane rental schemes - Total</v>
      </c>
      <c r="F90" s="131">
        <f>MATCH(D90,APRChoices,0)</f>
        <v>5</v>
      </c>
      <c r="G90" s="22" t="s">
        <v>125</v>
      </c>
      <c r="J90" s="74">
        <f>J$2</f>
        <v>44286</v>
      </c>
      <c r="K90" s="74">
        <f t="shared" ref="K90:V90" si="32">K$2</f>
        <v>44651</v>
      </c>
      <c r="L90" s="74">
        <f t="shared" si="32"/>
        <v>45016</v>
      </c>
      <c r="M90" s="74">
        <f t="shared" si="32"/>
        <v>45382</v>
      </c>
      <c r="N90" s="74">
        <f t="shared" si="32"/>
        <v>45747</v>
      </c>
      <c r="O90" s="74">
        <f t="shared" si="32"/>
        <v>46112</v>
      </c>
      <c r="P90" s="74">
        <f t="shared" si="32"/>
        <v>46477</v>
      </c>
      <c r="Q90" s="74">
        <f t="shared" si="32"/>
        <v>46843</v>
      </c>
      <c r="R90" s="74">
        <f t="shared" si="32"/>
        <v>47208</v>
      </c>
      <c r="S90" s="74">
        <f t="shared" si="32"/>
        <v>47573</v>
      </c>
      <c r="U90" s="74" t="str">
        <f t="shared" si="32"/>
        <v>PR24 Average</v>
      </c>
      <c r="V90" s="74" t="str">
        <f t="shared" si="32"/>
        <v>PR24 Total</v>
      </c>
    </row>
    <row r="91" spans="3:22" x14ac:dyDescent="0.35">
      <c r="C91" s="5" t="str">
        <f>INDEX(InpC!$G$57:$G$62,'Lane Rental Schemes'!F90,)</f>
        <v>CWW2_012TOT_PR24</v>
      </c>
      <c r="D91" s="5" t="str">
        <f>INDEX(InpC!$G$48:$G$53,'Lane Rental Schemes'!F90,)</f>
        <v>Location specific costs &amp; obligations - Costs associated with lane rental schemes - Total</v>
      </c>
      <c r="G91" s="22" t="s">
        <v>126</v>
      </c>
      <c r="J91" s="74"/>
      <c r="K91" s="74"/>
      <c r="L91" s="74"/>
      <c r="M91" s="74"/>
      <c r="N91" s="74"/>
      <c r="O91" s="74"/>
      <c r="P91" s="74"/>
      <c r="Q91" s="74"/>
      <c r="R91" s="74"/>
      <c r="S91" s="74"/>
      <c r="U91" s="74"/>
      <c r="V91" s="74"/>
    </row>
    <row r="92" spans="3:22" collapsed="1" x14ac:dyDescent="0.35">
      <c r="E92" s="5" t="s">
        <v>176</v>
      </c>
    </row>
    <row r="93" spans="3:22" hidden="1" outlineLevel="1" x14ac:dyDescent="0.35"/>
    <row r="94" spans="3:22" hidden="1" outlineLevel="1" x14ac:dyDescent="0.35">
      <c r="E94" s="130" t="s">
        <v>177</v>
      </c>
      <c r="J94" s="8"/>
      <c r="K94" s="8"/>
      <c r="L94" s="8"/>
      <c r="M94" s="8"/>
      <c r="N94" s="8"/>
      <c r="O94" s="8"/>
      <c r="P94" s="8"/>
      <c r="Q94" s="8"/>
      <c r="R94" s="8"/>
      <c r="S94" s="8"/>
      <c r="U94" s="8"/>
      <c r="V94" s="8"/>
    </row>
    <row r="95" spans="3:22" hidden="1" outlineLevel="1" x14ac:dyDescent="0.35">
      <c r="E95" s="129">
        <f>InpT!$F$8</f>
        <v>45016</v>
      </c>
      <c r="G95" s="22" t="s">
        <v>178</v>
      </c>
      <c r="J95" s="8"/>
      <c r="K95" s="8"/>
      <c r="L95" s="8"/>
      <c r="M95" s="8"/>
      <c r="N95" s="8"/>
      <c r="O95" s="8"/>
      <c r="P95" s="8"/>
      <c r="Q95" s="8"/>
      <c r="R95" s="8"/>
      <c r="S95" s="8"/>
      <c r="U95" s="8"/>
      <c r="V95" s="8"/>
    </row>
    <row r="96" spans="3:22" hidden="1" outlineLevel="1" x14ac:dyDescent="0.35">
      <c r="E96" s="129"/>
      <c r="J96" s="8"/>
      <c r="K96" s="8"/>
      <c r="L96" s="8"/>
      <c r="M96" s="8"/>
      <c r="N96" s="8"/>
      <c r="O96" s="8"/>
      <c r="P96" s="8"/>
      <c r="Q96" s="8"/>
      <c r="R96" s="8"/>
      <c r="S96" s="8"/>
      <c r="U96" s="8"/>
      <c r="V96" s="8"/>
    </row>
    <row r="97" spans="5:22" hidden="1" outlineLevel="1" x14ac:dyDescent="0.35">
      <c r="E97" s="10" t="str">
        <f>InpC!$E$25</f>
        <v>Anglian Water</v>
      </c>
      <c r="F97" s="10" t="str">
        <f>InpC!$F$25</f>
        <v>ANH</v>
      </c>
      <c r="G97" s="22" t="s">
        <v>34</v>
      </c>
      <c r="J97" s="111">
        <f>SUMIFS('Consolidated Input'!F$6:F$209,'Consolidated Input'!$A$6:$A$209,$F97,'Consolidated Input'!$B$6:$B$209,$C$90)*J$10*Time!J$29</f>
        <v>0</v>
      </c>
      <c r="K97" s="111">
        <f>SUMIFS('Consolidated Input'!G$6:G$209,'Consolidated Input'!$A$6:$A$209,$F97,'Consolidated Input'!$B$6:$B$209,$C$90)*K$10*Time!K$29</f>
        <v>0</v>
      </c>
      <c r="L97" s="111">
        <f>SUMIFS('Consolidated Input'!H$6:H$209,'Consolidated Input'!$A$6:$A$209,$F97,'Consolidated Input'!$B$6:$B$209,$C$90)*L$10*Time!L$29</f>
        <v>0</v>
      </c>
      <c r="M97" s="111">
        <f>SUMIFS('Consolidated Input'!S$6:S$209,'Consolidated Input'!$A$6:$A$209,$F97,'Consolidated Input'!$B$6:$B$209,$C$91)</f>
        <v>0</v>
      </c>
      <c r="N97" s="111">
        <f>SUMIFS('Consolidated Input'!T$6:T$209,'Consolidated Input'!$A$6:$A$209,$F97,'Consolidated Input'!$B$6:$B$209,$C$91)</f>
        <v>0</v>
      </c>
      <c r="O97" s="111">
        <f>SUMIFS('Consolidated Input'!U$6:U$209,'Consolidated Input'!$A$6:$A$209,$F97,'Consolidated Input'!$B$6:$B$209,$C$91)</f>
        <v>0</v>
      </c>
      <c r="P97" s="111">
        <f>SUMIFS('Consolidated Input'!V$6:V$209,'Consolidated Input'!$A$6:$A$209,$F97,'Consolidated Input'!$B$6:$B$209,$C$91)</f>
        <v>0</v>
      </c>
      <c r="Q97" s="111">
        <f>SUMIFS('Consolidated Input'!W$6:W$209,'Consolidated Input'!$A$6:$A$209,$F97,'Consolidated Input'!$B$6:$B$209,$C$91)</f>
        <v>0</v>
      </c>
      <c r="R97" s="111">
        <f>SUMIFS('Consolidated Input'!X$6:X$209,'Consolidated Input'!$A$6:$A$209,$F97,'Consolidated Input'!$B$6:$B$209,$C$91)</f>
        <v>0</v>
      </c>
      <c r="S97" s="111">
        <f>SUMIFS('Consolidated Input'!Y$6:Y$209,'Consolidated Input'!$A$6:$A$209,$F97,'Consolidated Input'!$B$6:$B$209,$C$91)</f>
        <v>0</v>
      </c>
      <c r="U97" s="111">
        <f t="shared" ref="U97:U113" si="33">IFERROR(AVERAGE(O97:S97),0)</f>
        <v>0</v>
      </c>
      <c r="V97" s="111">
        <f t="shared" ref="V97:V113" si="34">SUM(O97:S97)</f>
        <v>0</v>
      </c>
    </row>
    <row r="98" spans="5:22" hidden="1" outlineLevel="1" x14ac:dyDescent="0.35">
      <c r="E98" s="10" t="str">
        <f>InpC!$E$26</f>
        <v>Dŵr Cymru</v>
      </c>
      <c r="F98" s="10" t="str">
        <f>InpC!$F$26</f>
        <v>WSH</v>
      </c>
      <c r="G98" s="22" t="s">
        <v>34</v>
      </c>
      <c r="J98" s="111">
        <f>SUMIFS('Consolidated Input'!F$6:F$209,'Consolidated Input'!$A$6:$A$209,$F98,'Consolidated Input'!$B$6:$B$209,$C$90)*J$10*Time!J$29</f>
        <v>0</v>
      </c>
      <c r="K98" s="111">
        <f>SUMIFS('Consolidated Input'!G$6:G$209,'Consolidated Input'!$A$6:$A$209,$F98,'Consolidated Input'!$B$6:$B$209,$C$90)*K$10*Time!K$29</f>
        <v>0</v>
      </c>
      <c r="L98" s="111">
        <f>SUMIFS('Consolidated Input'!H$6:H$209,'Consolidated Input'!$A$6:$A$209,$F98,'Consolidated Input'!$B$6:$B$209,$C$90)*L$10*Time!L$29</f>
        <v>0</v>
      </c>
      <c r="M98" s="111">
        <f>SUMIFS('Consolidated Input'!S$6:S$209,'Consolidated Input'!$A$6:$A$209,$F98,'Consolidated Input'!$B$6:$B$209,$C$91)</f>
        <v>0</v>
      </c>
      <c r="N98" s="111">
        <f>SUMIFS('Consolidated Input'!T$6:T$209,'Consolidated Input'!$A$6:$A$209,$F98,'Consolidated Input'!$B$6:$B$209,$C$91)</f>
        <v>0</v>
      </c>
      <c r="O98" s="111">
        <f>SUMIFS('Consolidated Input'!U$6:U$209,'Consolidated Input'!$A$6:$A$209,$F98,'Consolidated Input'!$B$6:$B$209,$C$91)</f>
        <v>0</v>
      </c>
      <c r="P98" s="111">
        <f>SUMIFS('Consolidated Input'!V$6:V$209,'Consolidated Input'!$A$6:$A$209,$F98,'Consolidated Input'!$B$6:$B$209,$C$91)</f>
        <v>0</v>
      </c>
      <c r="Q98" s="111">
        <f>SUMIFS('Consolidated Input'!W$6:W$209,'Consolidated Input'!$A$6:$A$209,$F98,'Consolidated Input'!$B$6:$B$209,$C$91)</f>
        <v>0</v>
      </c>
      <c r="R98" s="111">
        <f>SUMIFS('Consolidated Input'!X$6:X$209,'Consolidated Input'!$A$6:$A$209,$F98,'Consolidated Input'!$B$6:$B$209,$C$91)</f>
        <v>0</v>
      </c>
      <c r="S98" s="111">
        <f>SUMIFS('Consolidated Input'!Y$6:Y$209,'Consolidated Input'!$A$6:$A$209,$F98,'Consolidated Input'!$B$6:$B$209,$C$91)</f>
        <v>0</v>
      </c>
      <c r="U98" s="111">
        <f t="shared" si="33"/>
        <v>0</v>
      </c>
      <c r="V98" s="111">
        <f t="shared" si="34"/>
        <v>0</v>
      </c>
    </row>
    <row r="99" spans="5:22" hidden="1" outlineLevel="1" x14ac:dyDescent="0.35">
      <c r="E99" s="10" t="str">
        <f>InpC!$E$27</f>
        <v>Hafren Dyfrdwy</v>
      </c>
      <c r="F99" s="10" t="str">
        <f>InpC!$F$27</f>
        <v>HDD</v>
      </c>
      <c r="G99" s="22" t="s">
        <v>34</v>
      </c>
      <c r="J99" s="111">
        <f>SUMIFS('Consolidated Input'!F$6:F$209,'Consolidated Input'!$A$6:$A$209,$F99,'Consolidated Input'!$B$6:$B$209,$C$90)*J$10*Time!J$29</f>
        <v>0</v>
      </c>
      <c r="K99" s="111">
        <f>SUMIFS('Consolidated Input'!G$6:G$209,'Consolidated Input'!$A$6:$A$209,$F99,'Consolidated Input'!$B$6:$B$209,$C$90)*K$10*Time!K$29</f>
        <v>0</v>
      </c>
      <c r="L99" s="111">
        <f>SUMIFS('Consolidated Input'!H$6:H$209,'Consolidated Input'!$A$6:$A$209,$F99,'Consolidated Input'!$B$6:$B$209,$C$90)*L$10*Time!L$29</f>
        <v>0</v>
      </c>
      <c r="M99" s="111">
        <f>SUMIFS('Consolidated Input'!S$6:S$209,'Consolidated Input'!$A$6:$A$209,$F99,'Consolidated Input'!$B$6:$B$209,$C$91)</f>
        <v>0</v>
      </c>
      <c r="N99" s="111">
        <f>SUMIFS('Consolidated Input'!T$6:T$209,'Consolidated Input'!$A$6:$A$209,$F99,'Consolidated Input'!$B$6:$B$209,$C$91)</f>
        <v>0</v>
      </c>
      <c r="O99" s="111">
        <f>SUMIFS('Consolidated Input'!U$6:U$209,'Consolidated Input'!$A$6:$A$209,$F99,'Consolidated Input'!$B$6:$B$209,$C$91)</f>
        <v>0</v>
      </c>
      <c r="P99" s="111">
        <f>SUMIFS('Consolidated Input'!V$6:V$209,'Consolidated Input'!$A$6:$A$209,$F99,'Consolidated Input'!$B$6:$B$209,$C$91)</f>
        <v>0</v>
      </c>
      <c r="Q99" s="111">
        <f>SUMIFS('Consolidated Input'!W$6:W$209,'Consolidated Input'!$A$6:$A$209,$F99,'Consolidated Input'!$B$6:$B$209,$C$91)</f>
        <v>0</v>
      </c>
      <c r="R99" s="111">
        <f>SUMIFS('Consolidated Input'!X$6:X$209,'Consolidated Input'!$A$6:$A$209,$F99,'Consolidated Input'!$B$6:$B$209,$C$91)</f>
        <v>0</v>
      </c>
      <c r="S99" s="111">
        <f>SUMIFS('Consolidated Input'!Y$6:Y$209,'Consolidated Input'!$A$6:$A$209,$F99,'Consolidated Input'!$B$6:$B$209,$C$91)</f>
        <v>0</v>
      </c>
      <c r="U99" s="111">
        <f t="shared" si="33"/>
        <v>0</v>
      </c>
      <c r="V99" s="111">
        <f t="shared" si="34"/>
        <v>0</v>
      </c>
    </row>
    <row r="100" spans="5:22" hidden="1" outlineLevel="1" x14ac:dyDescent="0.35">
      <c r="E100" s="10" t="str">
        <f>InpC!$E$28</f>
        <v>Northumbrian Water</v>
      </c>
      <c r="F100" s="10" t="str">
        <f>InpC!$F$28</f>
        <v>NES</v>
      </c>
      <c r="G100" s="22" t="s">
        <v>34</v>
      </c>
      <c r="J100" s="111">
        <f>SUMIFS('Consolidated Input'!F$6:F$209,'Consolidated Input'!$A$6:$A$209,$F100,'Consolidated Input'!$B$6:$B$209,$C$90)*J$10*Time!J$29</f>
        <v>0</v>
      </c>
      <c r="K100" s="111">
        <f>SUMIFS('Consolidated Input'!G$6:G$209,'Consolidated Input'!$A$6:$A$209,$F100,'Consolidated Input'!$B$6:$B$209,$C$90)*K$10*Time!K$29</f>
        <v>0</v>
      </c>
      <c r="L100" s="111">
        <f>SUMIFS('Consolidated Input'!H$6:H$209,'Consolidated Input'!$A$6:$A$209,$F100,'Consolidated Input'!$B$6:$B$209,$C$90)*L$10*Time!L$29</f>
        <v>0</v>
      </c>
      <c r="M100" s="111">
        <f>SUMIFS('Consolidated Input'!S$6:S$209,'Consolidated Input'!$A$6:$A$209,$F100,'Consolidated Input'!$B$6:$B$209,$C$91)</f>
        <v>0</v>
      </c>
      <c r="N100" s="111">
        <f>SUMIFS('Consolidated Input'!T$6:T$209,'Consolidated Input'!$A$6:$A$209,$F100,'Consolidated Input'!$B$6:$B$209,$C$91)</f>
        <v>0</v>
      </c>
      <c r="O100" s="111">
        <f>SUMIFS('Consolidated Input'!U$6:U$209,'Consolidated Input'!$A$6:$A$209,$F100,'Consolidated Input'!$B$6:$B$209,$C$91)</f>
        <v>0</v>
      </c>
      <c r="P100" s="111">
        <f>SUMIFS('Consolidated Input'!V$6:V$209,'Consolidated Input'!$A$6:$A$209,$F100,'Consolidated Input'!$B$6:$B$209,$C$91)</f>
        <v>0</v>
      </c>
      <c r="Q100" s="111">
        <f>SUMIFS('Consolidated Input'!W$6:W$209,'Consolidated Input'!$A$6:$A$209,$F100,'Consolidated Input'!$B$6:$B$209,$C$91)</f>
        <v>0</v>
      </c>
      <c r="R100" s="111">
        <f>SUMIFS('Consolidated Input'!X$6:X$209,'Consolidated Input'!$A$6:$A$209,$F100,'Consolidated Input'!$B$6:$B$209,$C$91)</f>
        <v>0</v>
      </c>
      <c r="S100" s="111">
        <f>SUMIFS('Consolidated Input'!Y$6:Y$209,'Consolidated Input'!$A$6:$A$209,$F100,'Consolidated Input'!$B$6:$B$209,$C$91)</f>
        <v>0</v>
      </c>
      <c r="U100" s="111">
        <f t="shared" si="33"/>
        <v>0</v>
      </c>
      <c r="V100" s="111">
        <f t="shared" si="34"/>
        <v>0</v>
      </c>
    </row>
    <row r="101" spans="5:22" hidden="1" outlineLevel="1" x14ac:dyDescent="0.35">
      <c r="E101" s="10" t="str">
        <f>InpC!$E$29</f>
        <v>Severn Trent Water</v>
      </c>
      <c r="F101" s="10" t="str">
        <f>InpC!$F$29</f>
        <v>SVE</v>
      </c>
      <c r="G101" s="22" t="s">
        <v>34</v>
      </c>
      <c r="J101" s="111">
        <f>SUMIFS('Consolidated Input'!F$6:F$209,'Consolidated Input'!$A$6:$A$209,$F101,'Consolidated Input'!$B$6:$B$209,$C$90)*J$10*Time!J$29</f>
        <v>0</v>
      </c>
      <c r="K101" s="111">
        <f>SUMIFS('Consolidated Input'!G$6:G$209,'Consolidated Input'!$A$6:$A$209,$F101,'Consolidated Input'!$B$6:$B$209,$C$90)*K$10*Time!K$29</f>
        <v>0</v>
      </c>
      <c r="L101" s="111">
        <f>SUMIFS('Consolidated Input'!H$6:H$209,'Consolidated Input'!$A$6:$A$209,$F101,'Consolidated Input'!$B$6:$B$209,$C$90)*L$10*Time!L$29</f>
        <v>0</v>
      </c>
      <c r="M101" s="111">
        <f>SUMIFS('Consolidated Input'!S$6:S$209,'Consolidated Input'!$A$6:$A$209,$F101,'Consolidated Input'!$B$6:$B$209,$C$91)</f>
        <v>0</v>
      </c>
      <c r="N101" s="111">
        <f>SUMIFS('Consolidated Input'!T$6:T$209,'Consolidated Input'!$A$6:$A$209,$F101,'Consolidated Input'!$B$6:$B$209,$C$91)</f>
        <v>0</v>
      </c>
      <c r="O101" s="111">
        <f>SUMIFS('Consolidated Input'!U$6:U$209,'Consolidated Input'!$A$6:$A$209,$F101,'Consolidated Input'!$B$6:$B$209,$C$91)</f>
        <v>0</v>
      </c>
      <c r="P101" s="111">
        <f>SUMIFS('Consolidated Input'!V$6:V$209,'Consolidated Input'!$A$6:$A$209,$F101,'Consolidated Input'!$B$6:$B$209,$C$91)</f>
        <v>0</v>
      </c>
      <c r="Q101" s="111">
        <f>SUMIFS('Consolidated Input'!W$6:W$209,'Consolidated Input'!$A$6:$A$209,$F101,'Consolidated Input'!$B$6:$B$209,$C$91)</f>
        <v>0</v>
      </c>
      <c r="R101" s="111">
        <f>SUMIFS('Consolidated Input'!X$6:X$209,'Consolidated Input'!$A$6:$A$209,$F101,'Consolidated Input'!$B$6:$B$209,$C$91)</f>
        <v>0</v>
      </c>
      <c r="S101" s="111">
        <f>SUMIFS('Consolidated Input'!Y$6:Y$209,'Consolidated Input'!$A$6:$A$209,$F101,'Consolidated Input'!$B$6:$B$209,$C$91)</f>
        <v>0</v>
      </c>
      <c r="U101" s="111">
        <f t="shared" si="33"/>
        <v>0</v>
      </c>
      <c r="V101" s="111">
        <f t="shared" si="34"/>
        <v>0</v>
      </c>
    </row>
    <row r="102" spans="5:22" hidden="1" outlineLevel="1" x14ac:dyDescent="0.35">
      <c r="E102" s="10" t="str">
        <f>InpC!$E$30</f>
        <v>Southern Water</v>
      </c>
      <c r="F102" s="10" t="str">
        <f>InpC!$F$30</f>
        <v>SRN</v>
      </c>
      <c r="G102" s="22" t="s">
        <v>34</v>
      </c>
      <c r="J102" s="111">
        <f>SUMIFS('Consolidated Input'!F$6:F$209,'Consolidated Input'!$A$6:$A$209,$F102,'Consolidated Input'!$B$6:$B$209,$C$90)*J$10*Time!J$29</f>
        <v>7.2592523364485975E-2</v>
      </c>
      <c r="K102" s="111">
        <f>SUMIFS('Consolidated Input'!G$6:G$209,'Consolidated Input'!$A$6:$A$209,$F102,'Consolidated Input'!$B$6:$B$209,$C$90)*K$10*Time!K$29</f>
        <v>8.7640883977900569E-2</v>
      </c>
      <c r="L102" s="111">
        <f>SUMIFS('Consolidated Input'!H$6:H$209,'Consolidated Input'!$A$6:$A$209,$F102,'Consolidated Input'!$B$6:$B$209,$C$90)*L$10*Time!L$29</f>
        <v>0.18</v>
      </c>
      <c r="M102" s="111">
        <f>SUMIFS('Consolidated Input'!S$6:S$209,'Consolidated Input'!$A$6:$A$209,$F102,'Consolidated Input'!$B$6:$B$209,$C$91)</f>
        <v>0.376</v>
      </c>
      <c r="N102" s="111">
        <f>SUMIFS('Consolidated Input'!T$6:T$209,'Consolidated Input'!$A$6:$A$209,$F102,'Consolidated Input'!$B$6:$B$209,$C$91)</f>
        <v>9.0999999999999998E-2</v>
      </c>
      <c r="O102" s="111">
        <f>SUMIFS('Consolidated Input'!U$6:U$209,'Consolidated Input'!$A$6:$A$209,$F102,'Consolidated Input'!$B$6:$B$209,$C$91)</f>
        <v>0.35</v>
      </c>
      <c r="P102" s="111">
        <f>SUMIFS('Consolidated Input'!V$6:V$209,'Consolidated Input'!$A$6:$A$209,$F102,'Consolidated Input'!$B$6:$B$209,$C$91)</f>
        <v>0.35</v>
      </c>
      <c r="Q102" s="111">
        <f>SUMIFS('Consolidated Input'!W$6:W$209,'Consolidated Input'!$A$6:$A$209,$F102,'Consolidated Input'!$B$6:$B$209,$C$91)</f>
        <v>0.35</v>
      </c>
      <c r="R102" s="111">
        <f>SUMIFS('Consolidated Input'!X$6:X$209,'Consolidated Input'!$A$6:$A$209,$F102,'Consolidated Input'!$B$6:$B$209,$C$91)</f>
        <v>0.35</v>
      </c>
      <c r="S102" s="111">
        <f>SUMIFS('Consolidated Input'!Y$6:Y$209,'Consolidated Input'!$A$6:$A$209,$F102,'Consolidated Input'!$B$6:$B$209,$C$91)</f>
        <v>0.35</v>
      </c>
      <c r="U102" s="111">
        <f t="shared" si="33"/>
        <v>0.35</v>
      </c>
      <c r="V102" s="111">
        <f t="shared" si="34"/>
        <v>1.75</v>
      </c>
    </row>
    <row r="103" spans="5:22" hidden="1" outlineLevel="1" x14ac:dyDescent="0.35">
      <c r="E103" s="10" t="str">
        <f>InpC!$E$31</f>
        <v>Thames Water</v>
      </c>
      <c r="F103" s="10" t="str">
        <f>InpC!$F$31</f>
        <v>TMS</v>
      </c>
      <c r="G103" s="22" t="s">
        <v>34</v>
      </c>
      <c r="J103" s="111">
        <f>SUMIFS('Consolidated Input'!F$6:F$209,'Consolidated Input'!$A$6:$A$209,$F103,'Consolidated Input'!$B$6:$B$209,$C$90)*J$10*Time!J$29</f>
        <v>0.20346355140186917</v>
      </c>
      <c r="K103" s="111">
        <f>SUMIFS('Consolidated Input'!G$6:G$209,'Consolidated Input'!$A$6:$A$209,$F103,'Consolidated Input'!$B$6:$B$209,$C$90)*K$10*Time!K$29</f>
        <v>0.55707366482504617</v>
      </c>
      <c r="L103" s="111">
        <f>SUMIFS('Consolidated Input'!H$6:H$209,'Consolidated Input'!$A$6:$A$209,$F103,'Consolidated Input'!$B$6:$B$209,$C$90)*L$10*Time!L$29</f>
        <v>0.35</v>
      </c>
      <c r="M103" s="111">
        <f>SUMIFS('Consolidated Input'!S$6:S$209,'Consolidated Input'!$A$6:$A$209,$F103,'Consolidated Input'!$B$6:$B$209,$C$91)</f>
        <v>0.44402277039848159</v>
      </c>
      <c r="N103" s="111">
        <f>SUMIFS('Consolidated Input'!T$6:T$209,'Consolidated Input'!$A$6:$A$209,$F103,'Consolidated Input'!$B$6:$B$209,$C$91)</f>
        <v>0.29599999999999999</v>
      </c>
      <c r="O103" s="111">
        <f>SUMIFS('Consolidated Input'!U$6:U$209,'Consolidated Input'!$A$6:$A$209,$F103,'Consolidated Input'!$B$6:$B$209,$C$91)</f>
        <v>0.30399999999999999</v>
      </c>
      <c r="P103" s="111">
        <f>SUMIFS('Consolidated Input'!V$6:V$209,'Consolidated Input'!$A$6:$A$209,$F103,'Consolidated Input'!$B$6:$B$209,$C$91)</f>
        <v>0.30399999999999999</v>
      </c>
      <c r="Q103" s="111">
        <f>SUMIFS('Consolidated Input'!W$6:W$209,'Consolidated Input'!$A$6:$A$209,$F103,'Consolidated Input'!$B$6:$B$209,$C$91)</f>
        <v>0.30399999999999999</v>
      </c>
      <c r="R103" s="111">
        <f>SUMIFS('Consolidated Input'!X$6:X$209,'Consolidated Input'!$A$6:$A$209,$F103,'Consolidated Input'!$B$6:$B$209,$C$91)</f>
        <v>0.29699999999999999</v>
      </c>
      <c r="S103" s="111">
        <f>SUMIFS('Consolidated Input'!Y$6:Y$209,'Consolidated Input'!$A$6:$A$209,$F103,'Consolidated Input'!$B$6:$B$209,$C$91)</f>
        <v>0.29699999999999999</v>
      </c>
      <c r="U103" s="111">
        <f t="shared" si="33"/>
        <v>0.30119999999999997</v>
      </c>
      <c r="V103" s="111">
        <f t="shared" si="34"/>
        <v>1.5059999999999998</v>
      </c>
    </row>
    <row r="104" spans="5:22" hidden="1" outlineLevel="1" x14ac:dyDescent="0.35">
      <c r="E104" s="10" t="str">
        <f>InpC!$E$32</f>
        <v>United Utilities</v>
      </c>
      <c r="F104" s="10" t="str">
        <f>InpC!$F$32</f>
        <v>NWT</v>
      </c>
      <c r="G104" s="22" t="s">
        <v>34</v>
      </c>
      <c r="J104" s="111">
        <f>SUMIFS('Consolidated Input'!F$6:F$209,'Consolidated Input'!$A$6:$A$209,$F104,'Consolidated Input'!$B$6:$B$209,$C$90)*J$10*Time!J$29</f>
        <v>0</v>
      </c>
      <c r="K104" s="111">
        <f>SUMIFS('Consolidated Input'!G$6:G$209,'Consolidated Input'!$A$6:$A$209,$F104,'Consolidated Input'!$B$6:$B$209,$C$90)*K$10*Time!K$29</f>
        <v>0</v>
      </c>
      <c r="L104" s="111">
        <f>SUMIFS('Consolidated Input'!H$6:H$209,'Consolidated Input'!$A$6:$A$209,$F104,'Consolidated Input'!$B$6:$B$209,$C$90)*L$10*Time!L$29</f>
        <v>0</v>
      </c>
      <c r="M104" s="111">
        <f>SUMIFS('Consolidated Input'!S$6:S$209,'Consolidated Input'!$A$6:$A$209,$F104,'Consolidated Input'!$B$6:$B$209,$C$91)</f>
        <v>0</v>
      </c>
      <c r="N104" s="111">
        <f>SUMIFS('Consolidated Input'!T$6:T$209,'Consolidated Input'!$A$6:$A$209,$F104,'Consolidated Input'!$B$6:$B$209,$C$91)</f>
        <v>0</v>
      </c>
      <c r="O104" s="111">
        <f>SUMIFS('Consolidated Input'!U$6:U$209,'Consolidated Input'!$A$6:$A$209,$F104,'Consolidated Input'!$B$6:$B$209,$C$91)</f>
        <v>4.1708182918053713E-2</v>
      </c>
      <c r="P104" s="111">
        <f>SUMIFS('Consolidated Input'!V$6:V$209,'Consolidated Input'!$A$6:$A$209,$F104,'Consolidated Input'!$B$6:$B$209,$C$91)</f>
        <v>4.2160256588246632E-2</v>
      </c>
      <c r="Q104" s="111">
        <f>SUMIFS('Consolidated Input'!W$6:W$209,'Consolidated Input'!$A$6:$A$209,$F104,'Consolidated Input'!$B$6:$B$209,$C$91)</f>
        <v>4.2058886769113388E-2</v>
      </c>
      <c r="R104" s="111">
        <f>SUMIFS('Consolidated Input'!X$6:X$209,'Consolidated Input'!$A$6:$A$209,$F104,'Consolidated Input'!$B$6:$B$209,$C$91)</f>
        <v>4.2484226429666379E-2</v>
      </c>
      <c r="S104" s="111">
        <f>SUMIFS('Consolidated Input'!Y$6:Y$209,'Consolidated Input'!$A$6:$A$209,$F104,'Consolidated Input'!$B$6:$B$209,$C$91)</f>
        <v>4.2491635905242187E-2</v>
      </c>
      <c r="U104" s="111">
        <f t="shared" si="33"/>
        <v>4.2180637722064464E-2</v>
      </c>
      <c r="V104" s="111">
        <f t="shared" si="34"/>
        <v>0.21090318861032231</v>
      </c>
    </row>
    <row r="105" spans="5:22" hidden="1" outlineLevel="1" x14ac:dyDescent="0.35">
      <c r="E105" s="10" t="str">
        <f>InpC!$E$33</f>
        <v>Wessex Water</v>
      </c>
      <c r="F105" s="10" t="str">
        <f>InpC!$F$33</f>
        <v>WSX</v>
      </c>
      <c r="G105" s="22" t="s">
        <v>34</v>
      </c>
      <c r="J105" s="111">
        <f>SUMIFS('Consolidated Input'!F$6:F$209,'Consolidated Input'!$A$6:$A$209,$F105,'Consolidated Input'!$B$6:$B$209,$C$90)*J$10*Time!J$29</f>
        <v>0</v>
      </c>
      <c r="K105" s="111">
        <f>SUMIFS('Consolidated Input'!G$6:G$209,'Consolidated Input'!$A$6:$A$209,$F105,'Consolidated Input'!$B$6:$B$209,$C$90)*K$10*Time!K$29</f>
        <v>0</v>
      </c>
      <c r="L105" s="111">
        <f>SUMIFS('Consolidated Input'!H$6:H$209,'Consolidated Input'!$A$6:$A$209,$F105,'Consolidated Input'!$B$6:$B$209,$C$90)*L$10*Time!L$29</f>
        <v>0</v>
      </c>
      <c r="M105" s="111">
        <f>SUMIFS('Consolidated Input'!S$6:S$209,'Consolidated Input'!$A$6:$A$209,$F105,'Consolidated Input'!$B$6:$B$209,$C$91)</f>
        <v>0</v>
      </c>
      <c r="N105" s="111">
        <f>SUMIFS('Consolidated Input'!T$6:T$209,'Consolidated Input'!$A$6:$A$209,$F105,'Consolidated Input'!$B$6:$B$209,$C$91)</f>
        <v>0</v>
      </c>
      <c r="O105" s="111">
        <f>SUMIFS('Consolidated Input'!U$6:U$209,'Consolidated Input'!$A$6:$A$209,$F105,'Consolidated Input'!$B$6:$B$209,$C$91)</f>
        <v>0</v>
      </c>
      <c r="P105" s="111">
        <f>SUMIFS('Consolidated Input'!V$6:V$209,'Consolidated Input'!$A$6:$A$209,$F105,'Consolidated Input'!$B$6:$B$209,$C$91)</f>
        <v>0</v>
      </c>
      <c r="Q105" s="111">
        <f>SUMIFS('Consolidated Input'!W$6:W$209,'Consolidated Input'!$A$6:$A$209,$F105,'Consolidated Input'!$B$6:$B$209,$C$91)</f>
        <v>0</v>
      </c>
      <c r="R105" s="111">
        <f>SUMIFS('Consolidated Input'!X$6:X$209,'Consolidated Input'!$A$6:$A$209,$F105,'Consolidated Input'!$B$6:$B$209,$C$91)</f>
        <v>0</v>
      </c>
      <c r="S105" s="111">
        <f>SUMIFS('Consolidated Input'!Y$6:Y$209,'Consolidated Input'!$A$6:$A$209,$F105,'Consolidated Input'!$B$6:$B$209,$C$91)</f>
        <v>0</v>
      </c>
      <c r="U105" s="111">
        <f t="shared" si="33"/>
        <v>0</v>
      </c>
      <c r="V105" s="111">
        <f t="shared" si="34"/>
        <v>0</v>
      </c>
    </row>
    <row r="106" spans="5:22" hidden="1" outlineLevel="1" x14ac:dyDescent="0.35">
      <c r="E106" s="10" t="str">
        <f>InpC!$E$34</f>
        <v>Yorkshire Water</v>
      </c>
      <c r="F106" s="10" t="str">
        <f>InpC!$F$34</f>
        <v>YKY</v>
      </c>
      <c r="G106" s="22" t="s">
        <v>34</v>
      </c>
      <c r="J106" s="111">
        <f>SUMIFS('Consolidated Input'!F$6:F$209,'Consolidated Input'!$A$6:$A$209,$F106,'Consolidated Input'!$B$6:$B$209,$C$90)*J$10*Time!J$29</f>
        <v>0</v>
      </c>
      <c r="K106" s="111">
        <f>SUMIFS('Consolidated Input'!G$6:G$209,'Consolidated Input'!$A$6:$A$209,$F106,'Consolidated Input'!$B$6:$B$209,$C$90)*K$10*Time!K$29</f>
        <v>0</v>
      </c>
      <c r="L106" s="111">
        <f>SUMIFS('Consolidated Input'!H$6:H$209,'Consolidated Input'!$A$6:$A$209,$F106,'Consolidated Input'!$B$6:$B$209,$C$90)*L$10*Time!L$29</f>
        <v>0</v>
      </c>
      <c r="M106" s="111">
        <f>SUMIFS('Consolidated Input'!S$6:S$209,'Consolidated Input'!$A$6:$A$209,$F106,'Consolidated Input'!$B$6:$B$209,$C$91)</f>
        <v>0</v>
      </c>
      <c r="N106" s="111">
        <f>SUMIFS('Consolidated Input'!T$6:T$209,'Consolidated Input'!$A$6:$A$209,$F106,'Consolidated Input'!$B$6:$B$209,$C$91)</f>
        <v>0</v>
      </c>
      <c r="O106" s="111">
        <f>SUMIFS('Consolidated Input'!U$6:U$209,'Consolidated Input'!$A$6:$A$209,$F106,'Consolidated Input'!$B$6:$B$209,$C$91)</f>
        <v>0.107</v>
      </c>
      <c r="P106" s="111">
        <f>SUMIFS('Consolidated Input'!V$6:V$209,'Consolidated Input'!$A$6:$A$209,$F106,'Consolidated Input'!$B$6:$B$209,$C$91)</f>
        <v>0.107</v>
      </c>
      <c r="Q106" s="111">
        <f>SUMIFS('Consolidated Input'!W$6:W$209,'Consolidated Input'!$A$6:$A$209,$F106,'Consolidated Input'!$B$6:$B$209,$C$91)</f>
        <v>0.107</v>
      </c>
      <c r="R106" s="111">
        <f>SUMIFS('Consolidated Input'!X$6:X$209,'Consolidated Input'!$A$6:$A$209,$F106,'Consolidated Input'!$B$6:$B$209,$C$91)</f>
        <v>0.107</v>
      </c>
      <c r="S106" s="111">
        <f>SUMIFS('Consolidated Input'!Y$6:Y$209,'Consolidated Input'!$A$6:$A$209,$F106,'Consolidated Input'!$B$6:$B$209,$C$91)</f>
        <v>0.107</v>
      </c>
      <c r="U106" s="111">
        <f t="shared" si="33"/>
        <v>0.10700000000000001</v>
      </c>
      <c r="V106" s="111">
        <f t="shared" si="34"/>
        <v>0.53500000000000003</v>
      </c>
    </row>
    <row r="107" spans="5:22" hidden="1" outlineLevel="1" x14ac:dyDescent="0.35">
      <c r="E107" s="10" t="str">
        <f>InpC!$E$35</f>
        <v>Affinity Water</v>
      </c>
      <c r="F107" s="10" t="str">
        <f>InpC!$F$35</f>
        <v>AFW</v>
      </c>
      <c r="G107" s="22" t="s">
        <v>34</v>
      </c>
      <c r="J107" s="111">
        <f>SUMIFS('Consolidated Input'!F$6:F$209,'Consolidated Input'!$A$6:$A$209,$F107,'Consolidated Input'!$B$6:$B$209,$C$90)*J$10*Time!J$29</f>
        <v>0</v>
      </c>
      <c r="K107" s="111">
        <f>SUMIFS('Consolidated Input'!G$6:G$209,'Consolidated Input'!$A$6:$A$209,$F107,'Consolidated Input'!$B$6:$B$209,$C$90)*K$10*Time!K$29</f>
        <v>0</v>
      </c>
      <c r="L107" s="111">
        <f>SUMIFS('Consolidated Input'!H$6:H$209,'Consolidated Input'!$A$6:$A$209,$F107,'Consolidated Input'!$B$6:$B$209,$C$90)*L$10*Time!L$29</f>
        <v>0</v>
      </c>
      <c r="M107" s="111">
        <f>SUMIFS('Consolidated Input'!S$6:S$209,'Consolidated Input'!$A$6:$A$209,$F107,'Consolidated Input'!$B$6:$B$209,$C$91)</f>
        <v>0</v>
      </c>
      <c r="N107" s="111">
        <f>SUMIFS('Consolidated Input'!T$6:T$209,'Consolidated Input'!$A$6:$A$209,$F107,'Consolidated Input'!$B$6:$B$209,$C$91)</f>
        <v>0</v>
      </c>
      <c r="O107" s="111">
        <f>SUMIFS('Consolidated Input'!U$6:U$209,'Consolidated Input'!$A$6:$A$209,$F107,'Consolidated Input'!$B$6:$B$209,$C$91)</f>
        <v>0</v>
      </c>
      <c r="P107" s="111">
        <f>SUMIFS('Consolidated Input'!V$6:V$209,'Consolidated Input'!$A$6:$A$209,$F107,'Consolidated Input'!$B$6:$B$209,$C$91)</f>
        <v>0</v>
      </c>
      <c r="Q107" s="111">
        <f>SUMIFS('Consolidated Input'!W$6:W$209,'Consolidated Input'!$A$6:$A$209,$F107,'Consolidated Input'!$B$6:$B$209,$C$91)</f>
        <v>0</v>
      </c>
      <c r="R107" s="111">
        <f>SUMIFS('Consolidated Input'!X$6:X$209,'Consolidated Input'!$A$6:$A$209,$F107,'Consolidated Input'!$B$6:$B$209,$C$91)</f>
        <v>0</v>
      </c>
      <c r="S107" s="111">
        <f>SUMIFS('Consolidated Input'!Y$6:Y$209,'Consolidated Input'!$A$6:$A$209,$F107,'Consolidated Input'!$B$6:$B$209,$C$91)</f>
        <v>0</v>
      </c>
      <c r="U107" s="111">
        <f t="shared" si="33"/>
        <v>0</v>
      </c>
      <c r="V107" s="111">
        <f t="shared" si="34"/>
        <v>0</v>
      </c>
    </row>
    <row r="108" spans="5:22" hidden="1" outlineLevel="1" x14ac:dyDescent="0.35">
      <c r="E108" s="10" t="str">
        <f>InpC!$E$36</f>
        <v>Portsmouth Water</v>
      </c>
      <c r="F108" s="10" t="str">
        <f>InpC!$F$36</f>
        <v>PRT</v>
      </c>
      <c r="G108" s="22" t="s">
        <v>34</v>
      </c>
      <c r="J108" s="111">
        <f>SUMIFS('Consolidated Input'!F$6:F$209,'Consolidated Input'!$A$6:$A$209,$F108,'Consolidated Input'!$B$6:$B$209,$C$90)*J$10*Time!J$29</f>
        <v>0</v>
      </c>
      <c r="K108" s="111">
        <f>SUMIFS('Consolidated Input'!G$6:G$209,'Consolidated Input'!$A$6:$A$209,$F108,'Consolidated Input'!$B$6:$B$209,$C$90)*K$10*Time!K$29</f>
        <v>0</v>
      </c>
      <c r="L108" s="111">
        <f>SUMIFS('Consolidated Input'!H$6:H$209,'Consolidated Input'!$A$6:$A$209,$F108,'Consolidated Input'!$B$6:$B$209,$C$90)*L$10*Time!L$29</f>
        <v>0</v>
      </c>
      <c r="M108" s="111">
        <f>SUMIFS('Consolidated Input'!S$6:S$209,'Consolidated Input'!$A$6:$A$209,$F108,'Consolidated Input'!$B$6:$B$209,$C$91)</f>
        <v>0</v>
      </c>
      <c r="N108" s="111">
        <f>SUMIFS('Consolidated Input'!T$6:T$209,'Consolidated Input'!$A$6:$A$209,$F108,'Consolidated Input'!$B$6:$B$209,$C$91)</f>
        <v>0</v>
      </c>
      <c r="O108" s="111">
        <f>SUMIFS('Consolidated Input'!U$6:U$209,'Consolidated Input'!$A$6:$A$209,$F108,'Consolidated Input'!$B$6:$B$209,$C$91)</f>
        <v>0</v>
      </c>
      <c r="P108" s="111">
        <f>SUMIFS('Consolidated Input'!V$6:V$209,'Consolidated Input'!$A$6:$A$209,$F108,'Consolidated Input'!$B$6:$B$209,$C$91)</f>
        <v>0</v>
      </c>
      <c r="Q108" s="111">
        <f>SUMIFS('Consolidated Input'!W$6:W$209,'Consolidated Input'!$A$6:$A$209,$F108,'Consolidated Input'!$B$6:$B$209,$C$91)</f>
        <v>0</v>
      </c>
      <c r="R108" s="111">
        <f>SUMIFS('Consolidated Input'!X$6:X$209,'Consolidated Input'!$A$6:$A$209,$F108,'Consolidated Input'!$B$6:$B$209,$C$91)</f>
        <v>0</v>
      </c>
      <c r="S108" s="111">
        <f>SUMIFS('Consolidated Input'!Y$6:Y$209,'Consolidated Input'!$A$6:$A$209,$F108,'Consolidated Input'!$B$6:$B$209,$C$91)</f>
        <v>0</v>
      </c>
      <c r="U108" s="111">
        <f t="shared" si="33"/>
        <v>0</v>
      </c>
      <c r="V108" s="111">
        <f t="shared" si="34"/>
        <v>0</v>
      </c>
    </row>
    <row r="109" spans="5:22" hidden="1" outlineLevel="1" x14ac:dyDescent="0.35">
      <c r="E109" s="10" t="str">
        <f>InpC!$E$37</f>
        <v>South East Water</v>
      </c>
      <c r="F109" s="10" t="str">
        <f>InpC!$F$37</f>
        <v>SEW</v>
      </c>
      <c r="G109" s="22" t="s">
        <v>34</v>
      </c>
      <c r="J109" s="111">
        <f>SUMIFS('Consolidated Input'!F$6:F$209,'Consolidated Input'!$A$6:$A$209,$F109,'Consolidated Input'!$B$6:$B$209,$C$90)*J$10*Time!J$29</f>
        <v>0</v>
      </c>
      <c r="K109" s="111">
        <f>SUMIFS('Consolidated Input'!G$6:G$209,'Consolidated Input'!$A$6:$A$209,$F109,'Consolidated Input'!$B$6:$B$209,$C$90)*K$10*Time!K$29</f>
        <v>0</v>
      </c>
      <c r="L109" s="111">
        <f>SUMIFS('Consolidated Input'!H$6:H$209,'Consolidated Input'!$A$6:$A$209,$F109,'Consolidated Input'!$B$6:$B$209,$C$90)*L$10*Time!L$29</f>
        <v>0</v>
      </c>
      <c r="M109" s="111">
        <f>SUMIFS('Consolidated Input'!S$6:S$209,'Consolidated Input'!$A$6:$A$209,$F109,'Consolidated Input'!$B$6:$B$209,$C$91)</f>
        <v>0</v>
      </c>
      <c r="N109" s="111">
        <f>SUMIFS('Consolidated Input'!T$6:T$209,'Consolidated Input'!$A$6:$A$209,$F109,'Consolidated Input'!$B$6:$B$209,$C$91)</f>
        <v>0</v>
      </c>
      <c r="O109" s="111">
        <f>SUMIFS('Consolidated Input'!U$6:U$209,'Consolidated Input'!$A$6:$A$209,$F109,'Consolidated Input'!$B$6:$B$209,$C$91)</f>
        <v>0</v>
      </c>
      <c r="P109" s="111">
        <f>SUMIFS('Consolidated Input'!V$6:V$209,'Consolidated Input'!$A$6:$A$209,$F109,'Consolidated Input'!$B$6:$B$209,$C$91)</f>
        <v>0</v>
      </c>
      <c r="Q109" s="111">
        <f>SUMIFS('Consolidated Input'!W$6:W$209,'Consolidated Input'!$A$6:$A$209,$F109,'Consolidated Input'!$B$6:$B$209,$C$91)</f>
        <v>0</v>
      </c>
      <c r="R109" s="111">
        <f>SUMIFS('Consolidated Input'!X$6:X$209,'Consolidated Input'!$A$6:$A$209,$F109,'Consolidated Input'!$B$6:$B$209,$C$91)</f>
        <v>0</v>
      </c>
      <c r="S109" s="111">
        <f>SUMIFS('Consolidated Input'!Y$6:Y$209,'Consolidated Input'!$A$6:$A$209,$F109,'Consolidated Input'!$B$6:$B$209,$C$91)</f>
        <v>0</v>
      </c>
      <c r="U109" s="111">
        <f t="shared" si="33"/>
        <v>0</v>
      </c>
      <c r="V109" s="111">
        <f t="shared" si="34"/>
        <v>0</v>
      </c>
    </row>
    <row r="110" spans="5:22" hidden="1" outlineLevel="1" x14ac:dyDescent="0.35">
      <c r="E110" s="10" t="str">
        <f>InpC!$E$38</f>
        <v>South Staffs Water</v>
      </c>
      <c r="F110" s="10" t="str">
        <f>InpC!$F$38</f>
        <v>SSC</v>
      </c>
      <c r="G110" s="22" t="s">
        <v>34</v>
      </c>
      <c r="J110" s="111">
        <f>SUMIFS('Consolidated Input'!F$6:F$209,'Consolidated Input'!$A$6:$A$209,$F110,'Consolidated Input'!$B$6:$B$209,$C$90)*J$10*Time!J$29</f>
        <v>0</v>
      </c>
      <c r="K110" s="111">
        <f>SUMIFS('Consolidated Input'!G$6:G$209,'Consolidated Input'!$A$6:$A$209,$F110,'Consolidated Input'!$B$6:$B$209,$C$90)*K$10*Time!K$29</f>
        <v>0</v>
      </c>
      <c r="L110" s="111">
        <f>SUMIFS('Consolidated Input'!H$6:H$209,'Consolidated Input'!$A$6:$A$209,$F110,'Consolidated Input'!$B$6:$B$209,$C$90)*L$10*Time!L$29</f>
        <v>0</v>
      </c>
      <c r="M110" s="111">
        <f>SUMIFS('Consolidated Input'!S$6:S$209,'Consolidated Input'!$A$6:$A$209,$F110,'Consolidated Input'!$B$6:$B$209,$C$91)</f>
        <v>0</v>
      </c>
      <c r="N110" s="111">
        <f>SUMIFS('Consolidated Input'!T$6:T$209,'Consolidated Input'!$A$6:$A$209,$F110,'Consolidated Input'!$B$6:$B$209,$C$91)</f>
        <v>0</v>
      </c>
      <c r="O110" s="111">
        <f>SUMIFS('Consolidated Input'!U$6:U$209,'Consolidated Input'!$A$6:$A$209,$F110,'Consolidated Input'!$B$6:$B$209,$C$91)</f>
        <v>0</v>
      </c>
      <c r="P110" s="111">
        <f>SUMIFS('Consolidated Input'!V$6:V$209,'Consolidated Input'!$A$6:$A$209,$F110,'Consolidated Input'!$B$6:$B$209,$C$91)</f>
        <v>0</v>
      </c>
      <c r="Q110" s="111">
        <f>SUMIFS('Consolidated Input'!W$6:W$209,'Consolidated Input'!$A$6:$A$209,$F110,'Consolidated Input'!$B$6:$B$209,$C$91)</f>
        <v>0</v>
      </c>
      <c r="R110" s="111">
        <f>SUMIFS('Consolidated Input'!X$6:X$209,'Consolidated Input'!$A$6:$A$209,$F110,'Consolidated Input'!$B$6:$B$209,$C$91)</f>
        <v>0</v>
      </c>
      <c r="S110" s="111">
        <f>SUMIFS('Consolidated Input'!Y$6:Y$209,'Consolidated Input'!$A$6:$A$209,$F110,'Consolidated Input'!$B$6:$B$209,$C$91)</f>
        <v>0</v>
      </c>
      <c r="U110" s="111">
        <f t="shared" si="33"/>
        <v>0</v>
      </c>
      <c r="V110" s="111">
        <f t="shared" si="34"/>
        <v>0</v>
      </c>
    </row>
    <row r="111" spans="5:22" hidden="1" outlineLevel="1" x14ac:dyDescent="0.35">
      <c r="E111" s="10" t="str">
        <f>InpC!$E$39</f>
        <v>SES Water</v>
      </c>
      <c r="F111" s="10" t="str">
        <f>InpC!$F$39</f>
        <v>SES</v>
      </c>
      <c r="G111" s="22" t="s">
        <v>34</v>
      </c>
      <c r="J111" s="111">
        <f>SUMIFS('Consolidated Input'!F$6:F$209,'Consolidated Input'!$A$6:$A$209,$F111,'Consolidated Input'!$B$6:$B$209,$C$90)*J$10*Time!J$29</f>
        <v>0</v>
      </c>
      <c r="K111" s="111">
        <f>SUMIFS('Consolidated Input'!G$6:G$209,'Consolidated Input'!$A$6:$A$209,$F111,'Consolidated Input'!$B$6:$B$209,$C$90)*K$10*Time!K$29</f>
        <v>0</v>
      </c>
      <c r="L111" s="111">
        <f>SUMIFS('Consolidated Input'!H$6:H$209,'Consolidated Input'!$A$6:$A$209,$F111,'Consolidated Input'!$B$6:$B$209,$C$90)*L$10*Time!L$29</f>
        <v>0</v>
      </c>
      <c r="M111" s="111">
        <f>SUMIFS('Consolidated Input'!S$6:S$209,'Consolidated Input'!$A$6:$A$209,$F111,'Consolidated Input'!$B$6:$B$209,$C$91)</f>
        <v>0</v>
      </c>
      <c r="N111" s="111">
        <f>SUMIFS('Consolidated Input'!T$6:T$209,'Consolidated Input'!$A$6:$A$209,$F111,'Consolidated Input'!$B$6:$B$209,$C$91)</f>
        <v>0</v>
      </c>
      <c r="O111" s="111">
        <f>SUMIFS('Consolidated Input'!U$6:U$209,'Consolidated Input'!$A$6:$A$209,$F111,'Consolidated Input'!$B$6:$B$209,$C$91)</f>
        <v>0</v>
      </c>
      <c r="P111" s="111">
        <f>SUMIFS('Consolidated Input'!V$6:V$209,'Consolidated Input'!$A$6:$A$209,$F111,'Consolidated Input'!$B$6:$B$209,$C$91)</f>
        <v>0</v>
      </c>
      <c r="Q111" s="111">
        <f>SUMIFS('Consolidated Input'!W$6:W$209,'Consolidated Input'!$A$6:$A$209,$F111,'Consolidated Input'!$B$6:$B$209,$C$91)</f>
        <v>0</v>
      </c>
      <c r="R111" s="111">
        <f>SUMIFS('Consolidated Input'!X$6:X$209,'Consolidated Input'!$A$6:$A$209,$F111,'Consolidated Input'!$B$6:$B$209,$C$91)</f>
        <v>0</v>
      </c>
      <c r="S111" s="111">
        <f>SUMIFS('Consolidated Input'!Y$6:Y$209,'Consolidated Input'!$A$6:$A$209,$F111,'Consolidated Input'!$B$6:$B$209,$C$91)</f>
        <v>0</v>
      </c>
      <c r="U111" s="111">
        <f t="shared" si="33"/>
        <v>0</v>
      </c>
      <c r="V111" s="111">
        <f t="shared" si="34"/>
        <v>0</v>
      </c>
    </row>
    <row r="112" spans="5:22" hidden="1" outlineLevel="1" x14ac:dyDescent="0.35">
      <c r="E112" s="10" t="str">
        <f>InpC!$E$40</f>
        <v>South West Water</v>
      </c>
      <c r="F112" s="10" t="str">
        <f>InpC!$F$40</f>
        <v>SWB</v>
      </c>
      <c r="G112" s="22" t="s">
        <v>34</v>
      </c>
      <c r="J112" s="111">
        <f>SUMIFS('Consolidated Input'!F$6:F$209,'Consolidated Input'!$A$6:$A$209,$F112,'Consolidated Input'!$B$6:$B$209,$C$90)*J$10*Time!J$29</f>
        <v>0</v>
      </c>
      <c r="K112" s="111">
        <f>SUMIFS('Consolidated Input'!G$6:G$209,'Consolidated Input'!$A$6:$A$209,$F112,'Consolidated Input'!$B$6:$B$209,$C$90)*K$10*Time!K$29</f>
        <v>0</v>
      </c>
      <c r="L112" s="111">
        <f>SUMIFS('Consolidated Input'!H$6:H$209,'Consolidated Input'!$A$6:$A$209,$F112,'Consolidated Input'!$B$6:$B$209,$C$90)*L$10*Time!L$29</f>
        <v>0</v>
      </c>
      <c r="M112" s="111">
        <f>SUMIFS('Consolidated Input'!S$6:S$209,'Consolidated Input'!$A$6:$A$209,$F112,'Consolidated Input'!$B$6:$B$209,$C$91)</f>
        <v>0</v>
      </c>
      <c r="N112" s="111">
        <f>SUMIFS('Consolidated Input'!T$6:T$209,'Consolidated Input'!$A$6:$A$209,$F112,'Consolidated Input'!$B$6:$B$209,$C$91)</f>
        <v>0</v>
      </c>
      <c r="O112" s="111">
        <f>SUMIFS('Consolidated Input'!U$6:U$209,'Consolidated Input'!$A$6:$A$209,$F112,'Consolidated Input'!$B$6:$B$209,$C$91)</f>
        <v>0</v>
      </c>
      <c r="P112" s="111">
        <f>SUMIFS('Consolidated Input'!V$6:V$209,'Consolidated Input'!$A$6:$A$209,$F112,'Consolidated Input'!$B$6:$B$209,$C$91)</f>
        <v>0</v>
      </c>
      <c r="Q112" s="111">
        <f>SUMIFS('Consolidated Input'!W$6:W$209,'Consolidated Input'!$A$6:$A$209,$F112,'Consolidated Input'!$B$6:$B$209,$C$91)</f>
        <v>0</v>
      </c>
      <c r="R112" s="111">
        <f>SUMIFS('Consolidated Input'!X$6:X$209,'Consolidated Input'!$A$6:$A$209,$F112,'Consolidated Input'!$B$6:$B$209,$C$91)</f>
        <v>0</v>
      </c>
      <c r="S112" s="111">
        <f>SUMIFS('Consolidated Input'!Y$6:Y$209,'Consolidated Input'!$A$6:$A$209,$F112,'Consolidated Input'!$B$6:$B$209,$C$91)</f>
        <v>0</v>
      </c>
      <c r="U112" s="111">
        <f t="shared" si="33"/>
        <v>0</v>
      </c>
      <c r="V112" s="111">
        <f t="shared" si="34"/>
        <v>0</v>
      </c>
    </row>
    <row r="113" spans="3:22" hidden="1" outlineLevel="1" x14ac:dyDescent="0.35">
      <c r="E113" s="10" t="str">
        <f>InpC!$E$41</f>
        <v>Bristol Water</v>
      </c>
      <c r="F113" s="10" t="str">
        <f>InpC!$F$41</f>
        <v>BRL</v>
      </c>
      <c r="G113" s="22" t="s">
        <v>34</v>
      </c>
      <c r="J113" s="111">
        <f>SUMIFS('Consolidated Input'!F$6:F$209,'Consolidated Input'!$A$6:$A$209,$F113,'Consolidated Input'!$B$6:$B$209,$C$90)*J$10*Time!J$29</f>
        <v>0</v>
      </c>
      <c r="K113" s="111">
        <f>SUMIFS('Consolidated Input'!G$6:G$209,'Consolidated Input'!$A$6:$A$209,$F113,'Consolidated Input'!$B$6:$B$209,$C$90)*K$10*Time!K$29</f>
        <v>0</v>
      </c>
      <c r="L113" s="111">
        <f>SUMIFS('Consolidated Input'!H$6:H$209,'Consolidated Input'!$A$6:$A$209,$F113,'Consolidated Input'!$B$6:$B$209,$C$90)*L$10*Time!L$29</f>
        <v>0</v>
      </c>
      <c r="M113" s="111">
        <f>SUMIFS('Consolidated Input'!S$6:S$209,'Consolidated Input'!$A$6:$A$209,$F113,'Consolidated Input'!$B$6:$B$209,$C$91)</f>
        <v>0</v>
      </c>
      <c r="N113" s="111">
        <f>SUMIFS('Consolidated Input'!T$6:T$209,'Consolidated Input'!$A$6:$A$209,$F113,'Consolidated Input'!$B$6:$B$209,$C$91)</f>
        <v>0</v>
      </c>
      <c r="O113" s="111">
        <f>SUMIFS('Consolidated Input'!U$6:U$209,'Consolidated Input'!$A$6:$A$209,$F113,'Consolidated Input'!$B$6:$B$209,$C$91)</f>
        <v>0</v>
      </c>
      <c r="P113" s="111">
        <f>SUMIFS('Consolidated Input'!V$6:V$209,'Consolidated Input'!$A$6:$A$209,$F113,'Consolidated Input'!$B$6:$B$209,$C$91)</f>
        <v>0</v>
      </c>
      <c r="Q113" s="111">
        <f>SUMIFS('Consolidated Input'!W$6:W$209,'Consolidated Input'!$A$6:$A$209,$F113,'Consolidated Input'!$B$6:$B$209,$C$91)</f>
        <v>0</v>
      </c>
      <c r="R113" s="111">
        <f>SUMIFS('Consolidated Input'!X$6:X$209,'Consolidated Input'!$A$6:$A$209,$F113,'Consolidated Input'!$B$6:$B$209,$C$91)</f>
        <v>0</v>
      </c>
      <c r="S113" s="111">
        <f>SUMIFS('Consolidated Input'!Y$6:Y$209,'Consolidated Input'!$A$6:$A$209,$F113,'Consolidated Input'!$B$6:$B$209,$C$91)</f>
        <v>0</v>
      </c>
      <c r="U113" s="111">
        <f t="shared" si="33"/>
        <v>0</v>
      </c>
      <c r="V113" s="111">
        <f t="shared" si="34"/>
        <v>0</v>
      </c>
    </row>
    <row r="114" spans="3:22" hidden="1" outlineLevel="1" x14ac:dyDescent="0.35">
      <c r="E114" s="10" t="s">
        <v>147</v>
      </c>
      <c r="G114" s="22" t="s">
        <v>34</v>
      </c>
      <c r="J114" s="133">
        <f>SUM(J97:J113)</f>
        <v>0.27605607476635513</v>
      </c>
      <c r="K114" s="133">
        <f t="shared" ref="K114:S114" si="35">SUM(K97:K113)</f>
        <v>0.64471454880294676</v>
      </c>
      <c r="L114" s="133">
        <f t="shared" si="35"/>
        <v>0.53</v>
      </c>
      <c r="M114" s="133">
        <f t="shared" si="35"/>
        <v>0.82002277039848159</v>
      </c>
      <c r="N114" s="133">
        <f t="shared" si="35"/>
        <v>0.38700000000000001</v>
      </c>
      <c r="O114" s="133">
        <f t="shared" si="35"/>
        <v>0.80270818291805357</v>
      </c>
      <c r="P114" s="133">
        <f t="shared" si="35"/>
        <v>0.80316025658824652</v>
      </c>
      <c r="Q114" s="133">
        <f t="shared" si="35"/>
        <v>0.8030588867691133</v>
      </c>
      <c r="R114" s="133">
        <f t="shared" si="35"/>
        <v>0.79648422642966643</v>
      </c>
      <c r="S114" s="133">
        <f t="shared" si="35"/>
        <v>0.79649163590524219</v>
      </c>
      <c r="U114" s="133">
        <f t="shared" ref="U114:V114" si="36">SUM(U97:U113)</f>
        <v>0.80038063772206447</v>
      </c>
      <c r="V114" s="133">
        <f t="shared" si="36"/>
        <v>4.0019031886103225</v>
      </c>
    </row>
    <row r="116" spans="3:22" x14ac:dyDescent="0.35">
      <c r="C116" s="11" t="str">
        <f>C90</f>
        <v>WWS1104CAS</v>
      </c>
      <c r="D116" s="5" t="str">
        <f>D90</f>
        <v>Other expenditure - Costs associated with lane rental schemes - Total</v>
      </c>
      <c r="F116" s="131">
        <f>MATCH(D116,APRChoices,0)</f>
        <v>5</v>
      </c>
      <c r="G116" s="22" t="s">
        <v>125</v>
      </c>
      <c r="J116" s="74">
        <f>J$2</f>
        <v>44286</v>
      </c>
      <c r="K116" s="74">
        <f t="shared" ref="K116:V116" si="37">K$2</f>
        <v>44651</v>
      </c>
      <c r="L116" s="74">
        <f t="shared" si="37"/>
        <v>45016</v>
      </c>
      <c r="M116" s="74">
        <f t="shared" si="37"/>
        <v>45382</v>
      </c>
      <c r="N116" s="74">
        <f t="shared" si="37"/>
        <v>45747</v>
      </c>
      <c r="O116" s="74">
        <f t="shared" si="37"/>
        <v>46112</v>
      </c>
      <c r="P116" s="74">
        <f t="shared" si="37"/>
        <v>46477</v>
      </c>
      <c r="Q116" s="74">
        <f t="shared" si="37"/>
        <v>46843</v>
      </c>
      <c r="R116" s="74">
        <f t="shared" si="37"/>
        <v>47208</v>
      </c>
      <c r="S116" s="74">
        <f t="shared" si="37"/>
        <v>47573</v>
      </c>
      <c r="U116" s="74" t="str">
        <f t="shared" si="37"/>
        <v>PR24 Average</v>
      </c>
      <c r="V116" s="74" t="str">
        <f t="shared" si="37"/>
        <v>PR24 Total</v>
      </c>
    </row>
    <row r="117" spans="3:22" x14ac:dyDescent="0.35">
      <c r="C117" s="5" t="str">
        <f>INDEX(InpC!$G$57:$G$62,'Lane Rental Schemes'!F116,)</f>
        <v>CWW2_012TOT_PR24</v>
      </c>
      <c r="D117" s="5" t="str">
        <f>INDEX(InpC!$G$48:$G$53,'Lane Rental Schemes'!F116,)</f>
        <v>Location specific costs &amp; obligations - Costs associated with lane rental schemes - Total</v>
      </c>
      <c r="G117" s="22" t="s">
        <v>126</v>
      </c>
      <c r="J117" s="74"/>
      <c r="K117" s="74"/>
      <c r="L117" s="74"/>
      <c r="M117" s="74"/>
      <c r="N117" s="74"/>
      <c r="O117" s="74"/>
      <c r="P117" s="74"/>
      <c r="Q117" s="74"/>
      <c r="R117" s="74"/>
      <c r="S117" s="74"/>
      <c r="U117" s="74"/>
      <c r="V117" s="74"/>
    </row>
    <row r="118" spans="3:22" collapsed="1" x14ac:dyDescent="0.35">
      <c r="E118" s="5" t="s">
        <v>179</v>
      </c>
    </row>
    <row r="119" spans="3:22" hidden="1" outlineLevel="1" x14ac:dyDescent="0.35"/>
    <row r="120" spans="3:22" hidden="1" outlineLevel="1" x14ac:dyDescent="0.35">
      <c r="E120" s="130" t="s">
        <v>177</v>
      </c>
      <c r="J120" s="8"/>
      <c r="K120" s="8"/>
      <c r="L120" s="8"/>
      <c r="M120" s="8"/>
      <c r="N120" s="8"/>
      <c r="O120" s="8"/>
      <c r="P120" s="8"/>
      <c r="Q120" s="8"/>
      <c r="R120" s="8"/>
      <c r="S120" s="8"/>
      <c r="U120" s="8"/>
      <c r="V120" s="8"/>
    </row>
    <row r="121" spans="3:22" hidden="1" outlineLevel="1" x14ac:dyDescent="0.35">
      <c r="E121" s="129">
        <f>InpT!$F$8</f>
        <v>45016</v>
      </c>
      <c r="G121" s="22" t="s">
        <v>178</v>
      </c>
      <c r="J121" s="8"/>
      <c r="K121" s="8"/>
      <c r="L121" s="8"/>
      <c r="M121" s="8"/>
      <c r="N121" s="8"/>
      <c r="O121" s="8"/>
      <c r="P121" s="8"/>
      <c r="Q121" s="8"/>
      <c r="R121" s="8"/>
      <c r="S121" s="8"/>
      <c r="U121" s="8"/>
      <c r="V121" s="8"/>
    </row>
    <row r="122" spans="3:22" hidden="1" outlineLevel="1" x14ac:dyDescent="0.35">
      <c r="E122" s="129"/>
      <c r="J122" s="8"/>
      <c r="K122" s="8"/>
      <c r="L122" s="8"/>
      <c r="M122" s="8"/>
      <c r="N122" s="8"/>
      <c r="O122" s="8"/>
      <c r="P122" s="8"/>
      <c r="Q122" s="8"/>
      <c r="R122" s="8"/>
      <c r="S122" s="8"/>
      <c r="U122" s="8"/>
      <c r="V122" s="8"/>
    </row>
    <row r="123" spans="3:22" hidden="1" outlineLevel="1" x14ac:dyDescent="0.35">
      <c r="E123" s="10" t="str">
        <f>InpC!$E$25</f>
        <v>Anglian Water</v>
      </c>
      <c r="F123" s="10" t="str">
        <f>InpC!$F$25</f>
        <v>ANH</v>
      </c>
      <c r="G123" s="22" t="s">
        <v>34</v>
      </c>
      <c r="J123" s="128"/>
      <c r="K123" s="128"/>
      <c r="L123" s="128"/>
      <c r="M123" s="128"/>
      <c r="N123" s="128"/>
      <c r="O123" s="128"/>
      <c r="P123" s="128"/>
      <c r="Q123" s="128"/>
      <c r="R123" s="128"/>
      <c r="S123" s="128"/>
      <c r="U123" s="111">
        <f t="shared" ref="U123:U139" si="38">IFERROR(AVERAGE(O123:S123),0)</f>
        <v>0</v>
      </c>
      <c r="V123" s="111">
        <f t="shared" ref="V123:V139" si="39">SUM(O123:S123)</f>
        <v>0</v>
      </c>
    </row>
    <row r="124" spans="3:22" hidden="1" outlineLevel="1" x14ac:dyDescent="0.35">
      <c r="E124" s="10" t="str">
        <f>InpC!$E$26</f>
        <v>Dŵr Cymru</v>
      </c>
      <c r="F124" s="10" t="str">
        <f>InpC!$F$26</f>
        <v>WSH</v>
      </c>
      <c r="G124" s="22" t="s">
        <v>34</v>
      </c>
      <c r="J124" s="128"/>
      <c r="K124" s="128"/>
      <c r="L124" s="128"/>
      <c r="M124" s="128"/>
      <c r="N124" s="128"/>
      <c r="O124" s="128"/>
      <c r="P124" s="128"/>
      <c r="Q124" s="128"/>
      <c r="R124" s="128"/>
      <c r="S124" s="128"/>
      <c r="U124" s="111">
        <f t="shared" si="38"/>
        <v>0</v>
      </c>
      <c r="V124" s="111">
        <f t="shared" si="39"/>
        <v>0</v>
      </c>
    </row>
    <row r="125" spans="3:22" hidden="1" outlineLevel="1" x14ac:dyDescent="0.35">
      <c r="E125" s="10" t="str">
        <f>InpC!$E$27</f>
        <v>Hafren Dyfrdwy</v>
      </c>
      <c r="F125" s="10" t="str">
        <f>InpC!$F$27</f>
        <v>HDD</v>
      </c>
      <c r="G125" s="22" t="s">
        <v>34</v>
      </c>
      <c r="J125" s="128"/>
      <c r="K125" s="128"/>
      <c r="L125" s="128"/>
      <c r="M125" s="128"/>
      <c r="N125" s="128"/>
      <c r="O125" s="128"/>
      <c r="P125" s="128"/>
      <c r="Q125" s="128"/>
      <c r="R125" s="128"/>
      <c r="S125" s="128"/>
      <c r="U125" s="111">
        <f t="shared" si="38"/>
        <v>0</v>
      </c>
      <c r="V125" s="111">
        <f t="shared" si="39"/>
        <v>0</v>
      </c>
    </row>
    <row r="126" spans="3:22" hidden="1" outlineLevel="1" x14ac:dyDescent="0.35">
      <c r="E126" s="10" t="str">
        <f>InpC!$E$28</f>
        <v>Northumbrian Water</v>
      </c>
      <c r="F126" s="10" t="str">
        <f>InpC!$F$28</f>
        <v>NES</v>
      </c>
      <c r="G126" s="22" t="s">
        <v>34</v>
      </c>
      <c r="J126" s="128"/>
      <c r="K126" s="128"/>
      <c r="L126" s="128"/>
      <c r="M126" s="128"/>
      <c r="N126" s="128"/>
      <c r="O126" s="128"/>
      <c r="P126" s="128"/>
      <c r="Q126" s="128"/>
      <c r="R126" s="128"/>
      <c r="S126" s="128"/>
      <c r="U126" s="111">
        <f t="shared" si="38"/>
        <v>0</v>
      </c>
      <c r="V126" s="111">
        <f t="shared" si="39"/>
        <v>0</v>
      </c>
    </row>
    <row r="127" spans="3:22" hidden="1" outlineLevel="1" x14ac:dyDescent="0.35">
      <c r="E127" s="10" t="str">
        <f>InpC!$E$29</f>
        <v>Severn Trent Water</v>
      </c>
      <c r="F127" s="10" t="str">
        <f>InpC!$F$29</f>
        <v>SVE</v>
      </c>
      <c r="G127" s="22" t="s">
        <v>34</v>
      </c>
      <c r="J127" s="128"/>
      <c r="K127" s="128"/>
      <c r="L127" s="128"/>
      <c r="M127" s="128"/>
      <c r="N127" s="128"/>
      <c r="O127" s="128"/>
      <c r="P127" s="128"/>
      <c r="Q127" s="128"/>
      <c r="R127" s="128"/>
      <c r="S127" s="128"/>
      <c r="U127" s="111">
        <f t="shared" si="38"/>
        <v>0</v>
      </c>
      <c r="V127" s="111">
        <f t="shared" si="39"/>
        <v>0</v>
      </c>
    </row>
    <row r="128" spans="3:22" hidden="1" outlineLevel="1" x14ac:dyDescent="0.35">
      <c r="E128" s="10" t="str">
        <f>InpC!$E$30</f>
        <v>Southern Water</v>
      </c>
      <c r="F128" s="10" t="str">
        <f>InpC!$F$30</f>
        <v>SRN</v>
      </c>
      <c r="G128" s="22" t="s">
        <v>34</v>
      </c>
      <c r="J128" s="128"/>
      <c r="K128" s="128"/>
      <c r="L128" s="128"/>
      <c r="M128" s="128"/>
      <c r="N128" s="128"/>
      <c r="O128" s="128"/>
      <c r="P128" s="128"/>
      <c r="Q128" s="128"/>
      <c r="R128" s="128"/>
      <c r="S128" s="128"/>
      <c r="U128" s="111">
        <f t="shared" si="38"/>
        <v>0</v>
      </c>
      <c r="V128" s="111">
        <f t="shared" si="39"/>
        <v>0</v>
      </c>
    </row>
    <row r="129" spans="3:22" hidden="1" outlineLevel="1" x14ac:dyDescent="0.35">
      <c r="E129" s="10" t="str">
        <f>InpC!$E$31</f>
        <v>Thames Water</v>
      </c>
      <c r="F129" s="10" t="str">
        <f>InpC!$F$31</f>
        <v>TMS</v>
      </c>
      <c r="G129" s="22" t="s">
        <v>34</v>
      </c>
      <c r="J129" s="128"/>
      <c r="K129" s="128"/>
      <c r="L129" s="128"/>
      <c r="M129" s="128"/>
      <c r="N129" s="128"/>
      <c r="O129" s="128"/>
      <c r="P129" s="128"/>
      <c r="Q129" s="128"/>
      <c r="R129" s="128"/>
      <c r="S129" s="128"/>
      <c r="U129" s="111">
        <f t="shared" si="38"/>
        <v>0</v>
      </c>
      <c r="V129" s="111">
        <f t="shared" si="39"/>
        <v>0</v>
      </c>
    </row>
    <row r="130" spans="3:22" hidden="1" outlineLevel="1" x14ac:dyDescent="0.35">
      <c r="E130" s="10" t="str">
        <f>InpC!$E$32</f>
        <v>United Utilities</v>
      </c>
      <c r="F130" s="10" t="str">
        <f>InpC!$F$32</f>
        <v>NWT</v>
      </c>
      <c r="G130" s="22" t="s">
        <v>34</v>
      </c>
      <c r="J130" s="128"/>
      <c r="K130" s="128"/>
      <c r="L130" s="128"/>
      <c r="M130" s="128"/>
      <c r="N130" s="128"/>
      <c r="O130" s="128"/>
      <c r="P130" s="128"/>
      <c r="Q130" s="128"/>
      <c r="R130" s="128"/>
      <c r="S130" s="128"/>
      <c r="U130" s="111">
        <f t="shared" si="38"/>
        <v>0</v>
      </c>
      <c r="V130" s="111">
        <f t="shared" si="39"/>
        <v>0</v>
      </c>
    </row>
    <row r="131" spans="3:22" hidden="1" outlineLevel="1" x14ac:dyDescent="0.35">
      <c r="E131" s="10" t="str">
        <f>InpC!$E$33</f>
        <v>Wessex Water</v>
      </c>
      <c r="F131" s="10" t="str">
        <f>InpC!$F$33</f>
        <v>WSX</v>
      </c>
      <c r="G131" s="22" t="s">
        <v>34</v>
      </c>
      <c r="J131" s="128"/>
      <c r="K131" s="128"/>
      <c r="L131" s="128"/>
      <c r="M131" s="128"/>
      <c r="N131" s="128"/>
      <c r="O131" s="128"/>
      <c r="P131" s="128"/>
      <c r="Q131" s="128"/>
      <c r="R131" s="128"/>
      <c r="S131" s="128"/>
      <c r="U131" s="111">
        <f t="shared" si="38"/>
        <v>0</v>
      </c>
      <c r="V131" s="111">
        <f t="shared" si="39"/>
        <v>0</v>
      </c>
    </row>
    <row r="132" spans="3:22" hidden="1" outlineLevel="1" x14ac:dyDescent="0.35">
      <c r="E132" s="10" t="str">
        <f>InpC!$E$34</f>
        <v>Yorkshire Water</v>
      </c>
      <c r="F132" s="10" t="str">
        <f>InpC!$F$34</f>
        <v>YKY</v>
      </c>
      <c r="G132" s="22" t="s">
        <v>34</v>
      </c>
      <c r="J132" s="128"/>
      <c r="K132" s="128"/>
      <c r="L132" s="128"/>
      <c r="M132" s="128"/>
      <c r="N132" s="128"/>
      <c r="O132" s="128"/>
      <c r="P132" s="128"/>
      <c r="Q132" s="128"/>
      <c r="R132" s="128"/>
      <c r="S132" s="128"/>
      <c r="U132" s="111">
        <f t="shared" si="38"/>
        <v>0</v>
      </c>
      <c r="V132" s="111">
        <f t="shared" si="39"/>
        <v>0</v>
      </c>
    </row>
    <row r="133" spans="3:22" hidden="1" outlineLevel="1" x14ac:dyDescent="0.35">
      <c r="E133" s="10" t="str">
        <f>InpC!$E$35</f>
        <v>Affinity Water</v>
      </c>
      <c r="F133" s="10" t="str">
        <f>InpC!$F$35</f>
        <v>AFW</v>
      </c>
      <c r="G133" s="22" t="s">
        <v>34</v>
      </c>
      <c r="J133" s="128"/>
      <c r="K133" s="128"/>
      <c r="L133" s="128"/>
      <c r="M133" s="128"/>
      <c r="N133" s="128"/>
      <c r="O133" s="128"/>
      <c r="P133" s="128"/>
      <c r="Q133" s="128"/>
      <c r="R133" s="128"/>
      <c r="S133" s="128"/>
      <c r="U133" s="111">
        <f t="shared" si="38"/>
        <v>0</v>
      </c>
      <c r="V133" s="111">
        <f t="shared" si="39"/>
        <v>0</v>
      </c>
    </row>
    <row r="134" spans="3:22" hidden="1" outlineLevel="1" x14ac:dyDescent="0.35">
      <c r="E134" s="10" t="str">
        <f>InpC!$E$36</f>
        <v>Portsmouth Water</v>
      </c>
      <c r="F134" s="10" t="str">
        <f>InpC!$F$36</f>
        <v>PRT</v>
      </c>
      <c r="G134" s="22" t="s">
        <v>34</v>
      </c>
      <c r="J134" s="128"/>
      <c r="K134" s="128"/>
      <c r="L134" s="128"/>
      <c r="M134" s="128"/>
      <c r="N134" s="128"/>
      <c r="O134" s="128"/>
      <c r="P134" s="128"/>
      <c r="Q134" s="128"/>
      <c r="R134" s="128"/>
      <c r="S134" s="128"/>
      <c r="U134" s="111">
        <f t="shared" si="38"/>
        <v>0</v>
      </c>
      <c r="V134" s="111">
        <f t="shared" si="39"/>
        <v>0</v>
      </c>
    </row>
    <row r="135" spans="3:22" hidden="1" outlineLevel="1" x14ac:dyDescent="0.35">
      <c r="E135" s="10" t="str">
        <f>InpC!$E$37</f>
        <v>South East Water</v>
      </c>
      <c r="F135" s="10" t="str">
        <f>InpC!$F$37</f>
        <v>SEW</v>
      </c>
      <c r="G135" s="22" t="s">
        <v>34</v>
      </c>
      <c r="J135" s="128"/>
      <c r="K135" s="128"/>
      <c r="L135" s="128"/>
      <c r="M135" s="128"/>
      <c r="N135" s="128"/>
      <c r="O135" s="128"/>
      <c r="P135" s="128"/>
      <c r="Q135" s="128"/>
      <c r="R135" s="128"/>
      <c r="S135" s="128"/>
      <c r="U135" s="111">
        <f t="shared" si="38"/>
        <v>0</v>
      </c>
      <c r="V135" s="111">
        <f t="shared" si="39"/>
        <v>0</v>
      </c>
    </row>
    <row r="136" spans="3:22" hidden="1" outlineLevel="1" x14ac:dyDescent="0.35">
      <c r="E136" s="10" t="str">
        <f>InpC!$E$38</f>
        <v>South Staffs Water</v>
      </c>
      <c r="F136" s="10" t="str">
        <f>InpC!$F$38</f>
        <v>SSC</v>
      </c>
      <c r="G136" s="22" t="s">
        <v>34</v>
      </c>
      <c r="J136" s="128"/>
      <c r="K136" s="128"/>
      <c r="L136" s="128"/>
      <c r="M136" s="128"/>
      <c r="N136" s="128"/>
      <c r="O136" s="128"/>
      <c r="P136" s="128"/>
      <c r="Q136" s="128"/>
      <c r="R136" s="128"/>
      <c r="S136" s="128"/>
      <c r="U136" s="111">
        <f t="shared" si="38"/>
        <v>0</v>
      </c>
      <c r="V136" s="111">
        <f t="shared" si="39"/>
        <v>0</v>
      </c>
    </row>
    <row r="137" spans="3:22" hidden="1" outlineLevel="1" x14ac:dyDescent="0.35">
      <c r="E137" s="10" t="str">
        <f>InpC!$E$39</f>
        <v>SES Water</v>
      </c>
      <c r="F137" s="10" t="str">
        <f>InpC!$F$39</f>
        <v>SES</v>
      </c>
      <c r="G137" s="22" t="s">
        <v>34</v>
      </c>
      <c r="J137" s="128"/>
      <c r="K137" s="128"/>
      <c r="L137" s="128"/>
      <c r="M137" s="128"/>
      <c r="N137" s="128"/>
      <c r="O137" s="128"/>
      <c r="P137" s="128"/>
      <c r="Q137" s="128"/>
      <c r="R137" s="128"/>
      <c r="S137" s="128"/>
      <c r="U137" s="111">
        <f t="shared" si="38"/>
        <v>0</v>
      </c>
      <c r="V137" s="111">
        <f t="shared" si="39"/>
        <v>0</v>
      </c>
    </row>
    <row r="138" spans="3:22" hidden="1" outlineLevel="1" x14ac:dyDescent="0.35">
      <c r="E138" s="10" t="str">
        <f>InpC!$E$40</f>
        <v>South West Water</v>
      </c>
      <c r="F138" s="10" t="str">
        <f>InpC!$F$40</f>
        <v>SWB</v>
      </c>
      <c r="G138" s="22" t="s">
        <v>34</v>
      </c>
      <c r="J138" s="128"/>
      <c r="K138" s="128"/>
      <c r="L138" s="128"/>
      <c r="M138" s="128"/>
      <c r="N138" s="128"/>
      <c r="O138" s="128"/>
      <c r="P138" s="128"/>
      <c r="Q138" s="128"/>
      <c r="R138" s="128"/>
      <c r="S138" s="128"/>
      <c r="U138" s="111">
        <f t="shared" si="38"/>
        <v>0</v>
      </c>
      <c r="V138" s="111">
        <f t="shared" si="39"/>
        <v>0</v>
      </c>
    </row>
    <row r="139" spans="3:22" hidden="1" outlineLevel="1" x14ac:dyDescent="0.35">
      <c r="E139" s="10" t="str">
        <f>InpC!$E$41</f>
        <v>Bristol Water</v>
      </c>
      <c r="F139" s="10" t="str">
        <f>InpC!$F$41</f>
        <v>BRL</v>
      </c>
      <c r="G139" s="22" t="s">
        <v>34</v>
      </c>
      <c r="J139" s="128"/>
      <c r="K139" s="128"/>
      <c r="L139" s="128"/>
      <c r="M139" s="128"/>
      <c r="N139" s="128"/>
      <c r="O139" s="128"/>
      <c r="P139" s="128"/>
      <c r="Q139" s="128"/>
      <c r="R139" s="128"/>
      <c r="S139" s="128"/>
      <c r="U139" s="111">
        <f t="shared" si="38"/>
        <v>0</v>
      </c>
      <c r="V139" s="111">
        <f t="shared" si="39"/>
        <v>0</v>
      </c>
    </row>
    <row r="140" spans="3:22" hidden="1" outlineLevel="1" x14ac:dyDescent="0.35">
      <c r="E140" s="10" t="s">
        <v>147</v>
      </c>
      <c r="G140" s="22" t="s">
        <v>34</v>
      </c>
      <c r="J140" s="134">
        <f>SUM(J123:J139)</f>
        <v>0</v>
      </c>
      <c r="K140" s="134">
        <f t="shared" ref="K140:S140" si="40">SUM(K123:K139)</f>
        <v>0</v>
      </c>
      <c r="L140" s="134">
        <f t="shared" si="40"/>
        <v>0</v>
      </c>
      <c r="M140" s="134">
        <f t="shared" si="40"/>
        <v>0</v>
      </c>
      <c r="N140" s="134">
        <f t="shared" si="40"/>
        <v>0</v>
      </c>
      <c r="O140" s="134">
        <f t="shared" si="40"/>
        <v>0</v>
      </c>
      <c r="P140" s="134">
        <f t="shared" si="40"/>
        <v>0</v>
      </c>
      <c r="Q140" s="134">
        <f t="shared" si="40"/>
        <v>0</v>
      </c>
      <c r="R140" s="134">
        <f t="shared" si="40"/>
        <v>0</v>
      </c>
      <c r="S140" s="134">
        <f t="shared" si="40"/>
        <v>0</v>
      </c>
      <c r="U140" s="133">
        <f t="shared" ref="U140:V140" si="41">SUM(U123:U139)</f>
        <v>0</v>
      </c>
      <c r="V140" s="133">
        <f t="shared" si="41"/>
        <v>0</v>
      </c>
    </row>
    <row r="142" spans="3:22" x14ac:dyDescent="0.35">
      <c r="C142" s="11" t="str">
        <f>C90</f>
        <v>WWS1104CAS</v>
      </c>
      <c r="D142" s="5" t="str">
        <f>D90</f>
        <v>Other expenditure - Costs associated with lane rental schemes - Total</v>
      </c>
      <c r="F142" s="131">
        <f>MATCH(D142,APRChoices,0)</f>
        <v>5</v>
      </c>
      <c r="G142" s="22" t="s">
        <v>125</v>
      </c>
      <c r="J142" s="74">
        <f>J$2</f>
        <v>44286</v>
      </c>
      <c r="K142" s="74">
        <f t="shared" ref="K142:V142" si="42">K$2</f>
        <v>44651</v>
      </c>
      <c r="L142" s="74">
        <f t="shared" si="42"/>
        <v>45016</v>
      </c>
      <c r="M142" s="74">
        <f t="shared" si="42"/>
        <v>45382</v>
      </c>
      <c r="N142" s="74">
        <f t="shared" si="42"/>
        <v>45747</v>
      </c>
      <c r="O142" s="74">
        <f t="shared" si="42"/>
        <v>46112</v>
      </c>
      <c r="P142" s="74">
        <f t="shared" si="42"/>
        <v>46477</v>
      </c>
      <c r="Q142" s="74">
        <f t="shared" si="42"/>
        <v>46843</v>
      </c>
      <c r="R142" s="74">
        <f t="shared" si="42"/>
        <v>47208</v>
      </c>
      <c r="S142" s="74">
        <f t="shared" si="42"/>
        <v>47573</v>
      </c>
      <c r="U142" s="74" t="str">
        <f t="shared" si="42"/>
        <v>PR24 Average</v>
      </c>
      <c r="V142" s="74" t="str">
        <f t="shared" si="42"/>
        <v>PR24 Total</v>
      </c>
    </row>
    <row r="143" spans="3:22" x14ac:dyDescent="0.35">
      <c r="C143" s="5" t="str">
        <f>INDEX(InpC!$G$57:$G$62,'Lane Rental Schemes'!F142,)</f>
        <v>CWW2_012TOT_PR24</v>
      </c>
      <c r="D143" s="5" t="str">
        <f>INDEX(InpC!$G$48:$G$53,'Lane Rental Schemes'!F142,)</f>
        <v>Location specific costs &amp; obligations - Costs associated with lane rental schemes - Total</v>
      </c>
      <c r="G143" s="22" t="s">
        <v>126</v>
      </c>
      <c r="J143" s="74"/>
      <c r="K143" s="74"/>
      <c r="L143" s="74"/>
      <c r="M143" s="74"/>
      <c r="N143" s="74"/>
      <c r="O143" s="74"/>
      <c r="P143" s="74"/>
      <c r="Q143" s="74"/>
      <c r="R143" s="74"/>
      <c r="S143" s="74"/>
      <c r="U143" s="74"/>
      <c r="V143" s="74"/>
    </row>
    <row r="144" spans="3:22" collapsed="1" x14ac:dyDescent="0.35">
      <c r="E144" s="5" t="s">
        <v>180</v>
      </c>
    </row>
    <row r="145" spans="5:22" hidden="1" outlineLevel="1" x14ac:dyDescent="0.35"/>
    <row r="146" spans="5:22" hidden="1" outlineLevel="1" x14ac:dyDescent="0.35">
      <c r="E146" s="130" t="s">
        <v>177</v>
      </c>
      <c r="J146" s="8"/>
      <c r="K146" s="8"/>
      <c r="L146" s="8"/>
      <c r="M146" s="8"/>
      <c r="N146" s="8"/>
      <c r="O146" s="8"/>
      <c r="P146" s="8"/>
      <c r="Q146" s="8"/>
      <c r="R146" s="8"/>
      <c r="S146" s="8"/>
      <c r="U146" s="8"/>
      <c r="V146" s="8"/>
    </row>
    <row r="147" spans="5:22" hidden="1" outlineLevel="1" x14ac:dyDescent="0.35">
      <c r="E147" s="129">
        <f>InpT!$F$8</f>
        <v>45016</v>
      </c>
      <c r="G147" s="22" t="s">
        <v>178</v>
      </c>
      <c r="J147" s="8"/>
      <c r="K147" s="8"/>
      <c r="L147" s="8"/>
      <c r="M147" s="8"/>
      <c r="N147" s="8"/>
      <c r="O147" s="8"/>
      <c r="P147" s="8"/>
      <c r="Q147" s="8"/>
      <c r="R147" s="8"/>
      <c r="S147" s="8"/>
      <c r="U147" s="8"/>
      <c r="V147" s="8"/>
    </row>
    <row r="148" spans="5:22" hidden="1" outlineLevel="1" x14ac:dyDescent="0.35">
      <c r="E148" s="129"/>
      <c r="J148" s="8"/>
      <c r="K148" s="8"/>
      <c r="L148" s="8"/>
      <c r="M148" s="8"/>
      <c r="N148" s="8"/>
      <c r="O148" s="8"/>
      <c r="P148" s="8"/>
      <c r="Q148" s="8"/>
      <c r="R148" s="8"/>
      <c r="S148" s="8"/>
      <c r="U148" s="8"/>
      <c r="V148" s="8"/>
    </row>
    <row r="149" spans="5:22" hidden="1" outlineLevel="1" x14ac:dyDescent="0.35">
      <c r="E149" s="10" t="str">
        <f>InpC!$E$25</f>
        <v>Anglian Water</v>
      </c>
      <c r="F149" s="10" t="str">
        <f>InpC!$F$25</f>
        <v>ANH</v>
      </c>
      <c r="G149" s="22" t="s">
        <v>34</v>
      </c>
      <c r="J149" s="111">
        <f t="shared" ref="J149:S149" si="43">IF(ISBLANK(J123),J97,J123)</f>
        <v>0</v>
      </c>
      <c r="K149" s="111">
        <f t="shared" si="43"/>
        <v>0</v>
      </c>
      <c r="L149" s="111">
        <f t="shared" si="43"/>
        <v>0</v>
      </c>
      <c r="M149" s="111">
        <f t="shared" si="43"/>
        <v>0</v>
      </c>
      <c r="N149" s="111">
        <f t="shared" si="43"/>
        <v>0</v>
      </c>
      <c r="O149" s="111">
        <f t="shared" si="43"/>
        <v>0</v>
      </c>
      <c r="P149" s="111">
        <f t="shared" si="43"/>
        <v>0</v>
      </c>
      <c r="Q149" s="111">
        <f t="shared" si="43"/>
        <v>0</v>
      </c>
      <c r="R149" s="111">
        <f t="shared" si="43"/>
        <v>0</v>
      </c>
      <c r="S149" s="111">
        <f t="shared" si="43"/>
        <v>0</v>
      </c>
      <c r="U149" s="111">
        <f t="shared" ref="U149:U165" si="44">IFERROR(AVERAGE(O149:S149),0)</f>
        <v>0</v>
      </c>
      <c r="V149" s="111">
        <f t="shared" ref="V149:V165" si="45">SUM(O149:S149)</f>
        <v>0</v>
      </c>
    </row>
    <row r="150" spans="5:22" hidden="1" outlineLevel="1" x14ac:dyDescent="0.35">
      <c r="E150" s="10" t="str">
        <f>InpC!$E$26</f>
        <v>Dŵr Cymru</v>
      </c>
      <c r="F150" s="10" t="str">
        <f>InpC!$F$26</f>
        <v>WSH</v>
      </c>
      <c r="G150" s="22" t="s">
        <v>34</v>
      </c>
      <c r="J150" s="111">
        <f t="shared" ref="J150:S150" si="46">IF(ISBLANK(J124),J98,J124)</f>
        <v>0</v>
      </c>
      <c r="K150" s="111">
        <f t="shared" si="46"/>
        <v>0</v>
      </c>
      <c r="L150" s="111">
        <f t="shared" si="46"/>
        <v>0</v>
      </c>
      <c r="M150" s="111">
        <f t="shared" si="46"/>
        <v>0</v>
      </c>
      <c r="N150" s="111">
        <f t="shared" si="46"/>
        <v>0</v>
      </c>
      <c r="O150" s="111">
        <f t="shared" si="46"/>
        <v>0</v>
      </c>
      <c r="P150" s="111">
        <f t="shared" si="46"/>
        <v>0</v>
      </c>
      <c r="Q150" s="111">
        <f t="shared" si="46"/>
        <v>0</v>
      </c>
      <c r="R150" s="111">
        <f t="shared" si="46"/>
        <v>0</v>
      </c>
      <c r="S150" s="111">
        <f t="shared" si="46"/>
        <v>0</v>
      </c>
      <c r="U150" s="111">
        <f t="shared" si="44"/>
        <v>0</v>
      </c>
      <c r="V150" s="111">
        <f t="shared" si="45"/>
        <v>0</v>
      </c>
    </row>
    <row r="151" spans="5:22" hidden="1" outlineLevel="1" x14ac:dyDescent="0.35">
      <c r="E151" s="10" t="str">
        <f>InpC!$E$27</f>
        <v>Hafren Dyfrdwy</v>
      </c>
      <c r="F151" s="10" t="str">
        <f>InpC!$F$27</f>
        <v>HDD</v>
      </c>
      <c r="G151" s="22" t="s">
        <v>34</v>
      </c>
      <c r="J151" s="111">
        <f t="shared" ref="J151:S151" si="47">IF(ISBLANK(J125),J99,J125)</f>
        <v>0</v>
      </c>
      <c r="K151" s="111">
        <f t="shared" si="47"/>
        <v>0</v>
      </c>
      <c r="L151" s="111">
        <f t="shared" si="47"/>
        <v>0</v>
      </c>
      <c r="M151" s="111">
        <f t="shared" si="47"/>
        <v>0</v>
      </c>
      <c r="N151" s="111">
        <f t="shared" si="47"/>
        <v>0</v>
      </c>
      <c r="O151" s="111">
        <f t="shared" si="47"/>
        <v>0</v>
      </c>
      <c r="P151" s="111">
        <f t="shared" si="47"/>
        <v>0</v>
      </c>
      <c r="Q151" s="111">
        <f t="shared" si="47"/>
        <v>0</v>
      </c>
      <c r="R151" s="111">
        <f t="shared" si="47"/>
        <v>0</v>
      </c>
      <c r="S151" s="111">
        <f t="shared" si="47"/>
        <v>0</v>
      </c>
      <c r="U151" s="111">
        <f t="shared" si="44"/>
        <v>0</v>
      </c>
      <c r="V151" s="111">
        <f t="shared" si="45"/>
        <v>0</v>
      </c>
    </row>
    <row r="152" spans="5:22" hidden="1" outlineLevel="1" x14ac:dyDescent="0.35">
      <c r="E152" s="10" t="str">
        <f>InpC!$E$28</f>
        <v>Northumbrian Water</v>
      </c>
      <c r="F152" s="10" t="str">
        <f>InpC!$F$28</f>
        <v>NES</v>
      </c>
      <c r="G152" s="22" t="s">
        <v>34</v>
      </c>
      <c r="J152" s="111">
        <f t="shared" ref="J152:S152" si="48">IF(ISBLANK(J126),J100,J126)</f>
        <v>0</v>
      </c>
      <c r="K152" s="111">
        <f t="shared" si="48"/>
        <v>0</v>
      </c>
      <c r="L152" s="111">
        <f t="shared" si="48"/>
        <v>0</v>
      </c>
      <c r="M152" s="111">
        <f t="shared" si="48"/>
        <v>0</v>
      </c>
      <c r="N152" s="111">
        <f t="shared" si="48"/>
        <v>0</v>
      </c>
      <c r="O152" s="111">
        <f t="shared" si="48"/>
        <v>0</v>
      </c>
      <c r="P152" s="111">
        <f t="shared" si="48"/>
        <v>0</v>
      </c>
      <c r="Q152" s="111">
        <f t="shared" si="48"/>
        <v>0</v>
      </c>
      <c r="R152" s="111">
        <f t="shared" si="48"/>
        <v>0</v>
      </c>
      <c r="S152" s="111">
        <f t="shared" si="48"/>
        <v>0</v>
      </c>
      <c r="U152" s="111">
        <f t="shared" si="44"/>
        <v>0</v>
      </c>
      <c r="V152" s="111">
        <f t="shared" si="45"/>
        <v>0</v>
      </c>
    </row>
    <row r="153" spans="5:22" hidden="1" outlineLevel="1" x14ac:dyDescent="0.35">
      <c r="E153" s="10" t="str">
        <f>InpC!$E$29</f>
        <v>Severn Trent Water</v>
      </c>
      <c r="F153" s="10" t="str">
        <f>InpC!$F$29</f>
        <v>SVE</v>
      </c>
      <c r="G153" s="22" t="s">
        <v>34</v>
      </c>
      <c r="J153" s="111">
        <f t="shared" ref="J153:S153" si="49">IF(ISBLANK(J127),J101,J127)</f>
        <v>0</v>
      </c>
      <c r="K153" s="111">
        <f t="shared" si="49"/>
        <v>0</v>
      </c>
      <c r="L153" s="111">
        <f t="shared" si="49"/>
        <v>0</v>
      </c>
      <c r="M153" s="111">
        <f t="shared" si="49"/>
        <v>0</v>
      </c>
      <c r="N153" s="111">
        <f t="shared" si="49"/>
        <v>0</v>
      </c>
      <c r="O153" s="111">
        <f t="shared" si="49"/>
        <v>0</v>
      </c>
      <c r="P153" s="111">
        <f t="shared" si="49"/>
        <v>0</v>
      </c>
      <c r="Q153" s="111">
        <f t="shared" si="49"/>
        <v>0</v>
      </c>
      <c r="R153" s="111">
        <f t="shared" si="49"/>
        <v>0</v>
      </c>
      <c r="S153" s="111">
        <f t="shared" si="49"/>
        <v>0</v>
      </c>
      <c r="U153" s="111">
        <f t="shared" si="44"/>
        <v>0</v>
      </c>
      <c r="V153" s="111">
        <f t="shared" si="45"/>
        <v>0</v>
      </c>
    </row>
    <row r="154" spans="5:22" hidden="1" outlineLevel="1" x14ac:dyDescent="0.35">
      <c r="E154" s="10" t="str">
        <f>InpC!$E$30</f>
        <v>Southern Water</v>
      </c>
      <c r="F154" s="10" t="str">
        <f>InpC!$F$30</f>
        <v>SRN</v>
      </c>
      <c r="G154" s="22" t="s">
        <v>34</v>
      </c>
      <c r="J154" s="111">
        <f t="shared" ref="J154:S154" si="50">IF(ISBLANK(J128),J102,J128)</f>
        <v>7.2592523364485975E-2</v>
      </c>
      <c r="K154" s="111">
        <f t="shared" si="50"/>
        <v>8.7640883977900569E-2</v>
      </c>
      <c r="L154" s="111">
        <f t="shared" si="50"/>
        <v>0.18</v>
      </c>
      <c r="M154" s="111">
        <f t="shared" si="50"/>
        <v>0.376</v>
      </c>
      <c r="N154" s="111">
        <f t="shared" si="50"/>
        <v>9.0999999999999998E-2</v>
      </c>
      <c r="O154" s="111">
        <f t="shared" si="50"/>
        <v>0.35</v>
      </c>
      <c r="P154" s="111">
        <f t="shared" si="50"/>
        <v>0.35</v>
      </c>
      <c r="Q154" s="111">
        <f t="shared" si="50"/>
        <v>0.35</v>
      </c>
      <c r="R154" s="111">
        <f t="shared" si="50"/>
        <v>0.35</v>
      </c>
      <c r="S154" s="111">
        <f t="shared" si="50"/>
        <v>0.35</v>
      </c>
      <c r="U154" s="111">
        <f t="shared" si="44"/>
        <v>0.35</v>
      </c>
      <c r="V154" s="111">
        <f t="shared" si="45"/>
        <v>1.75</v>
      </c>
    </row>
    <row r="155" spans="5:22" hidden="1" outlineLevel="1" x14ac:dyDescent="0.35">
      <c r="E155" s="10" t="str">
        <f>InpC!$E$31</f>
        <v>Thames Water</v>
      </c>
      <c r="F155" s="10" t="str">
        <f>InpC!$F$31</f>
        <v>TMS</v>
      </c>
      <c r="G155" s="22" t="s">
        <v>34</v>
      </c>
      <c r="J155" s="111">
        <f t="shared" ref="J155:S155" si="51">IF(ISBLANK(J129),J103,J129)</f>
        <v>0.20346355140186917</v>
      </c>
      <c r="K155" s="111">
        <f t="shared" si="51"/>
        <v>0.55707366482504617</v>
      </c>
      <c r="L155" s="111">
        <f t="shared" si="51"/>
        <v>0.35</v>
      </c>
      <c r="M155" s="111">
        <f t="shared" si="51"/>
        <v>0.44402277039848159</v>
      </c>
      <c r="N155" s="111">
        <f t="shared" si="51"/>
        <v>0.29599999999999999</v>
      </c>
      <c r="O155" s="111">
        <f t="shared" si="51"/>
        <v>0.30399999999999999</v>
      </c>
      <c r="P155" s="111">
        <f t="shared" si="51"/>
        <v>0.30399999999999999</v>
      </c>
      <c r="Q155" s="111">
        <f t="shared" si="51"/>
        <v>0.30399999999999999</v>
      </c>
      <c r="R155" s="111">
        <f t="shared" si="51"/>
        <v>0.29699999999999999</v>
      </c>
      <c r="S155" s="111">
        <f t="shared" si="51"/>
        <v>0.29699999999999999</v>
      </c>
      <c r="U155" s="111">
        <f t="shared" si="44"/>
        <v>0.30119999999999997</v>
      </c>
      <c r="V155" s="111">
        <f t="shared" si="45"/>
        <v>1.5059999999999998</v>
      </c>
    </row>
    <row r="156" spans="5:22" hidden="1" outlineLevel="1" x14ac:dyDescent="0.35">
      <c r="E156" s="10" t="str">
        <f>InpC!$E$32</f>
        <v>United Utilities</v>
      </c>
      <c r="F156" s="10" t="str">
        <f>InpC!$F$32</f>
        <v>NWT</v>
      </c>
      <c r="G156" s="22" t="s">
        <v>34</v>
      </c>
      <c r="J156" s="111">
        <f t="shared" ref="J156:S156" si="52">IF(ISBLANK(J130),J104,J130)</f>
        <v>0</v>
      </c>
      <c r="K156" s="111">
        <f t="shared" si="52"/>
        <v>0</v>
      </c>
      <c r="L156" s="111">
        <f t="shared" si="52"/>
        <v>0</v>
      </c>
      <c r="M156" s="111">
        <f t="shared" si="52"/>
        <v>0</v>
      </c>
      <c r="N156" s="111">
        <f t="shared" si="52"/>
        <v>0</v>
      </c>
      <c r="O156" s="111">
        <f t="shared" si="52"/>
        <v>4.1708182918053713E-2</v>
      </c>
      <c r="P156" s="111">
        <f t="shared" si="52"/>
        <v>4.2160256588246632E-2</v>
      </c>
      <c r="Q156" s="111">
        <f t="shared" si="52"/>
        <v>4.2058886769113388E-2</v>
      </c>
      <c r="R156" s="111">
        <f t="shared" si="52"/>
        <v>4.2484226429666379E-2</v>
      </c>
      <c r="S156" s="111">
        <f t="shared" si="52"/>
        <v>4.2491635905242187E-2</v>
      </c>
      <c r="U156" s="111">
        <f t="shared" si="44"/>
        <v>4.2180637722064464E-2</v>
      </c>
      <c r="V156" s="111">
        <f t="shared" si="45"/>
        <v>0.21090318861032231</v>
      </c>
    </row>
    <row r="157" spans="5:22" hidden="1" outlineLevel="1" x14ac:dyDescent="0.35">
      <c r="E157" s="10" t="str">
        <f>InpC!$E$33</f>
        <v>Wessex Water</v>
      </c>
      <c r="F157" s="10" t="str">
        <f>InpC!$F$33</f>
        <v>WSX</v>
      </c>
      <c r="G157" s="22" t="s">
        <v>34</v>
      </c>
      <c r="J157" s="111">
        <f t="shared" ref="J157:S157" si="53">IF(ISBLANK(J131),J105,J131)</f>
        <v>0</v>
      </c>
      <c r="K157" s="111">
        <f t="shared" si="53"/>
        <v>0</v>
      </c>
      <c r="L157" s="111">
        <f t="shared" si="53"/>
        <v>0</v>
      </c>
      <c r="M157" s="111">
        <f t="shared" si="53"/>
        <v>0</v>
      </c>
      <c r="N157" s="111">
        <f t="shared" si="53"/>
        <v>0</v>
      </c>
      <c r="O157" s="111">
        <f t="shared" si="53"/>
        <v>0</v>
      </c>
      <c r="P157" s="111">
        <f t="shared" si="53"/>
        <v>0</v>
      </c>
      <c r="Q157" s="111">
        <f t="shared" si="53"/>
        <v>0</v>
      </c>
      <c r="R157" s="111">
        <f t="shared" si="53"/>
        <v>0</v>
      </c>
      <c r="S157" s="111">
        <f t="shared" si="53"/>
        <v>0</v>
      </c>
      <c r="U157" s="111">
        <f t="shared" si="44"/>
        <v>0</v>
      </c>
      <c r="V157" s="111">
        <f t="shared" si="45"/>
        <v>0</v>
      </c>
    </row>
    <row r="158" spans="5:22" hidden="1" outlineLevel="1" x14ac:dyDescent="0.35">
      <c r="E158" s="10" t="str">
        <f>InpC!$E$34</f>
        <v>Yorkshire Water</v>
      </c>
      <c r="F158" s="10" t="str">
        <f>InpC!$F$34</f>
        <v>YKY</v>
      </c>
      <c r="G158" s="22" t="s">
        <v>34</v>
      </c>
      <c r="J158" s="111">
        <f t="shared" ref="J158:S158" si="54">IF(ISBLANK(J132),J106,J132)</f>
        <v>0</v>
      </c>
      <c r="K158" s="111">
        <f t="shared" si="54"/>
        <v>0</v>
      </c>
      <c r="L158" s="111">
        <f t="shared" si="54"/>
        <v>0</v>
      </c>
      <c r="M158" s="111">
        <f t="shared" si="54"/>
        <v>0</v>
      </c>
      <c r="N158" s="111">
        <f t="shared" si="54"/>
        <v>0</v>
      </c>
      <c r="O158" s="111">
        <f t="shared" si="54"/>
        <v>0.107</v>
      </c>
      <c r="P158" s="111">
        <f t="shared" si="54"/>
        <v>0.107</v>
      </c>
      <c r="Q158" s="111">
        <f t="shared" si="54"/>
        <v>0.107</v>
      </c>
      <c r="R158" s="111">
        <f t="shared" si="54"/>
        <v>0.107</v>
      </c>
      <c r="S158" s="111">
        <f t="shared" si="54"/>
        <v>0.107</v>
      </c>
      <c r="U158" s="111">
        <f t="shared" si="44"/>
        <v>0.10700000000000001</v>
      </c>
      <c r="V158" s="111">
        <f t="shared" si="45"/>
        <v>0.53500000000000003</v>
      </c>
    </row>
    <row r="159" spans="5:22" hidden="1" outlineLevel="1" x14ac:dyDescent="0.35">
      <c r="E159" s="10" t="str">
        <f>InpC!$E$35</f>
        <v>Affinity Water</v>
      </c>
      <c r="F159" s="10" t="str">
        <f>InpC!$F$35</f>
        <v>AFW</v>
      </c>
      <c r="G159" s="22" t="s">
        <v>34</v>
      </c>
      <c r="J159" s="111">
        <f t="shared" ref="J159:S159" si="55">IF(ISBLANK(J133),J107,J133)</f>
        <v>0</v>
      </c>
      <c r="K159" s="111">
        <f t="shared" si="55"/>
        <v>0</v>
      </c>
      <c r="L159" s="111">
        <f t="shared" si="55"/>
        <v>0</v>
      </c>
      <c r="M159" s="111">
        <f t="shared" si="55"/>
        <v>0</v>
      </c>
      <c r="N159" s="111">
        <f t="shared" si="55"/>
        <v>0</v>
      </c>
      <c r="O159" s="111">
        <f t="shared" si="55"/>
        <v>0</v>
      </c>
      <c r="P159" s="111">
        <f t="shared" si="55"/>
        <v>0</v>
      </c>
      <c r="Q159" s="111">
        <f t="shared" si="55"/>
        <v>0</v>
      </c>
      <c r="R159" s="111">
        <f t="shared" si="55"/>
        <v>0</v>
      </c>
      <c r="S159" s="111">
        <f t="shared" si="55"/>
        <v>0</v>
      </c>
      <c r="U159" s="111">
        <f t="shared" si="44"/>
        <v>0</v>
      </c>
      <c r="V159" s="111">
        <f t="shared" si="45"/>
        <v>0</v>
      </c>
    </row>
    <row r="160" spans="5:22" hidden="1" outlineLevel="1" x14ac:dyDescent="0.35">
      <c r="E160" s="10" t="str">
        <f>InpC!$E$36</f>
        <v>Portsmouth Water</v>
      </c>
      <c r="F160" s="10" t="str">
        <f>InpC!$F$36</f>
        <v>PRT</v>
      </c>
      <c r="G160" s="22" t="s">
        <v>34</v>
      </c>
      <c r="J160" s="111">
        <f t="shared" ref="J160:S160" si="56">IF(ISBLANK(J134),J108,J134)</f>
        <v>0</v>
      </c>
      <c r="K160" s="111">
        <f t="shared" si="56"/>
        <v>0</v>
      </c>
      <c r="L160" s="111">
        <f t="shared" si="56"/>
        <v>0</v>
      </c>
      <c r="M160" s="111">
        <f t="shared" si="56"/>
        <v>0</v>
      </c>
      <c r="N160" s="111">
        <f t="shared" si="56"/>
        <v>0</v>
      </c>
      <c r="O160" s="111">
        <f t="shared" si="56"/>
        <v>0</v>
      </c>
      <c r="P160" s="111">
        <f t="shared" si="56"/>
        <v>0</v>
      </c>
      <c r="Q160" s="111">
        <f t="shared" si="56"/>
        <v>0</v>
      </c>
      <c r="R160" s="111">
        <f t="shared" si="56"/>
        <v>0</v>
      </c>
      <c r="S160" s="111">
        <f t="shared" si="56"/>
        <v>0</v>
      </c>
      <c r="U160" s="111">
        <f t="shared" si="44"/>
        <v>0</v>
      </c>
      <c r="V160" s="111">
        <f t="shared" si="45"/>
        <v>0</v>
      </c>
    </row>
    <row r="161" spans="1:27" hidden="1" outlineLevel="1" x14ac:dyDescent="0.35">
      <c r="E161" s="10" t="str">
        <f>InpC!$E$37</f>
        <v>South East Water</v>
      </c>
      <c r="F161" s="10" t="str">
        <f>InpC!$F$37</f>
        <v>SEW</v>
      </c>
      <c r="G161" s="22" t="s">
        <v>34</v>
      </c>
      <c r="J161" s="111">
        <f t="shared" ref="J161:S161" si="57">IF(ISBLANK(J135),J109,J135)</f>
        <v>0</v>
      </c>
      <c r="K161" s="111">
        <f t="shared" si="57"/>
        <v>0</v>
      </c>
      <c r="L161" s="111">
        <f t="shared" si="57"/>
        <v>0</v>
      </c>
      <c r="M161" s="111">
        <f t="shared" si="57"/>
        <v>0</v>
      </c>
      <c r="N161" s="111">
        <f t="shared" si="57"/>
        <v>0</v>
      </c>
      <c r="O161" s="111">
        <f t="shared" si="57"/>
        <v>0</v>
      </c>
      <c r="P161" s="111">
        <f t="shared" si="57"/>
        <v>0</v>
      </c>
      <c r="Q161" s="111">
        <f t="shared" si="57"/>
        <v>0</v>
      </c>
      <c r="R161" s="111">
        <f t="shared" si="57"/>
        <v>0</v>
      </c>
      <c r="S161" s="111">
        <f t="shared" si="57"/>
        <v>0</v>
      </c>
      <c r="U161" s="111">
        <f t="shared" si="44"/>
        <v>0</v>
      </c>
      <c r="V161" s="111">
        <f t="shared" si="45"/>
        <v>0</v>
      </c>
    </row>
    <row r="162" spans="1:27" hidden="1" outlineLevel="1" x14ac:dyDescent="0.35">
      <c r="E162" s="10" t="str">
        <f>InpC!$E$38</f>
        <v>South Staffs Water</v>
      </c>
      <c r="F162" s="10" t="str">
        <f>InpC!$F$38</f>
        <v>SSC</v>
      </c>
      <c r="G162" s="22" t="s">
        <v>34</v>
      </c>
      <c r="J162" s="111">
        <f t="shared" ref="J162:S162" si="58">IF(ISBLANK(J136),J110,J136)</f>
        <v>0</v>
      </c>
      <c r="K162" s="111">
        <f t="shared" si="58"/>
        <v>0</v>
      </c>
      <c r="L162" s="111">
        <f t="shared" si="58"/>
        <v>0</v>
      </c>
      <c r="M162" s="111">
        <f t="shared" si="58"/>
        <v>0</v>
      </c>
      <c r="N162" s="111">
        <f t="shared" si="58"/>
        <v>0</v>
      </c>
      <c r="O162" s="111">
        <f t="shared" si="58"/>
        <v>0</v>
      </c>
      <c r="P162" s="111">
        <f t="shared" si="58"/>
        <v>0</v>
      </c>
      <c r="Q162" s="111">
        <f t="shared" si="58"/>
        <v>0</v>
      </c>
      <c r="R162" s="111">
        <f t="shared" si="58"/>
        <v>0</v>
      </c>
      <c r="S162" s="111">
        <f t="shared" si="58"/>
        <v>0</v>
      </c>
      <c r="U162" s="111">
        <f t="shared" si="44"/>
        <v>0</v>
      </c>
      <c r="V162" s="111">
        <f t="shared" si="45"/>
        <v>0</v>
      </c>
    </row>
    <row r="163" spans="1:27" hidden="1" outlineLevel="1" x14ac:dyDescent="0.35">
      <c r="E163" s="10" t="str">
        <f>InpC!$E$39</f>
        <v>SES Water</v>
      </c>
      <c r="F163" s="10" t="str">
        <f>InpC!$F$39</f>
        <v>SES</v>
      </c>
      <c r="G163" s="22" t="s">
        <v>34</v>
      </c>
      <c r="J163" s="111">
        <f t="shared" ref="J163:S163" si="59">IF(ISBLANK(J137),J111,J137)</f>
        <v>0</v>
      </c>
      <c r="K163" s="111">
        <f t="shared" si="59"/>
        <v>0</v>
      </c>
      <c r="L163" s="111">
        <f t="shared" si="59"/>
        <v>0</v>
      </c>
      <c r="M163" s="111">
        <f t="shared" si="59"/>
        <v>0</v>
      </c>
      <c r="N163" s="111">
        <f t="shared" si="59"/>
        <v>0</v>
      </c>
      <c r="O163" s="111">
        <f t="shared" si="59"/>
        <v>0</v>
      </c>
      <c r="P163" s="111">
        <f t="shared" si="59"/>
        <v>0</v>
      </c>
      <c r="Q163" s="111">
        <f t="shared" si="59"/>
        <v>0</v>
      </c>
      <c r="R163" s="111">
        <f t="shared" si="59"/>
        <v>0</v>
      </c>
      <c r="S163" s="111">
        <f t="shared" si="59"/>
        <v>0</v>
      </c>
      <c r="U163" s="111">
        <f t="shared" si="44"/>
        <v>0</v>
      </c>
      <c r="V163" s="111">
        <f t="shared" si="45"/>
        <v>0</v>
      </c>
    </row>
    <row r="164" spans="1:27" hidden="1" outlineLevel="1" x14ac:dyDescent="0.35">
      <c r="E164" s="10" t="str">
        <f>InpC!$E$40</f>
        <v>South West Water</v>
      </c>
      <c r="F164" s="10" t="str">
        <f>InpC!$F$40</f>
        <v>SWB</v>
      </c>
      <c r="G164" s="22" t="s">
        <v>34</v>
      </c>
      <c r="J164" s="111">
        <f t="shared" ref="J164:S164" si="60">IF(ISBLANK(J138),J112,J138)</f>
        <v>0</v>
      </c>
      <c r="K164" s="111">
        <f t="shared" si="60"/>
        <v>0</v>
      </c>
      <c r="L164" s="111">
        <f t="shared" si="60"/>
        <v>0</v>
      </c>
      <c r="M164" s="111">
        <f t="shared" si="60"/>
        <v>0</v>
      </c>
      <c r="N164" s="111">
        <f t="shared" si="60"/>
        <v>0</v>
      </c>
      <c r="O164" s="111">
        <f t="shared" si="60"/>
        <v>0</v>
      </c>
      <c r="P164" s="111">
        <f t="shared" si="60"/>
        <v>0</v>
      </c>
      <c r="Q164" s="111">
        <f t="shared" si="60"/>
        <v>0</v>
      </c>
      <c r="R164" s="111">
        <f t="shared" si="60"/>
        <v>0</v>
      </c>
      <c r="S164" s="111">
        <f t="shared" si="60"/>
        <v>0</v>
      </c>
      <c r="U164" s="111">
        <f t="shared" si="44"/>
        <v>0</v>
      </c>
      <c r="V164" s="111">
        <f t="shared" si="45"/>
        <v>0</v>
      </c>
    </row>
    <row r="165" spans="1:27" hidden="1" outlineLevel="1" x14ac:dyDescent="0.35">
      <c r="E165" s="10" t="str">
        <f>InpC!$E$41</f>
        <v>Bristol Water</v>
      </c>
      <c r="F165" s="10" t="str">
        <f>InpC!$F$41</f>
        <v>BRL</v>
      </c>
      <c r="G165" s="22" t="s">
        <v>34</v>
      </c>
      <c r="J165" s="111">
        <f t="shared" ref="J165:S165" si="61">IF(ISBLANK(J139),J113,J139)</f>
        <v>0</v>
      </c>
      <c r="K165" s="111">
        <f t="shared" si="61"/>
        <v>0</v>
      </c>
      <c r="L165" s="111">
        <f t="shared" si="61"/>
        <v>0</v>
      </c>
      <c r="M165" s="111">
        <f t="shared" si="61"/>
        <v>0</v>
      </c>
      <c r="N165" s="111">
        <f t="shared" si="61"/>
        <v>0</v>
      </c>
      <c r="O165" s="111">
        <f t="shared" si="61"/>
        <v>0</v>
      </c>
      <c r="P165" s="111">
        <f t="shared" si="61"/>
        <v>0</v>
      </c>
      <c r="Q165" s="111">
        <f t="shared" si="61"/>
        <v>0</v>
      </c>
      <c r="R165" s="111">
        <f t="shared" si="61"/>
        <v>0</v>
      </c>
      <c r="S165" s="111">
        <f t="shared" si="61"/>
        <v>0</v>
      </c>
      <c r="U165" s="111">
        <f t="shared" si="44"/>
        <v>0</v>
      </c>
      <c r="V165" s="111">
        <f t="shared" si="45"/>
        <v>0</v>
      </c>
    </row>
    <row r="166" spans="1:27" hidden="1" outlineLevel="1" x14ac:dyDescent="0.35">
      <c r="E166" s="10" t="s">
        <v>147</v>
      </c>
      <c r="G166" s="22" t="s">
        <v>34</v>
      </c>
      <c r="J166" s="133">
        <f>SUM(J149:J165)</f>
        <v>0.27605607476635513</v>
      </c>
      <c r="K166" s="133">
        <f t="shared" ref="K166:S166" si="62">SUM(K149:K165)</f>
        <v>0.64471454880294676</v>
      </c>
      <c r="L166" s="133">
        <f t="shared" si="62"/>
        <v>0.53</v>
      </c>
      <c r="M166" s="133">
        <f t="shared" si="62"/>
        <v>0.82002277039848159</v>
      </c>
      <c r="N166" s="133">
        <f t="shared" si="62"/>
        <v>0.38700000000000001</v>
      </c>
      <c r="O166" s="133">
        <f t="shared" si="62"/>
        <v>0.80270818291805357</v>
      </c>
      <c r="P166" s="133">
        <f t="shared" si="62"/>
        <v>0.80316025658824652</v>
      </c>
      <c r="Q166" s="133">
        <f t="shared" si="62"/>
        <v>0.8030588867691133</v>
      </c>
      <c r="R166" s="133">
        <f t="shared" si="62"/>
        <v>0.79648422642966643</v>
      </c>
      <c r="S166" s="133">
        <f t="shared" si="62"/>
        <v>0.79649163590524219</v>
      </c>
      <c r="U166" s="133">
        <f t="shared" ref="U166:V166" si="63">SUM(U149:U165)</f>
        <v>0.80038063772206447</v>
      </c>
      <c r="V166" s="133">
        <f t="shared" si="63"/>
        <v>4.0019031886103225</v>
      </c>
    </row>
    <row r="168" spans="1:27" x14ac:dyDescent="0.35">
      <c r="A168" s="149"/>
      <c r="B168" s="149"/>
      <c r="C168" s="150"/>
      <c r="D168" s="151" t="str">
        <f>InpC!$H$49</f>
        <v>Lane Rental Schemes</v>
      </c>
      <c r="E168" s="152"/>
      <c r="F168" s="152"/>
      <c r="G168" s="22" t="s">
        <v>125</v>
      </c>
      <c r="H168" s="152"/>
      <c r="I168" s="153"/>
      <c r="J168" s="74">
        <f>J$2</f>
        <v>44286</v>
      </c>
      <c r="K168" s="74">
        <f t="shared" ref="K168:V168" si="64">K$2</f>
        <v>44651</v>
      </c>
      <c r="L168" s="74">
        <f t="shared" si="64"/>
        <v>45016</v>
      </c>
      <c r="M168" s="74">
        <f t="shared" si="64"/>
        <v>45382</v>
      </c>
      <c r="N168" s="74">
        <f t="shared" si="64"/>
        <v>45747</v>
      </c>
      <c r="O168" s="74">
        <f t="shared" si="64"/>
        <v>46112</v>
      </c>
      <c r="P168" s="74">
        <f t="shared" si="64"/>
        <v>46477</v>
      </c>
      <c r="Q168" s="74">
        <f t="shared" si="64"/>
        <v>46843</v>
      </c>
      <c r="R168" s="74">
        <f t="shared" si="64"/>
        <v>47208</v>
      </c>
      <c r="S168" s="74">
        <f t="shared" si="64"/>
        <v>47573</v>
      </c>
      <c r="T168" s="74"/>
      <c r="U168" s="74" t="str">
        <f t="shared" si="64"/>
        <v>PR24 Average</v>
      </c>
      <c r="V168" s="74" t="str">
        <f t="shared" si="64"/>
        <v>PR24 Total</v>
      </c>
      <c r="W168" s="74"/>
      <c r="X168" s="74"/>
      <c r="Z168" s="74"/>
      <c r="AA168" s="74"/>
    </row>
    <row r="169" spans="1:27" collapsed="1" x14ac:dyDescent="0.35">
      <c r="A169" s="149"/>
      <c r="B169" s="149"/>
      <c r="C169" s="150"/>
      <c r="D169" s="154"/>
      <c r="E169" s="151" t="s">
        <v>176</v>
      </c>
      <c r="F169" s="152"/>
      <c r="H169" s="152"/>
      <c r="I169" s="153"/>
      <c r="J169" s="152"/>
      <c r="K169" s="152"/>
      <c r="L169" s="152"/>
      <c r="M169" s="152"/>
      <c r="N169" s="152"/>
      <c r="O169" s="152"/>
      <c r="P169" s="152"/>
      <c r="Q169" s="152"/>
      <c r="R169" s="152"/>
      <c r="S169" s="152"/>
      <c r="T169" s="152"/>
      <c r="U169" s="152"/>
      <c r="V169" s="152"/>
      <c r="W169" s="152"/>
      <c r="X169" s="152"/>
      <c r="Z169" s="152"/>
      <c r="AA169" s="152"/>
    </row>
    <row r="170" spans="1:27" hidden="1" outlineLevel="1" x14ac:dyDescent="0.35">
      <c r="A170" s="149"/>
      <c r="B170" s="149"/>
      <c r="C170" s="150"/>
      <c r="D170" s="154"/>
      <c r="E170" s="152"/>
      <c r="F170" s="152"/>
      <c r="H170" s="152"/>
      <c r="I170" s="153"/>
      <c r="J170" s="152"/>
      <c r="K170" s="152"/>
      <c r="L170" s="152"/>
      <c r="M170" s="152"/>
      <c r="N170" s="152"/>
      <c r="O170" s="152"/>
      <c r="P170" s="152"/>
      <c r="Q170" s="152"/>
      <c r="R170" s="152"/>
      <c r="S170" s="152"/>
      <c r="T170" s="152"/>
      <c r="U170" s="152"/>
      <c r="V170" s="152"/>
      <c r="W170" s="152"/>
      <c r="X170" s="152"/>
      <c r="Z170" s="152"/>
      <c r="AA170" s="152"/>
    </row>
    <row r="171" spans="1:27" hidden="1" outlineLevel="1" x14ac:dyDescent="0.35">
      <c r="A171" s="149"/>
      <c r="B171" s="149"/>
      <c r="C171" s="150"/>
      <c r="D171" s="151"/>
      <c r="E171" s="152"/>
      <c r="F171" s="152"/>
      <c r="G171" s="22" t="s">
        <v>126</v>
      </c>
      <c r="H171" s="152"/>
      <c r="I171" s="153"/>
      <c r="J171" s="74"/>
      <c r="K171" s="74"/>
      <c r="L171" s="74"/>
      <c r="M171" s="74"/>
      <c r="N171" s="74"/>
      <c r="O171" s="74"/>
      <c r="P171" s="74"/>
      <c r="Q171" s="74"/>
      <c r="R171" s="74"/>
      <c r="S171" s="74"/>
      <c r="T171" s="74"/>
      <c r="U171" s="74"/>
      <c r="V171" s="74"/>
      <c r="W171" s="74"/>
      <c r="X171" s="74"/>
      <c r="Z171" s="74"/>
      <c r="AA171" s="74"/>
    </row>
    <row r="172" spans="1:27" hidden="1" outlineLevel="1" x14ac:dyDescent="0.35">
      <c r="A172" s="149"/>
      <c r="B172" s="149"/>
      <c r="C172" s="150"/>
      <c r="D172" s="154"/>
      <c r="E172" s="155" t="s">
        <v>177</v>
      </c>
      <c r="F172" s="152"/>
      <c r="H172" s="152"/>
      <c r="I172" s="153"/>
      <c r="J172" s="153"/>
      <c r="K172" s="153"/>
      <c r="L172" s="153"/>
      <c r="M172" s="153"/>
      <c r="N172" s="153"/>
      <c r="O172" s="153"/>
      <c r="P172" s="153"/>
      <c r="Q172" s="153"/>
      <c r="R172" s="153"/>
      <c r="S172" s="153"/>
      <c r="T172" s="153"/>
      <c r="U172" s="153"/>
      <c r="V172" s="153"/>
      <c r="W172" s="153"/>
      <c r="X172" s="153"/>
      <c r="Z172" s="153"/>
      <c r="AA172" s="153"/>
    </row>
    <row r="173" spans="1:27" hidden="1" outlineLevel="1" x14ac:dyDescent="0.35">
      <c r="A173" s="149"/>
      <c r="B173" s="149"/>
      <c r="C173" s="150"/>
      <c r="D173" s="154"/>
      <c r="E173" s="129">
        <f>InpT!$F$8</f>
        <v>45016</v>
      </c>
      <c r="F173" s="152"/>
      <c r="G173" s="22" t="s">
        <v>178</v>
      </c>
      <c r="H173" s="152"/>
      <c r="I173" s="153"/>
      <c r="J173" s="153"/>
      <c r="K173" s="153"/>
      <c r="L173" s="153"/>
      <c r="M173" s="153"/>
      <c r="N173" s="153"/>
      <c r="O173" s="153"/>
      <c r="P173" s="153"/>
      <c r="Q173" s="153"/>
      <c r="R173" s="153"/>
      <c r="S173" s="153"/>
      <c r="T173" s="153"/>
      <c r="U173" s="153"/>
      <c r="V173" s="153"/>
      <c r="W173" s="153"/>
      <c r="X173" s="153"/>
      <c r="Z173" s="153"/>
      <c r="AA173" s="153"/>
    </row>
    <row r="174" spans="1:27" hidden="1" outlineLevel="1" x14ac:dyDescent="0.35">
      <c r="A174" s="149"/>
      <c r="B174" s="149"/>
      <c r="C174" s="150"/>
      <c r="D174" s="154"/>
      <c r="E174" s="129"/>
      <c r="F174" s="152"/>
      <c r="H174" s="152"/>
      <c r="I174" s="153"/>
      <c r="J174" s="153"/>
      <c r="K174" s="153"/>
      <c r="L174" s="153"/>
      <c r="M174" s="153"/>
      <c r="N174" s="153"/>
      <c r="O174" s="153"/>
      <c r="P174" s="153"/>
      <c r="Q174" s="153"/>
      <c r="R174" s="153"/>
      <c r="S174" s="153"/>
      <c r="T174" s="153"/>
      <c r="U174" s="153"/>
      <c r="V174" s="153"/>
      <c r="W174" s="153"/>
      <c r="X174" s="153"/>
      <c r="Z174" s="153"/>
      <c r="AA174" s="153"/>
    </row>
    <row r="175" spans="1:27" hidden="1" outlineLevel="1" x14ac:dyDescent="0.35">
      <c r="A175" s="149"/>
      <c r="B175" s="149"/>
      <c r="C175" s="150"/>
      <c r="D175" s="154"/>
      <c r="E175" s="152" t="str">
        <f>InpC!$E$25</f>
        <v>Anglian Water</v>
      </c>
      <c r="F175" s="152" t="str">
        <f>InpC!$F$25</f>
        <v>ANH</v>
      </c>
      <c r="G175" s="22" t="s">
        <v>34</v>
      </c>
      <c r="H175" s="152"/>
      <c r="I175" s="153"/>
      <c r="J175" s="156">
        <f t="shared" ref="J175:S175" si="65">J19+J97</f>
        <v>0</v>
      </c>
      <c r="K175" s="156">
        <f t="shared" si="65"/>
        <v>0</v>
      </c>
      <c r="L175" s="156">
        <f t="shared" si="65"/>
        <v>0</v>
      </c>
      <c r="M175" s="156">
        <f t="shared" si="65"/>
        <v>0</v>
      </c>
      <c r="N175" s="156">
        <f t="shared" si="65"/>
        <v>0</v>
      </c>
      <c r="O175" s="156">
        <f t="shared" si="65"/>
        <v>0</v>
      </c>
      <c r="P175" s="156">
        <f t="shared" si="65"/>
        <v>0</v>
      </c>
      <c r="Q175" s="156">
        <f t="shared" si="65"/>
        <v>0</v>
      </c>
      <c r="R175" s="156">
        <f t="shared" si="65"/>
        <v>0</v>
      </c>
      <c r="S175" s="156">
        <f t="shared" si="65"/>
        <v>0</v>
      </c>
      <c r="U175" s="156">
        <f t="shared" ref="U175:U191" si="66">IFERROR(AVERAGE(O175:S175),0)</f>
        <v>0</v>
      </c>
      <c r="V175" s="156">
        <f t="shared" ref="V175:V191" si="67">SUM(O175:S175)</f>
        <v>0</v>
      </c>
      <c r="W175" s="156"/>
      <c r="X175" s="156"/>
    </row>
    <row r="176" spans="1:27" hidden="1" outlineLevel="1" x14ac:dyDescent="0.35">
      <c r="A176" s="149"/>
      <c r="B176" s="149"/>
      <c r="C176" s="150"/>
      <c r="D176" s="154"/>
      <c r="E176" s="152" t="str">
        <f>InpC!$E$26</f>
        <v>Dŵr Cymru</v>
      </c>
      <c r="F176" s="152" t="str">
        <f>InpC!$F$26</f>
        <v>WSH</v>
      </c>
      <c r="G176" s="22" t="s">
        <v>34</v>
      </c>
      <c r="H176" s="152"/>
      <c r="I176" s="153"/>
      <c r="J176" s="156">
        <f t="shared" ref="J176:S176" si="68">J20+J98</f>
        <v>0</v>
      </c>
      <c r="K176" s="156">
        <f t="shared" si="68"/>
        <v>0</v>
      </c>
      <c r="L176" s="156">
        <f t="shared" si="68"/>
        <v>0</v>
      </c>
      <c r="M176" s="156">
        <f t="shared" si="68"/>
        <v>0</v>
      </c>
      <c r="N176" s="156">
        <f t="shared" si="68"/>
        <v>0</v>
      </c>
      <c r="O176" s="156">
        <f t="shared" si="68"/>
        <v>0</v>
      </c>
      <c r="P176" s="156">
        <f t="shared" si="68"/>
        <v>0</v>
      </c>
      <c r="Q176" s="156">
        <f t="shared" si="68"/>
        <v>0</v>
      </c>
      <c r="R176" s="156">
        <f t="shared" si="68"/>
        <v>0</v>
      </c>
      <c r="S176" s="156">
        <f t="shared" si="68"/>
        <v>0</v>
      </c>
      <c r="U176" s="156">
        <f t="shared" si="66"/>
        <v>0</v>
      </c>
      <c r="V176" s="156">
        <f t="shared" si="67"/>
        <v>0</v>
      </c>
      <c r="W176" s="156"/>
      <c r="X176" s="156"/>
    </row>
    <row r="177" spans="1:24" hidden="1" outlineLevel="1" x14ac:dyDescent="0.35">
      <c r="A177" s="149"/>
      <c r="B177" s="149"/>
      <c r="C177" s="150"/>
      <c r="D177" s="154"/>
      <c r="E177" s="152" t="str">
        <f>InpC!$E$27</f>
        <v>Hafren Dyfrdwy</v>
      </c>
      <c r="F177" s="152" t="str">
        <f>InpC!$F$27</f>
        <v>HDD</v>
      </c>
      <c r="G177" s="22" t="s">
        <v>34</v>
      </c>
      <c r="H177" s="152"/>
      <c r="I177" s="153"/>
      <c r="J177" s="156">
        <f t="shared" ref="J177:S177" si="69">J21+J99</f>
        <v>0</v>
      </c>
      <c r="K177" s="156">
        <f t="shared" si="69"/>
        <v>0</v>
      </c>
      <c r="L177" s="156">
        <f t="shared" si="69"/>
        <v>0</v>
      </c>
      <c r="M177" s="156">
        <f t="shared" si="69"/>
        <v>0</v>
      </c>
      <c r="N177" s="156">
        <f t="shared" si="69"/>
        <v>0</v>
      </c>
      <c r="O177" s="156">
        <f t="shared" si="69"/>
        <v>0</v>
      </c>
      <c r="P177" s="156">
        <f t="shared" si="69"/>
        <v>0</v>
      </c>
      <c r="Q177" s="156">
        <f t="shared" si="69"/>
        <v>0</v>
      </c>
      <c r="R177" s="156">
        <f t="shared" si="69"/>
        <v>0</v>
      </c>
      <c r="S177" s="156">
        <f t="shared" si="69"/>
        <v>0</v>
      </c>
      <c r="U177" s="156">
        <f t="shared" si="66"/>
        <v>0</v>
      </c>
      <c r="V177" s="156">
        <f t="shared" si="67"/>
        <v>0</v>
      </c>
      <c r="W177" s="156"/>
      <c r="X177" s="156"/>
    </row>
    <row r="178" spans="1:24" hidden="1" outlineLevel="1" x14ac:dyDescent="0.35">
      <c r="A178" s="149"/>
      <c r="B178" s="149"/>
      <c r="C178" s="150"/>
      <c r="D178" s="154"/>
      <c r="E178" s="152" t="str">
        <f>InpC!$E$28</f>
        <v>Northumbrian Water</v>
      </c>
      <c r="F178" s="152" t="str">
        <f>InpC!$F$28</f>
        <v>NES</v>
      </c>
      <c r="G178" s="22" t="s">
        <v>34</v>
      </c>
      <c r="H178" s="152"/>
      <c r="I178" s="153"/>
      <c r="J178" s="156">
        <f t="shared" ref="J178:S178" si="70">J22+J100</f>
        <v>0</v>
      </c>
      <c r="K178" s="156">
        <f t="shared" si="70"/>
        <v>0</v>
      </c>
      <c r="L178" s="156">
        <f t="shared" si="70"/>
        <v>0</v>
      </c>
      <c r="M178" s="156">
        <f t="shared" si="70"/>
        <v>0</v>
      </c>
      <c r="N178" s="156">
        <f t="shared" si="70"/>
        <v>0</v>
      </c>
      <c r="O178" s="156">
        <f t="shared" si="70"/>
        <v>0</v>
      </c>
      <c r="P178" s="156">
        <f t="shared" si="70"/>
        <v>0</v>
      </c>
      <c r="Q178" s="156">
        <f t="shared" si="70"/>
        <v>0</v>
      </c>
      <c r="R178" s="156">
        <f t="shared" si="70"/>
        <v>0</v>
      </c>
      <c r="S178" s="156">
        <f t="shared" si="70"/>
        <v>0</v>
      </c>
      <c r="U178" s="156">
        <f t="shared" si="66"/>
        <v>0</v>
      </c>
      <c r="V178" s="156">
        <f t="shared" si="67"/>
        <v>0</v>
      </c>
      <c r="W178" s="156"/>
      <c r="X178" s="156"/>
    </row>
    <row r="179" spans="1:24" hidden="1" outlineLevel="1" x14ac:dyDescent="0.35">
      <c r="A179" s="149"/>
      <c r="B179" s="149"/>
      <c r="C179" s="150"/>
      <c r="D179" s="154"/>
      <c r="E179" s="152" t="str">
        <f>InpC!$E$29</f>
        <v>Severn Trent Water</v>
      </c>
      <c r="F179" s="152" t="str">
        <f>InpC!$F$29</f>
        <v>SVE</v>
      </c>
      <c r="G179" s="22" t="s">
        <v>34</v>
      </c>
      <c r="H179" s="152"/>
      <c r="I179" s="153"/>
      <c r="J179" s="156">
        <f t="shared" ref="J179:S179" si="71">J23+J101</f>
        <v>0</v>
      </c>
      <c r="K179" s="156">
        <f t="shared" si="71"/>
        <v>0</v>
      </c>
      <c r="L179" s="156">
        <f t="shared" si="71"/>
        <v>0</v>
      </c>
      <c r="M179" s="156">
        <f t="shared" si="71"/>
        <v>0</v>
      </c>
      <c r="N179" s="156">
        <f t="shared" si="71"/>
        <v>0</v>
      </c>
      <c r="O179" s="156">
        <f t="shared" si="71"/>
        <v>0</v>
      </c>
      <c r="P179" s="156">
        <f t="shared" si="71"/>
        <v>0</v>
      </c>
      <c r="Q179" s="156">
        <f t="shared" si="71"/>
        <v>0</v>
      </c>
      <c r="R179" s="156">
        <f t="shared" si="71"/>
        <v>0</v>
      </c>
      <c r="S179" s="156">
        <f t="shared" si="71"/>
        <v>0</v>
      </c>
      <c r="U179" s="156">
        <f t="shared" si="66"/>
        <v>0</v>
      </c>
      <c r="V179" s="156">
        <f t="shared" si="67"/>
        <v>0</v>
      </c>
      <c r="W179" s="156"/>
      <c r="X179" s="156"/>
    </row>
    <row r="180" spans="1:24" hidden="1" outlineLevel="1" x14ac:dyDescent="0.35">
      <c r="A180" s="149"/>
      <c r="B180" s="149"/>
      <c r="C180" s="150"/>
      <c r="D180" s="154"/>
      <c r="E180" s="152" t="str">
        <f>InpC!$E$30</f>
        <v>Southern Water</v>
      </c>
      <c r="F180" s="152" t="str">
        <f>InpC!$F$30</f>
        <v>SRN</v>
      </c>
      <c r="G180" s="22" t="s">
        <v>34</v>
      </c>
      <c r="H180" s="152"/>
      <c r="I180" s="153"/>
      <c r="J180" s="156">
        <f t="shared" ref="J180:S180" si="72">J24+J102</f>
        <v>0.22391214953271027</v>
      </c>
      <c r="K180" s="156">
        <f t="shared" si="72"/>
        <v>0.19744383057090242</v>
      </c>
      <c r="L180" s="156">
        <f t="shared" si="72"/>
        <v>0.47399999999999998</v>
      </c>
      <c r="M180" s="156">
        <f t="shared" si="72"/>
        <v>1.1160000000000001</v>
      </c>
      <c r="N180" s="156">
        <f t="shared" si="72"/>
        <v>0.20100000000000001</v>
      </c>
      <c r="O180" s="156">
        <f t="shared" si="72"/>
        <v>1.0499999999999998</v>
      </c>
      <c r="P180" s="156">
        <f t="shared" si="72"/>
        <v>1.0499999999999998</v>
      </c>
      <c r="Q180" s="156">
        <f t="shared" si="72"/>
        <v>1.0499999999999998</v>
      </c>
      <c r="R180" s="156">
        <f t="shared" si="72"/>
        <v>1.0499999999999998</v>
      </c>
      <c r="S180" s="156">
        <f t="shared" si="72"/>
        <v>1.0499999999999998</v>
      </c>
      <c r="U180" s="156">
        <f t="shared" si="66"/>
        <v>1.0499999999999998</v>
      </c>
      <c r="V180" s="156">
        <f t="shared" si="67"/>
        <v>5.2499999999999991</v>
      </c>
      <c r="W180" s="156"/>
      <c r="X180" s="156"/>
    </row>
    <row r="181" spans="1:24" hidden="1" outlineLevel="1" x14ac:dyDescent="0.35">
      <c r="A181" s="149"/>
      <c r="B181" s="149"/>
      <c r="C181" s="150"/>
      <c r="D181" s="154"/>
      <c r="E181" s="152" t="str">
        <f>InpC!$E$31</f>
        <v>Thames Water</v>
      </c>
      <c r="F181" s="152" t="str">
        <f>InpC!$F$31</f>
        <v>TMS</v>
      </c>
      <c r="G181" s="22" t="s">
        <v>34</v>
      </c>
      <c r="H181" s="152"/>
      <c r="I181" s="153"/>
      <c r="J181" s="156">
        <f t="shared" ref="J181:S181" si="73">J25+J103</f>
        <v>1.0817308411214954</v>
      </c>
      <c r="K181" s="156">
        <f t="shared" si="73"/>
        <v>1.6470441988950282</v>
      </c>
      <c r="L181" s="156">
        <f t="shared" si="73"/>
        <v>3.0620000000000003</v>
      </c>
      <c r="M181" s="156">
        <f t="shared" si="73"/>
        <v>2.0559772296015169</v>
      </c>
      <c r="N181" s="156">
        <f t="shared" si="73"/>
        <v>1.377</v>
      </c>
      <c r="O181" s="156">
        <f t="shared" si="73"/>
        <v>1.413</v>
      </c>
      <c r="P181" s="156">
        <f t="shared" si="73"/>
        <v>1.413</v>
      </c>
      <c r="Q181" s="156">
        <f t="shared" si="73"/>
        <v>1.413</v>
      </c>
      <c r="R181" s="156">
        <f t="shared" si="73"/>
        <v>1.4059999999999999</v>
      </c>
      <c r="S181" s="156">
        <f t="shared" si="73"/>
        <v>1.4059999999999999</v>
      </c>
      <c r="U181" s="156">
        <f t="shared" si="66"/>
        <v>1.4101999999999999</v>
      </c>
      <c r="V181" s="156">
        <f t="shared" si="67"/>
        <v>7.0509999999999993</v>
      </c>
      <c r="W181" s="156"/>
      <c r="X181" s="156"/>
    </row>
    <row r="182" spans="1:24" hidden="1" outlineLevel="1" x14ac:dyDescent="0.35">
      <c r="A182" s="149"/>
      <c r="B182" s="149"/>
      <c r="C182" s="150"/>
      <c r="D182" s="154"/>
      <c r="E182" s="152" t="str">
        <f>InpC!$E$32</f>
        <v>United Utilities</v>
      </c>
      <c r="F182" s="152" t="str">
        <f>InpC!$F$32</f>
        <v>NWT</v>
      </c>
      <c r="G182" s="22" t="s">
        <v>34</v>
      </c>
      <c r="H182" s="152"/>
      <c r="I182" s="153"/>
      <c r="J182" s="156">
        <f t="shared" ref="J182:S182" si="74">J26+J104</f>
        <v>0</v>
      </c>
      <c r="K182" s="156">
        <f t="shared" si="74"/>
        <v>0</v>
      </c>
      <c r="L182" s="156">
        <f t="shared" si="74"/>
        <v>0</v>
      </c>
      <c r="M182" s="156">
        <f t="shared" si="74"/>
        <v>0</v>
      </c>
      <c r="N182" s="156">
        <f t="shared" si="74"/>
        <v>0</v>
      </c>
      <c r="O182" s="156">
        <f t="shared" si="74"/>
        <v>0.44792325852185971</v>
      </c>
      <c r="P182" s="156">
        <f t="shared" si="74"/>
        <v>0.45284128460608414</v>
      </c>
      <c r="Q182" s="156">
        <f t="shared" si="74"/>
        <v>0.45190832529360803</v>
      </c>
      <c r="R182" s="156">
        <f t="shared" si="74"/>
        <v>0.45629890697614056</v>
      </c>
      <c r="S182" s="156">
        <f t="shared" si="74"/>
        <v>0.45642365084591946</v>
      </c>
      <c r="U182" s="156">
        <f t="shared" si="66"/>
        <v>0.45307908524872237</v>
      </c>
      <c r="V182" s="156">
        <f t="shared" si="67"/>
        <v>2.2653954262436118</v>
      </c>
      <c r="W182" s="156"/>
      <c r="X182" s="156"/>
    </row>
    <row r="183" spans="1:24" hidden="1" outlineLevel="1" x14ac:dyDescent="0.35">
      <c r="A183" s="149"/>
      <c r="B183" s="149"/>
      <c r="C183" s="150"/>
      <c r="D183" s="154"/>
      <c r="E183" s="152" t="str">
        <f>InpC!$E$33</f>
        <v>Wessex Water</v>
      </c>
      <c r="F183" s="152" t="str">
        <f>InpC!$F$33</f>
        <v>WSX</v>
      </c>
      <c r="G183" s="22" t="s">
        <v>34</v>
      </c>
      <c r="H183" s="152"/>
      <c r="I183" s="153"/>
      <c r="J183" s="156">
        <f t="shared" ref="J183:S183" si="75">J27+J105</f>
        <v>0</v>
      </c>
      <c r="K183" s="156">
        <f t="shared" si="75"/>
        <v>0</v>
      </c>
      <c r="L183" s="156">
        <f t="shared" si="75"/>
        <v>0</v>
      </c>
      <c r="M183" s="156">
        <f t="shared" si="75"/>
        <v>0</v>
      </c>
      <c r="N183" s="156">
        <f t="shared" si="75"/>
        <v>0</v>
      </c>
      <c r="O183" s="156">
        <f t="shared" si="75"/>
        <v>0</v>
      </c>
      <c r="P183" s="156">
        <f t="shared" si="75"/>
        <v>0</v>
      </c>
      <c r="Q183" s="156">
        <f t="shared" si="75"/>
        <v>0</v>
      </c>
      <c r="R183" s="156">
        <f t="shared" si="75"/>
        <v>0</v>
      </c>
      <c r="S183" s="156">
        <f t="shared" si="75"/>
        <v>0</v>
      </c>
      <c r="U183" s="156">
        <f t="shared" si="66"/>
        <v>0</v>
      </c>
      <c r="V183" s="156">
        <f t="shared" si="67"/>
        <v>0</v>
      </c>
      <c r="W183" s="156"/>
      <c r="X183" s="156"/>
    </row>
    <row r="184" spans="1:24" hidden="1" outlineLevel="1" x14ac:dyDescent="0.35">
      <c r="A184" s="149"/>
      <c r="B184" s="149"/>
      <c r="C184" s="150"/>
      <c r="D184" s="154"/>
      <c r="E184" s="152" t="str">
        <f>InpC!$E$34</f>
        <v>Yorkshire Water</v>
      </c>
      <c r="F184" s="152" t="str">
        <f>InpC!$F$34</f>
        <v>YKY</v>
      </c>
      <c r="G184" s="22" t="s">
        <v>34</v>
      </c>
      <c r="H184" s="152"/>
      <c r="I184" s="153"/>
      <c r="J184" s="156">
        <f t="shared" ref="J184:S184" si="76">J28+J106</f>
        <v>0</v>
      </c>
      <c r="K184" s="156">
        <f t="shared" si="76"/>
        <v>0</v>
      </c>
      <c r="L184" s="156">
        <f t="shared" si="76"/>
        <v>0</v>
      </c>
      <c r="M184" s="156">
        <f t="shared" si="76"/>
        <v>0</v>
      </c>
      <c r="N184" s="156">
        <f t="shared" si="76"/>
        <v>0</v>
      </c>
      <c r="O184" s="156">
        <f t="shared" si="76"/>
        <v>1.0680000000000001</v>
      </c>
      <c r="P184" s="156">
        <f t="shared" si="76"/>
        <v>1.0680000000000001</v>
      </c>
      <c r="Q184" s="156">
        <f t="shared" si="76"/>
        <v>1.0680000000000001</v>
      </c>
      <c r="R184" s="156">
        <f t="shared" si="76"/>
        <v>1.0680000000000001</v>
      </c>
      <c r="S184" s="156">
        <f t="shared" si="76"/>
        <v>1.0680000000000001</v>
      </c>
      <c r="U184" s="156">
        <f t="shared" si="66"/>
        <v>1.0680000000000001</v>
      </c>
      <c r="V184" s="156">
        <f t="shared" si="67"/>
        <v>5.34</v>
      </c>
      <c r="W184" s="156"/>
      <c r="X184" s="156"/>
    </row>
    <row r="185" spans="1:24" hidden="1" outlineLevel="1" x14ac:dyDescent="0.35">
      <c r="A185" s="149"/>
      <c r="B185" s="149"/>
      <c r="C185" s="150"/>
      <c r="D185" s="154"/>
      <c r="E185" s="152" t="str">
        <f>InpC!$E$35</f>
        <v>Affinity Water</v>
      </c>
      <c r="F185" s="152" t="str">
        <f>InpC!$F$35</f>
        <v>AFW</v>
      </c>
      <c r="G185" s="22" t="s">
        <v>34</v>
      </c>
      <c r="H185" s="152"/>
      <c r="I185" s="153"/>
      <c r="J185" s="156">
        <f t="shared" ref="J185:S185" si="77">J29+J107</f>
        <v>0</v>
      </c>
      <c r="K185" s="156">
        <f t="shared" si="77"/>
        <v>3.0220994475138128E-2</v>
      </c>
      <c r="L185" s="156">
        <f t="shared" si="77"/>
        <v>1.2999999999999999E-2</v>
      </c>
      <c r="M185" s="156">
        <f t="shared" si="77"/>
        <v>7.0000000000000001E-3</v>
      </c>
      <c r="N185" s="156">
        <f t="shared" si="77"/>
        <v>1.4999999999999999E-2</v>
      </c>
      <c r="O185" s="156">
        <f t="shared" si="77"/>
        <v>1.4999999999999999E-2</v>
      </c>
      <c r="P185" s="156">
        <f t="shared" si="77"/>
        <v>1.4999999999999999E-2</v>
      </c>
      <c r="Q185" s="156">
        <f t="shared" si="77"/>
        <v>1.4999999999999999E-2</v>
      </c>
      <c r="R185" s="156">
        <f t="shared" si="77"/>
        <v>1.4999999999999999E-2</v>
      </c>
      <c r="S185" s="156">
        <f t="shared" si="77"/>
        <v>1.4999999999999999E-2</v>
      </c>
      <c r="U185" s="156">
        <f t="shared" si="66"/>
        <v>1.4999999999999999E-2</v>
      </c>
      <c r="V185" s="156">
        <f t="shared" si="67"/>
        <v>7.4999999999999997E-2</v>
      </c>
      <c r="W185" s="156"/>
      <c r="X185" s="156"/>
    </row>
    <row r="186" spans="1:24" hidden="1" outlineLevel="1" x14ac:dyDescent="0.35">
      <c r="A186" s="149"/>
      <c r="B186" s="149"/>
      <c r="C186" s="150"/>
      <c r="D186" s="154"/>
      <c r="E186" s="152" t="str">
        <f>InpC!$E$36</f>
        <v>Portsmouth Water</v>
      </c>
      <c r="F186" s="152" t="str">
        <f>InpC!$F$36</f>
        <v>PRT</v>
      </c>
      <c r="G186" s="22" t="s">
        <v>34</v>
      </c>
      <c r="H186" s="152"/>
      <c r="I186" s="153"/>
      <c r="J186" s="156">
        <f t="shared" ref="J186:S186" si="78">J30+J108</f>
        <v>0</v>
      </c>
      <c r="K186" s="156">
        <f t="shared" si="78"/>
        <v>0</v>
      </c>
      <c r="L186" s="156">
        <f t="shared" si="78"/>
        <v>0</v>
      </c>
      <c r="M186" s="156">
        <f t="shared" si="78"/>
        <v>0.15159137577002049</v>
      </c>
      <c r="N186" s="156">
        <f t="shared" si="78"/>
        <v>0.15</v>
      </c>
      <c r="O186" s="156">
        <f t="shared" si="78"/>
        <v>0.20200000000000001</v>
      </c>
      <c r="P186" s="156">
        <f t="shared" si="78"/>
        <v>0.20399999999999999</v>
      </c>
      <c r="Q186" s="156">
        <f t="shared" si="78"/>
        <v>0.20200000000000001</v>
      </c>
      <c r="R186" s="156">
        <f t="shared" si="78"/>
        <v>0.20200000000000001</v>
      </c>
      <c r="S186" s="156">
        <f t="shared" si="78"/>
        <v>0.20200000000000001</v>
      </c>
      <c r="U186" s="156">
        <f t="shared" si="66"/>
        <v>0.2024</v>
      </c>
      <c r="V186" s="156">
        <f t="shared" si="67"/>
        <v>1.012</v>
      </c>
      <c r="W186" s="156"/>
      <c r="X186" s="156"/>
    </row>
    <row r="187" spans="1:24" hidden="1" outlineLevel="1" x14ac:dyDescent="0.35">
      <c r="A187" s="149"/>
      <c r="B187" s="149"/>
      <c r="C187" s="150"/>
      <c r="D187" s="154"/>
      <c r="E187" s="152" t="str">
        <f>InpC!$E$37</f>
        <v>South East Water</v>
      </c>
      <c r="F187" s="152" t="str">
        <f>InpC!$F$37</f>
        <v>SEW</v>
      </c>
      <c r="G187" s="22" t="s">
        <v>34</v>
      </c>
      <c r="H187" s="152"/>
      <c r="I187" s="153"/>
      <c r="J187" s="156">
        <f t="shared" ref="J187:S187" si="79">J31+J109</f>
        <v>7.2592523364485975E-2</v>
      </c>
      <c r="K187" s="156">
        <f t="shared" si="79"/>
        <v>0.19341436464088402</v>
      </c>
      <c r="L187" s="156">
        <f t="shared" si="79"/>
        <v>0.109</v>
      </c>
      <c r="M187" s="156">
        <f t="shared" si="79"/>
        <v>0.3695040310471483</v>
      </c>
      <c r="N187" s="156">
        <f t="shared" si="79"/>
        <v>0.48036680478063809</v>
      </c>
      <c r="O187" s="156">
        <f t="shared" si="79"/>
        <v>0.48</v>
      </c>
      <c r="P187" s="156">
        <f t="shared" si="79"/>
        <v>0.48</v>
      </c>
      <c r="Q187" s="156">
        <f t="shared" si="79"/>
        <v>0.48</v>
      </c>
      <c r="R187" s="156">
        <f t="shared" si="79"/>
        <v>0.48</v>
      </c>
      <c r="S187" s="156">
        <f t="shared" si="79"/>
        <v>0.48</v>
      </c>
      <c r="U187" s="156">
        <f t="shared" si="66"/>
        <v>0.48</v>
      </c>
      <c r="V187" s="156">
        <f t="shared" si="67"/>
        <v>2.4</v>
      </c>
      <c r="W187" s="156"/>
      <c r="X187" s="156"/>
    </row>
    <row r="188" spans="1:24" hidden="1" outlineLevel="1" x14ac:dyDescent="0.35">
      <c r="A188" s="149"/>
      <c r="B188" s="149"/>
      <c r="C188" s="150"/>
      <c r="D188" s="154"/>
      <c r="E188" s="152" t="str">
        <f>InpC!$E$38</f>
        <v>South Staffs Water</v>
      </c>
      <c r="F188" s="152" t="str">
        <f>InpC!$F$38</f>
        <v>SSC</v>
      </c>
      <c r="G188" s="22" t="s">
        <v>34</v>
      </c>
      <c r="H188" s="152"/>
      <c r="I188" s="153"/>
      <c r="J188" s="156">
        <f t="shared" ref="J188:S188" si="80">J32+J110</f>
        <v>0.22902429906542057</v>
      </c>
      <c r="K188" s="156">
        <f t="shared" si="80"/>
        <v>0.27299631675874775</v>
      </c>
      <c r="L188" s="156">
        <f t="shared" si="80"/>
        <v>0.253</v>
      </c>
      <c r="M188" s="156">
        <f t="shared" si="80"/>
        <v>0.253</v>
      </c>
      <c r="N188" s="156">
        <f t="shared" si="80"/>
        <v>0.253</v>
      </c>
      <c r="O188" s="156">
        <f t="shared" si="80"/>
        <v>0.253</v>
      </c>
      <c r="P188" s="156">
        <f t="shared" si="80"/>
        <v>0.253</v>
      </c>
      <c r="Q188" s="156">
        <f t="shared" si="80"/>
        <v>0.253</v>
      </c>
      <c r="R188" s="156">
        <f t="shared" si="80"/>
        <v>0.253</v>
      </c>
      <c r="S188" s="156">
        <f t="shared" si="80"/>
        <v>0.253</v>
      </c>
      <c r="U188" s="156">
        <f t="shared" si="66"/>
        <v>0.253</v>
      </c>
      <c r="V188" s="156">
        <f t="shared" si="67"/>
        <v>1.2650000000000001</v>
      </c>
      <c r="W188" s="156"/>
      <c r="X188" s="156"/>
    </row>
    <row r="189" spans="1:24" hidden="1" outlineLevel="1" x14ac:dyDescent="0.35">
      <c r="A189" s="149"/>
      <c r="B189" s="149"/>
      <c r="C189" s="150"/>
      <c r="D189" s="154"/>
      <c r="E189" s="152" t="str">
        <f>InpC!$E$39</f>
        <v>SES Water</v>
      </c>
      <c r="F189" s="152" t="str">
        <f>InpC!$F$39</f>
        <v>SES</v>
      </c>
      <c r="G189" s="22" t="s">
        <v>34</v>
      </c>
      <c r="H189" s="152"/>
      <c r="I189" s="153"/>
      <c r="J189" s="156">
        <f t="shared" ref="J189:S189" si="81">J33+J111</f>
        <v>0</v>
      </c>
      <c r="K189" s="156">
        <f t="shared" si="81"/>
        <v>0</v>
      </c>
      <c r="L189" s="156">
        <f t="shared" si="81"/>
        <v>0</v>
      </c>
      <c r="M189" s="156">
        <f t="shared" si="81"/>
        <v>0</v>
      </c>
      <c r="N189" s="156">
        <f t="shared" si="81"/>
        <v>0</v>
      </c>
      <c r="O189" s="156">
        <f t="shared" si="81"/>
        <v>0</v>
      </c>
      <c r="P189" s="156">
        <f t="shared" si="81"/>
        <v>0</v>
      </c>
      <c r="Q189" s="156">
        <f t="shared" si="81"/>
        <v>0</v>
      </c>
      <c r="R189" s="156">
        <f t="shared" si="81"/>
        <v>0</v>
      </c>
      <c r="S189" s="156">
        <f t="shared" si="81"/>
        <v>0</v>
      </c>
      <c r="U189" s="156">
        <f t="shared" si="66"/>
        <v>0</v>
      </c>
      <c r="V189" s="156">
        <f t="shared" si="67"/>
        <v>0</v>
      </c>
      <c r="W189" s="156"/>
      <c r="X189" s="156"/>
    </row>
    <row r="190" spans="1:24" hidden="1" outlineLevel="1" x14ac:dyDescent="0.35">
      <c r="A190" s="149"/>
      <c r="B190" s="149"/>
      <c r="C190" s="150"/>
      <c r="D190" s="154"/>
      <c r="E190" s="152" t="str">
        <f>InpC!$E$40</f>
        <v>South West Water</v>
      </c>
      <c r="F190" s="152" t="str">
        <f>InpC!$F$40</f>
        <v>SWB</v>
      </c>
      <c r="G190" s="22" t="s">
        <v>34</v>
      </c>
      <c r="H190" s="152"/>
      <c r="I190" s="153"/>
      <c r="J190" s="156">
        <f t="shared" ref="J190:S190" si="82">J34+J112</f>
        <v>0</v>
      </c>
      <c r="K190" s="156">
        <f t="shared" si="82"/>
        <v>0</v>
      </c>
      <c r="L190" s="156">
        <f t="shared" si="82"/>
        <v>0</v>
      </c>
      <c r="M190" s="156">
        <f t="shared" si="82"/>
        <v>0</v>
      </c>
      <c r="N190" s="156">
        <f t="shared" si="82"/>
        <v>0</v>
      </c>
      <c r="O190" s="156">
        <f t="shared" si="82"/>
        <v>0</v>
      </c>
      <c r="P190" s="156">
        <f t="shared" si="82"/>
        <v>0</v>
      </c>
      <c r="Q190" s="156">
        <f t="shared" si="82"/>
        <v>0</v>
      </c>
      <c r="R190" s="156">
        <f t="shared" si="82"/>
        <v>0</v>
      </c>
      <c r="S190" s="156">
        <f t="shared" si="82"/>
        <v>0</v>
      </c>
      <c r="U190" s="156">
        <f t="shared" si="66"/>
        <v>0</v>
      </c>
      <c r="V190" s="156">
        <f t="shared" si="67"/>
        <v>0</v>
      </c>
      <c r="W190" s="156"/>
      <c r="X190" s="156"/>
    </row>
    <row r="191" spans="1:24" hidden="1" outlineLevel="1" x14ac:dyDescent="0.35">
      <c r="A191" s="149"/>
      <c r="B191" s="149"/>
      <c r="C191" s="150"/>
      <c r="D191" s="154"/>
      <c r="E191" s="152" t="str">
        <f>InpC!$E$41</f>
        <v>Bristol Water</v>
      </c>
      <c r="F191" s="152" t="str">
        <f>InpC!$F$41</f>
        <v>BRL</v>
      </c>
      <c r="G191" s="22" t="s">
        <v>34</v>
      </c>
      <c r="H191" s="152"/>
      <c r="I191" s="153"/>
      <c r="J191" s="156">
        <f t="shared" ref="J191:S191" si="83">J35+J113</f>
        <v>0</v>
      </c>
      <c r="K191" s="156">
        <f t="shared" si="83"/>
        <v>0</v>
      </c>
      <c r="L191" s="156">
        <f t="shared" si="83"/>
        <v>0</v>
      </c>
      <c r="M191" s="156">
        <f t="shared" si="83"/>
        <v>0</v>
      </c>
      <c r="N191" s="156">
        <f t="shared" si="83"/>
        <v>0</v>
      </c>
      <c r="O191" s="156">
        <f t="shared" si="83"/>
        <v>0</v>
      </c>
      <c r="P191" s="156">
        <f t="shared" si="83"/>
        <v>0</v>
      </c>
      <c r="Q191" s="156">
        <f t="shared" si="83"/>
        <v>0</v>
      </c>
      <c r="R191" s="156">
        <f t="shared" si="83"/>
        <v>0</v>
      </c>
      <c r="S191" s="156">
        <f t="shared" si="83"/>
        <v>0</v>
      </c>
      <c r="U191" s="156">
        <f t="shared" si="66"/>
        <v>0</v>
      </c>
      <c r="V191" s="156">
        <f t="shared" si="67"/>
        <v>0</v>
      </c>
      <c r="W191" s="156"/>
      <c r="X191" s="156"/>
    </row>
    <row r="192" spans="1:24" hidden="1" outlineLevel="1" x14ac:dyDescent="0.35">
      <c r="A192" s="149"/>
      <c r="B192" s="149"/>
      <c r="C192" s="150"/>
      <c r="D192" s="154"/>
      <c r="E192" s="152" t="s">
        <v>147</v>
      </c>
      <c r="F192" s="152"/>
      <c r="G192" s="22" t="s">
        <v>34</v>
      </c>
      <c r="H192" s="152"/>
      <c r="I192" s="153"/>
      <c r="J192" s="157">
        <f>SUM(J175:J191)</f>
        <v>1.6072598130841123</v>
      </c>
      <c r="K192" s="157">
        <f t="shared" ref="K192:S192" si="84">SUM(K175:K191)</f>
        <v>2.3411197053407005</v>
      </c>
      <c r="L192" s="157">
        <f t="shared" si="84"/>
        <v>3.9110000000000005</v>
      </c>
      <c r="M192" s="157">
        <f t="shared" si="84"/>
        <v>3.9530726364186863</v>
      </c>
      <c r="N192" s="157">
        <f t="shared" si="84"/>
        <v>2.4763668047806382</v>
      </c>
      <c r="O192" s="157">
        <f t="shared" si="84"/>
        <v>4.928923258521861</v>
      </c>
      <c r="P192" s="157">
        <f t="shared" si="84"/>
        <v>4.9358412846060844</v>
      </c>
      <c r="Q192" s="157">
        <f t="shared" si="84"/>
        <v>4.9329083252936083</v>
      </c>
      <c r="R192" s="157">
        <f t="shared" si="84"/>
        <v>4.9302989069761409</v>
      </c>
      <c r="S192" s="157">
        <f t="shared" si="84"/>
        <v>4.9304236508459187</v>
      </c>
      <c r="U192" s="157">
        <f t="shared" ref="U192:V192" si="85">SUM(U175:U191)</f>
        <v>4.9316790852487227</v>
      </c>
      <c r="V192" s="157">
        <f t="shared" si="85"/>
        <v>24.658395426243608</v>
      </c>
      <c r="W192" s="156"/>
      <c r="X192" s="156"/>
    </row>
    <row r="193" spans="1:27" x14ac:dyDescent="0.35">
      <c r="A193" s="149"/>
      <c r="B193" s="149"/>
      <c r="C193" s="150"/>
      <c r="D193" s="154"/>
      <c r="E193" s="152"/>
      <c r="F193" s="152"/>
      <c r="H193" s="152"/>
      <c r="I193" s="153"/>
      <c r="J193" s="152"/>
      <c r="K193" s="152"/>
      <c r="L193" s="152"/>
      <c r="M193" s="152"/>
      <c r="N193" s="152"/>
      <c r="O193" s="152"/>
      <c r="P193" s="152"/>
      <c r="Q193" s="152"/>
      <c r="R193" s="152"/>
      <c r="S193" s="152"/>
      <c r="T193" s="152"/>
      <c r="U193" s="152"/>
      <c r="V193" s="152"/>
      <c r="W193" s="152"/>
      <c r="X193" s="152"/>
      <c r="Z193" s="152"/>
      <c r="AA193" s="152"/>
    </row>
    <row r="194" spans="1:27" x14ac:dyDescent="0.35">
      <c r="A194" s="149"/>
      <c r="B194" s="149"/>
      <c r="C194" s="150"/>
      <c r="D194" s="151" t="str">
        <f>D168</f>
        <v>Lane Rental Schemes</v>
      </c>
      <c r="E194" s="152"/>
      <c r="F194" s="152"/>
      <c r="G194" s="22" t="s">
        <v>125</v>
      </c>
      <c r="H194" s="152"/>
      <c r="I194" s="153"/>
      <c r="J194" s="74">
        <f>J$2</f>
        <v>44286</v>
      </c>
      <c r="K194" s="74">
        <f t="shared" ref="K194:V194" si="86">K$2</f>
        <v>44651</v>
      </c>
      <c r="L194" s="74">
        <f t="shared" si="86"/>
        <v>45016</v>
      </c>
      <c r="M194" s="74">
        <f t="shared" si="86"/>
        <v>45382</v>
      </c>
      <c r="N194" s="74">
        <f t="shared" si="86"/>
        <v>45747</v>
      </c>
      <c r="O194" s="74">
        <f t="shared" si="86"/>
        <v>46112</v>
      </c>
      <c r="P194" s="74">
        <f t="shared" si="86"/>
        <v>46477</v>
      </c>
      <c r="Q194" s="74">
        <f t="shared" si="86"/>
        <v>46843</v>
      </c>
      <c r="R194" s="74">
        <f t="shared" si="86"/>
        <v>47208</v>
      </c>
      <c r="S194" s="74">
        <f t="shared" si="86"/>
        <v>47573</v>
      </c>
      <c r="T194" s="74"/>
      <c r="U194" s="74" t="str">
        <f t="shared" si="86"/>
        <v>PR24 Average</v>
      </c>
      <c r="V194" s="74" t="str">
        <f t="shared" si="86"/>
        <v>PR24 Total</v>
      </c>
      <c r="W194" s="74"/>
      <c r="X194" s="74"/>
      <c r="Z194" s="74"/>
      <c r="AA194" s="74"/>
    </row>
    <row r="195" spans="1:27" collapsed="1" x14ac:dyDescent="0.35">
      <c r="A195" s="149"/>
      <c r="B195" s="149"/>
      <c r="C195" s="150"/>
      <c r="D195" s="154"/>
      <c r="E195" s="151" t="s">
        <v>179</v>
      </c>
      <c r="F195" s="152"/>
      <c r="H195" s="152"/>
      <c r="I195" s="153"/>
      <c r="J195" s="152"/>
      <c r="K195" s="152"/>
      <c r="L195" s="152"/>
      <c r="M195" s="152"/>
      <c r="N195" s="152"/>
      <c r="O195" s="152"/>
      <c r="P195" s="152"/>
      <c r="Q195" s="152"/>
      <c r="R195" s="152"/>
      <c r="S195" s="152"/>
      <c r="T195" s="152"/>
      <c r="U195" s="152"/>
      <c r="V195" s="152"/>
      <c r="W195" s="152"/>
      <c r="X195" s="152"/>
      <c r="Z195" s="152"/>
      <c r="AA195" s="152"/>
    </row>
    <row r="196" spans="1:27" hidden="1" outlineLevel="1" x14ac:dyDescent="0.35">
      <c r="A196" s="149"/>
      <c r="B196" s="149"/>
      <c r="C196" s="150"/>
      <c r="D196" s="154"/>
      <c r="E196" s="152"/>
      <c r="F196" s="152"/>
      <c r="H196" s="152"/>
      <c r="I196" s="153"/>
      <c r="J196" s="152"/>
      <c r="K196" s="152"/>
      <c r="L196" s="152"/>
      <c r="M196" s="152"/>
      <c r="N196" s="152"/>
      <c r="O196" s="152"/>
      <c r="P196" s="152"/>
      <c r="Q196" s="152"/>
      <c r="R196" s="152"/>
      <c r="S196" s="152"/>
      <c r="T196" s="152"/>
      <c r="U196" s="152"/>
      <c r="V196" s="152"/>
      <c r="W196" s="152"/>
      <c r="X196" s="152"/>
      <c r="Z196" s="152"/>
      <c r="AA196" s="152"/>
    </row>
    <row r="197" spans="1:27" hidden="1" outlineLevel="1" x14ac:dyDescent="0.35">
      <c r="A197" s="149"/>
      <c r="B197" s="149"/>
      <c r="C197" s="150"/>
      <c r="D197" s="151"/>
      <c r="E197" s="152"/>
      <c r="F197" s="152"/>
      <c r="G197" s="22" t="s">
        <v>126</v>
      </c>
      <c r="H197" s="152"/>
      <c r="I197" s="153"/>
      <c r="J197" s="74"/>
      <c r="K197" s="74"/>
      <c r="L197" s="74"/>
      <c r="M197" s="74"/>
      <c r="N197" s="74"/>
      <c r="O197" s="74"/>
      <c r="P197" s="74"/>
      <c r="Q197" s="74"/>
      <c r="R197" s="74"/>
      <c r="S197" s="74"/>
      <c r="T197" s="74"/>
      <c r="U197" s="74"/>
      <c r="V197" s="74"/>
      <c r="W197" s="74"/>
      <c r="X197" s="74"/>
      <c r="Z197" s="74"/>
      <c r="AA197" s="74"/>
    </row>
    <row r="198" spans="1:27" hidden="1" outlineLevel="1" x14ac:dyDescent="0.35">
      <c r="A198" s="149"/>
      <c r="B198" s="149"/>
      <c r="C198" s="150"/>
      <c r="D198" s="154"/>
      <c r="E198" s="155" t="s">
        <v>177</v>
      </c>
      <c r="F198" s="152"/>
      <c r="H198" s="152"/>
      <c r="I198" s="153"/>
      <c r="J198" s="153"/>
      <c r="K198" s="153"/>
      <c r="L198" s="153"/>
      <c r="M198" s="153"/>
      <c r="N198" s="153"/>
      <c r="O198" s="153"/>
      <c r="P198" s="153"/>
      <c r="Q198" s="153"/>
      <c r="R198" s="153"/>
      <c r="S198" s="153"/>
      <c r="T198" s="153"/>
      <c r="U198" s="153"/>
      <c r="V198" s="153"/>
      <c r="W198" s="153"/>
      <c r="X198" s="153"/>
      <c r="Z198" s="153"/>
      <c r="AA198" s="153"/>
    </row>
    <row r="199" spans="1:27" hidden="1" outlineLevel="1" x14ac:dyDescent="0.35">
      <c r="A199" s="149"/>
      <c r="B199" s="149"/>
      <c r="C199" s="150"/>
      <c r="D199" s="154"/>
      <c r="E199" s="129">
        <f>InpT!$F$8</f>
        <v>45016</v>
      </c>
      <c r="F199" s="152"/>
      <c r="G199" s="22" t="s">
        <v>178</v>
      </c>
      <c r="H199" s="152"/>
      <c r="I199" s="153"/>
      <c r="J199" s="153"/>
      <c r="K199" s="153"/>
      <c r="L199" s="153"/>
      <c r="M199" s="153"/>
      <c r="N199" s="153"/>
      <c r="O199" s="153"/>
      <c r="P199" s="153"/>
      <c r="Q199" s="153"/>
      <c r="R199" s="153"/>
      <c r="S199" s="153"/>
      <c r="T199" s="153"/>
      <c r="U199" s="153"/>
      <c r="V199" s="153"/>
      <c r="W199" s="153"/>
      <c r="X199" s="153"/>
      <c r="Z199" s="153"/>
      <c r="AA199" s="153"/>
    </row>
    <row r="200" spans="1:27" hidden="1" outlineLevel="1" x14ac:dyDescent="0.35">
      <c r="A200" s="149"/>
      <c r="B200" s="149"/>
      <c r="C200" s="150"/>
      <c r="D200" s="154"/>
      <c r="E200" s="129"/>
      <c r="F200" s="152"/>
      <c r="H200" s="152"/>
      <c r="I200" s="153"/>
      <c r="J200" s="153"/>
      <c r="K200" s="153"/>
      <c r="L200" s="153"/>
      <c r="M200" s="153"/>
      <c r="N200" s="153"/>
      <c r="O200" s="153"/>
      <c r="P200" s="153"/>
      <c r="Q200" s="153"/>
      <c r="R200" s="153"/>
      <c r="S200" s="153"/>
      <c r="T200" s="153"/>
      <c r="U200" s="153"/>
      <c r="V200" s="153"/>
      <c r="W200" s="153"/>
      <c r="X200" s="153"/>
      <c r="Z200" s="153"/>
      <c r="AA200" s="153"/>
    </row>
    <row r="201" spans="1:27" hidden="1" outlineLevel="1" x14ac:dyDescent="0.35">
      <c r="A201" s="149"/>
      <c r="B201" s="149"/>
      <c r="C201" s="150"/>
      <c r="D201" s="154"/>
      <c r="E201" s="152" t="str">
        <f>InpC!$E$25</f>
        <v>Anglian Water</v>
      </c>
      <c r="F201" s="152" t="str">
        <f>InpC!$F$25</f>
        <v>ANH</v>
      </c>
      <c r="G201" s="22" t="s">
        <v>34</v>
      </c>
      <c r="H201" s="152"/>
      <c r="I201" s="153"/>
      <c r="J201" s="156">
        <f t="shared" ref="J201:S201" si="87">J45+J123</f>
        <v>0</v>
      </c>
      <c r="K201" s="156">
        <f t="shared" si="87"/>
        <v>0</v>
      </c>
      <c r="L201" s="156">
        <f t="shared" si="87"/>
        <v>0</v>
      </c>
      <c r="M201" s="156">
        <f t="shared" si="87"/>
        <v>0</v>
      </c>
      <c r="N201" s="156">
        <f t="shared" si="87"/>
        <v>0</v>
      </c>
      <c r="O201" s="156">
        <f t="shared" si="87"/>
        <v>0</v>
      </c>
      <c r="P201" s="156">
        <f t="shared" si="87"/>
        <v>0</v>
      </c>
      <c r="Q201" s="156">
        <f t="shared" si="87"/>
        <v>0</v>
      </c>
      <c r="R201" s="156">
        <f t="shared" si="87"/>
        <v>0</v>
      </c>
      <c r="S201" s="156">
        <f t="shared" si="87"/>
        <v>0</v>
      </c>
      <c r="U201" s="156">
        <f t="shared" ref="U201:U217" si="88">IFERROR(AVERAGE(O201:S201),0)</f>
        <v>0</v>
      </c>
      <c r="V201" s="156">
        <f t="shared" ref="V201:V217" si="89">SUM(O201:S201)</f>
        <v>0</v>
      </c>
      <c r="W201" s="156"/>
      <c r="X201" s="156"/>
    </row>
    <row r="202" spans="1:27" hidden="1" outlineLevel="1" x14ac:dyDescent="0.35">
      <c r="A202" s="149"/>
      <c r="B202" s="149"/>
      <c r="C202" s="150"/>
      <c r="D202" s="154"/>
      <c r="E202" s="152" t="str">
        <f>InpC!$E$26</f>
        <v>Dŵr Cymru</v>
      </c>
      <c r="F202" s="152" t="str">
        <f>InpC!$F$26</f>
        <v>WSH</v>
      </c>
      <c r="G202" s="22" t="s">
        <v>34</v>
      </c>
      <c r="H202" s="152"/>
      <c r="I202" s="153"/>
      <c r="J202" s="156">
        <f t="shared" ref="J202:S202" si="90">J46+J124</f>
        <v>0</v>
      </c>
      <c r="K202" s="156">
        <f t="shared" si="90"/>
        <v>0</v>
      </c>
      <c r="L202" s="156">
        <f t="shared" si="90"/>
        <v>0</v>
      </c>
      <c r="M202" s="156">
        <f t="shared" si="90"/>
        <v>0</v>
      </c>
      <c r="N202" s="156">
        <f t="shared" si="90"/>
        <v>0</v>
      </c>
      <c r="O202" s="156">
        <f t="shared" si="90"/>
        <v>0</v>
      </c>
      <c r="P202" s="156">
        <f t="shared" si="90"/>
        <v>0</v>
      </c>
      <c r="Q202" s="156">
        <f t="shared" si="90"/>
        <v>0</v>
      </c>
      <c r="R202" s="156">
        <f t="shared" si="90"/>
        <v>0</v>
      </c>
      <c r="S202" s="156">
        <f t="shared" si="90"/>
        <v>0</v>
      </c>
      <c r="U202" s="156">
        <f t="shared" si="88"/>
        <v>0</v>
      </c>
      <c r="V202" s="156">
        <f t="shared" si="89"/>
        <v>0</v>
      </c>
      <c r="W202" s="156"/>
      <c r="X202" s="156"/>
    </row>
    <row r="203" spans="1:27" hidden="1" outlineLevel="1" x14ac:dyDescent="0.35">
      <c r="A203" s="149"/>
      <c r="B203" s="149"/>
      <c r="C203" s="150"/>
      <c r="D203" s="154"/>
      <c r="E203" s="152" t="str">
        <f>InpC!$E$27</f>
        <v>Hafren Dyfrdwy</v>
      </c>
      <c r="F203" s="152" t="str">
        <f>InpC!$F$27</f>
        <v>HDD</v>
      </c>
      <c r="G203" s="22" t="s">
        <v>34</v>
      </c>
      <c r="H203" s="152"/>
      <c r="I203" s="153"/>
      <c r="J203" s="156">
        <f t="shared" ref="J203:S203" si="91">J47+J125</f>
        <v>0</v>
      </c>
      <c r="K203" s="156">
        <f t="shared" si="91"/>
        <v>0</v>
      </c>
      <c r="L203" s="156">
        <f t="shared" si="91"/>
        <v>0</v>
      </c>
      <c r="M203" s="156">
        <f t="shared" si="91"/>
        <v>0</v>
      </c>
      <c r="N203" s="156">
        <f t="shared" si="91"/>
        <v>0</v>
      </c>
      <c r="O203" s="156">
        <f t="shared" si="91"/>
        <v>0</v>
      </c>
      <c r="P203" s="156">
        <f t="shared" si="91"/>
        <v>0</v>
      </c>
      <c r="Q203" s="156">
        <f t="shared" si="91"/>
        <v>0</v>
      </c>
      <c r="R203" s="156">
        <f t="shared" si="91"/>
        <v>0</v>
      </c>
      <c r="S203" s="156">
        <f t="shared" si="91"/>
        <v>0</v>
      </c>
      <c r="U203" s="156">
        <f t="shared" si="88"/>
        <v>0</v>
      </c>
      <c r="V203" s="156">
        <f t="shared" si="89"/>
        <v>0</v>
      </c>
      <c r="W203" s="156"/>
      <c r="X203" s="156"/>
    </row>
    <row r="204" spans="1:27" hidden="1" outlineLevel="1" x14ac:dyDescent="0.35">
      <c r="A204" s="149"/>
      <c r="B204" s="149"/>
      <c r="C204" s="150"/>
      <c r="D204" s="154"/>
      <c r="E204" s="152" t="str">
        <f>InpC!$E$28</f>
        <v>Northumbrian Water</v>
      </c>
      <c r="F204" s="152" t="str">
        <f>InpC!$F$28</f>
        <v>NES</v>
      </c>
      <c r="G204" s="22" t="s">
        <v>34</v>
      </c>
      <c r="H204" s="152"/>
      <c r="I204" s="153"/>
      <c r="J204" s="156">
        <f t="shared" ref="J204:S204" si="92">J48+J126</f>
        <v>0</v>
      </c>
      <c r="K204" s="156">
        <f t="shared" si="92"/>
        <v>0</v>
      </c>
      <c r="L204" s="156">
        <f t="shared" si="92"/>
        <v>0</v>
      </c>
      <c r="M204" s="156">
        <f t="shared" si="92"/>
        <v>0</v>
      </c>
      <c r="N204" s="156">
        <f t="shared" si="92"/>
        <v>0</v>
      </c>
      <c r="O204" s="156">
        <f t="shared" si="92"/>
        <v>0</v>
      </c>
      <c r="P204" s="156">
        <f t="shared" si="92"/>
        <v>0</v>
      </c>
      <c r="Q204" s="156">
        <f t="shared" si="92"/>
        <v>0</v>
      </c>
      <c r="R204" s="156">
        <f t="shared" si="92"/>
        <v>0</v>
      </c>
      <c r="S204" s="156">
        <f t="shared" si="92"/>
        <v>0</v>
      </c>
      <c r="U204" s="156">
        <f t="shared" si="88"/>
        <v>0</v>
      </c>
      <c r="V204" s="156">
        <f t="shared" si="89"/>
        <v>0</v>
      </c>
      <c r="W204" s="156"/>
      <c r="X204" s="156"/>
    </row>
    <row r="205" spans="1:27" hidden="1" outlineLevel="1" x14ac:dyDescent="0.35">
      <c r="A205" s="149"/>
      <c r="B205" s="149"/>
      <c r="C205" s="150"/>
      <c r="D205" s="154"/>
      <c r="E205" s="152" t="str">
        <f>InpC!$E$29</f>
        <v>Severn Trent Water</v>
      </c>
      <c r="F205" s="152" t="str">
        <f>InpC!$F$29</f>
        <v>SVE</v>
      </c>
      <c r="G205" s="22" t="s">
        <v>34</v>
      </c>
      <c r="H205" s="152"/>
      <c r="I205" s="153"/>
      <c r="J205" s="156">
        <f t="shared" ref="J205:S205" si="93">J49+J127</f>
        <v>0</v>
      </c>
      <c r="K205" s="156">
        <f t="shared" si="93"/>
        <v>0</v>
      </c>
      <c r="L205" s="156">
        <f t="shared" si="93"/>
        <v>0</v>
      </c>
      <c r="M205" s="156">
        <f t="shared" si="93"/>
        <v>0</v>
      </c>
      <c r="N205" s="156">
        <f t="shared" si="93"/>
        <v>0</v>
      </c>
      <c r="O205" s="156">
        <f t="shared" si="93"/>
        <v>0</v>
      </c>
      <c r="P205" s="156">
        <f t="shared" si="93"/>
        <v>0</v>
      </c>
      <c r="Q205" s="156">
        <f t="shared" si="93"/>
        <v>0</v>
      </c>
      <c r="R205" s="156">
        <f t="shared" si="93"/>
        <v>0</v>
      </c>
      <c r="S205" s="156">
        <f t="shared" si="93"/>
        <v>0</v>
      </c>
      <c r="U205" s="156">
        <f t="shared" si="88"/>
        <v>0</v>
      </c>
      <c r="V205" s="156">
        <f t="shared" si="89"/>
        <v>0</v>
      </c>
      <c r="W205" s="156"/>
      <c r="X205" s="156"/>
    </row>
    <row r="206" spans="1:27" hidden="1" outlineLevel="1" x14ac:dyDescent="0.35">
      <c r="A206" s="149"/>
      <c r="B206" s="149"/>
      <c r="C206" s="150"/>
      <c r="D206" s="154"/>
      <c r="E206" s="152" t="str">
        <f>InpC!$E$30</f>
        <v>Southern Water</v>
      </c>
      <c r="F206" s="152" t="str">
        <f>InpC!$F$30</f>
        <v>SRN</v>
      </c>
      <c r="G206" s="22" t="s">
        <v>34</v>
      </c>
      <c r="H206" s="152"/>
      <c r="I206" s="153"/>
      <c r="J206" s="156">
        <f t="shared" ref="J206:S206" si="94">J50+J128</f>
        <v>0</v>
      </c>
      <c r="K206" s="156">
        <f t="shared" si="94"/>
        <v>0</v>
      </c>
      <c r="L206" s="156">
        <f t="shared" si="94"/>
        <v>0</v>
      </c>
      <c r="M206" s="156">
        <f t="shared" si="94"/>
        <v>0</v>
      </c>
      <c r="N206" s="156">
        <f t="shared" si="94"/>
        <v>0</v>
      </c>
      <c r="O206" s="156">
        <f t="shared" si="94"/>
        <v>0</v>
      </c>
      <c r="P206" s="156">
        <f t="shared" si="94"/>
        <v>0</v>
      </c>
      <c r="Q206" s="156">
        <f t="shared" si="94"/>
        <v>0</v>
      </c>
      <c r="R206" s="156">
        <f t="shared" si="94"/>
        <v>0</v>
      </c>
      <c r="S206" s="156">
        <f t="shared" si="94"/>
        <v>0</v>
      </c>
      <c r="U206" s="156">
        <f t="shared" si="88"/>
        <v>0</v>
      </c>
      <c r="V206" s="156">
        <f t="shared" si="89"/>
        <v>0</v>
      </c>
      <c r="W206" s="156"/>
      <c r="X206" s="156"/>
    </row>
    <row r="207" spans="1:27" hidden="1" outlineLevel="1" x14ac:dyDescent="0.35">
      <c r="A207" s="149"/>
      <c r="B207" s="149"/>
      <c r="C207" s="150"/>
      <c r="D207" s="154"/>
      <c r="E207" s="152" t="str">
        <f>InpC!$E$31</f>
        <v>Thames Water</v>
      </c>
      <c r="F207" s="152" t="str">
        <f>InpC!$F$31</f>
        <v>TMS</v>
      </c>
      <c r="G207" s="22" t="s">
        <v>34</v>
      </c>
      <c r="H207" s="152"/>
      <c r="I207" s="153"/>
      <c r="J207" s="156">
        <f t="shared" ref="J207:S207" si="95">J51+J129</f>
        <v>0</v>
      </c>
      <c r="K207" s="156">
        <f t="shared" si="95"/>
        <v>0</v>
      </c>
      <c r="L207" s="156">
        <f t="shared" si="95"/>
        <v>0</v>
      </c>
      <c r="M207" s="156">
        <f t="shared" si="95"/>
        <v>0</v>
      </c>
      <c r="N207" s="156">
        <f t="shared" si="95"/>
        <v>0</v>
      </c>
      <c r="O207" s="156">
        <f t="shared" si="95"/>
        <v>0</v>
      </c>
      <c r="P207" s="156">
        <f t="shared" si="95"/>
        <v>0</v>
      </c>
      <c r="Q207" s="156">
        <f t="shared" si="95"/>
        <v>0</v>
      </c>
      <c r="R207" s="156">
        <f t="shared" si="95"/>
        <v>0</v>
      </c>
      <c r="S207" s="156">
        <f t="shared" si="95"/>
        <v>0</v>
      </c>
      <c r="U207" s="156">
        <f t="shared" si="88"/>
        <v>0</v>
      </c>
      <c r="V207" s="156">
        <f t="shared" si="89"/>
        <v>0</v>
      </c>
      <c r="W207" s="156"/>
      <c r="X207" s="156"/>
    </row>
    <row r="208" spans="1:27" hidden="1" outlineLevel="1" x14ac:dyDescent="0.35">
      <c r="A208" s="149"/>
      <c r="B208" s="149"/>
      <c r="C208" s="150"/>
      <c r="D208" s="154"/>
      <c r="E208" s="152" t="str">
        <f>InpC!$E$32</f>
        <v>United Utilities</v>
      </c>
      <c r="F208" s="152" t="str">
        <f>InpC!$F$32</f>
        <v>NWT</v>
      </c>
      <c r="G208" s="22" t="s">
        <v>34</v>
      </c>
      <c r="H208" s="152"/>
      <c r="I208" s="153"/>
      <c r="J208" s="156">
        <f t="shared" ref="J208:S208" si="96">J52+J130</f>
        <v>0</v>
      </c>
      <c r="K208" s="156">
        <f t="shared" si="96"/>
        <v>0</v>
      </c>
      <c r="L208" s="156">
        <f t="shared" si="96"/>
        <v>0</v>
      </c>
      <c r="M208" s="156">
        <f t="shared" si="96"/>
        <v>0</v>
      </c>
      <c r="N208" s="156">
        <f t="shared" si="96"/>
        <v>0</v>
      </c>
      <c r="O208" s="156">
        <f t="shared" si="96"/>
        <v>0</v>
      </c>
      <c r="P208" s="156">
        <f t="shared" si="96"/>
        <v>0</v>
      </c>
      <c r="Q208" s="156">
        <f t="shared" si="96"/>
        <v>0</v>
      </c>
      <c r="R208" s="156">
        <f t="shared" si="96"/>
        <v>0</v>
      </c>
      <c r="S208" s="156">
        <f t="shared" si="96"/>
        <v>0</v>
      </c>
      <c r="U208" s="156">
        <f t="shared" si="88"/>
        <v>0</v>
      </c>
      <c r="V208" s="156">
        <f t="shared" si="89"/>
        <v>0</v>
      </c>
      <c r="W208" s="156"/>
      <c r="X208" s="156"/>
    </row>
    <row r="209" spans="1:27" hidden="1" outlineLevel="1" x14ac:dyDescent="0.35">
      <c r="A209" s="149"/>
      <c r="B209" s="149"/>
      <c r="C209" s="150"/>
      <c r="D209" s="154"/>
      <c r="E209" s="152" t="str">
        <f>InpC!$E$33</f>
        <v>Wessex Water</v>
      </c>
      <c r="F209" s="152" t="str">
        <f>InpC!$F$33</f>
        <v>WSX</v>
      </c>
      <c r="G209" s="22" t="s">
        <v>34</v>
      </c>
      <c r="H209" s="152"/>
      <c r="I209" s="153"/>
      <c r="J209" s="156">
        <f t="shared" ref="J209:S209" si="97">J53+J131</f>
        <v>0</v>
      </c>
      <c r="K209" s="156">
        <f t="shared" si="97"/>
        <v>0</v>
      </c>
      <c r="L209" s="156">
        <f t="shared" si="97"/>
        <v>0</v>
      </c>
      <c r="M209" s="156">
        <f t="shared" si="97"/>
        <v>0</v>
      </c>
      <c r="N209" s="156">
        <f t="shared" si="97"/>
        <v>0</v>
      </c>
      <c r="O209" s="156">
        <f t="shared" si="97"/>
        <v>0</v>
      </c>
      <c r="P209" s="156">
        <f t="shared" si="97"/>
        <v>0</v>
      </c>
      <c r="Q209" s="156">
        <f t="shared" si="97"/>
        <v>0</v>
      </c>
      <c r="R209" s="156">
        <f t="shared" si="97"/>
        <v>0</v>
      </c>
      <c r="S209" s="156">
        <f t="shared" si="97"/>
        <v>0</v>
      </c>
      <c r="U209" s="156">
        <f t="shared" si="88"/>
        <v>0</v>
      </c>
      <c r="V209" s="156">
        <f t="shared" si="89"/>
        <v>0</v>
      </c>
      <c r="W209" s="156"/>
      <c r="X209" s="156"/>
    </row>
    <row r="210" spans="1:27" hidden="1" outlineLevel="1" x14ac:dyDescent="0.35">
      <c r="A210" s="149"/>
      <c r="B210" s="149"/>
      <c r="C210" s="150"/>
      <c r="D210" s="154"/>
      <c r="E210" s="152" t="str">
        <f>InpC!$E$34</f>
        <v>Yorkshire Water</v>
      </c>
      <c r="F210" s="152" t="str">
        <f>InpC!$F$34</f>
        <v>YKY</v>
      </c>
      <c r="G210" s="22" t="s">
        <v>34</v>
      </c>
      <c r="H210" s="152"/>
      <c r="I210" s="153"/>
      <c r="J210" s="156">
        <f t="shared" ref="J210:S210" si="98">J54+J132</f>
        <v>0</v>
      </c>
      <c r="K210" s="156">
        <f t="shared" si="98"/>
        <v>0</v>
      </c>
      <c r="L210" s="156">
        <f t="shared" si="98"/>
        <v>0</v>
      </c>
      <c r="M210" s="156">
        <f t="shared" si="98"/>
        <v>0</v>
      </c>
      <c r="N210" s="156">
        <f t="shared" si="98"/>
        <v>0</v>
      </c>
      <c r="O210" s="156">
        <f t="shared" si="98"/>
        <v>0</v>
      </c>
      <c r="P210" s="156">
        <f t="shared" si="98"/>
        <v>0</v>
      </c>
      <c r="Q210" s="156">
        <f t="shared" si="98"/>
        <v>0</v>
      </c>
      <c r="R210" s="156">
        <f t="shared" si="98"/>
        <v>0</v>
      </c>
      <c r="S210" s="156">
        <f t="shared" si="98"/>
        <v>0</v>
      </c>
      <c r="U210" s="156">
        <f t="shared" si="88"/>
        <v>0</v>
      </c>
      <c r="V210" s="156">
        <f t="shared" si="89"/>
        <v>0</v>
      </c>
      <c r="W210" s="156"/>
      <c r="X210" s="156"/>
    </row>
    <row r="211" spans="1:27" hidden="1" outlineLevel="1" x14ac:dyDescent="0.35">
      <c r="A211" s="149"/>
      <c r="B211" s="149"/>
      <c r="C211" s="150"/>
      <c r="D211" s="154"/>
      <c r="E211" s="152" t="str">
        <f>InpC!$E$35</f>
        <v>Affinity Water</v>
      </c>
      <c r="F211" s="152" t="str">
        <f>InpC!$F$35</f>
        <v>AFW</v>
      </c>
      <c r="G211" s="22" t="s">
        <v>34</v>
      </c>
      <c r="H211" s="152"/>
      <c r="I211" s="153"/>
      <c r="J211" s="156">
        <f t="shared" ref="J211:S211" si="99">J55+J133</f>
        <v>0</v>
      </c>
      <c r="K211" s="156">
        <f t="shared" si="99"/>
        <v>0</v>
      </c>
      <c r="L211" s="156">
        <f t="shared" si="99"/>
        <v>0</v>
      </c>
      <c r="M211" s="156">
        <f t="shared" si="99"/>
        <v>0</v>
      </c>
      <c r="N211" s="156">
        <f t="shared" si="99"/>
        <v>0</v>
      </c>
      <c r="O211" s="156">
        <f t="shared" si="99"/>
        <v>0</v>
      </c>
      <c r="P211" s="156">
        <f t="shared" si="99"/>
        <v>0</v>
      </c>
      <c r="Q211" s="156">
        <f t="shared" si="99"/>
        <v>0</v>
      </c>
      <c r="R211" s="156">
        <f t="shared" si="99"/>
        <v>0</v>
      </c>
      <c r="S211" s="156">
        <f t="shared" si="99"/>
        <v>0</v>
      </c>
      <c r="U211" s="156">
        <f t="shared" si="88"/>
        <v>0</v>
      </c>
      <c r="V211" s="156">
        <f t="shared" si="89"/>
        <v>0</v>
      </c>
      <c r="W211" s="156"/>
      <c r="X211" s="156"/>
    </row>
    <row r="212" spans="1:27" hidden="1" outlineLevel="1" x14ac:dyDescent="0.35">
      <c r="A212" s="149"/>
      <c r="B212" s="149"/>
      <c r="C212" s="150"/>
      <c r="D212" s="154"/>
      <c r="E212" s="152" t="str">
        <f>InpC!$E$36</f>
        <v>Portsmouth Water</v>
      </c>
      <c r="F212" s="152" t="str">
        <f>InpC!$F$36</f>
        <v>PRT</v>
      </c>
      <c r="G212" s="22" t="s">
        <v>34</v>
      </c>
      <c r="H212" s="152"/>
      <c r="I212" s="153"/>
      <c r="J212" s="156">
        <f t="shared" ref="J212:S212" si="100">J56+J134</f>
        <v>0</v>
      </c>
      <c r="K212" s="156">
        <f t="shared" si="100"/>
        <v>0</v>
      </c>
      <c r="L212" s="156">
        <f t="shared" si="100"/>
        <v>0</v>
      </c>
      <c r="M212" s="156">
        <f t="shared" si="100"/>
        <v>0</v>
      </c>
      <c r="N212" s="156">
        <f t="shared" si="100"/>
        <v>0</v>
      </c>
      <c r="O212" s="156">
        <f t="shared" si="100"/>
        <v>0</v>
      </c>
      <c r="P212" s="156">
        <f t="shared" si="100"/>
        <v>0</v>
      </c>
      <c r="Q212" s="156">
        <f t="shared" si="100"/>
        <v>0</v>
      </c>
      <c r="R212" s="156">
        <f t="shared" si="100"/>
        <v>0</v>
      </c>
      <c r="S212" s="156">
        <f t="shared" si="100"/>
        <v>0</v>
      </c>
      <c r="U212" s="156">
        <f t="shared" si="88"/>
        <v>0</v>
      </c>
      <c r="V212" s="156">
        <f t="shared" si="89"/>
        <v>0</v>
      </c>
      <c r="W212" s="156"/>
      <c r="X212" s="156"/>
    </row>
    <row r="213" spans="1:27" hidden="1" outlineLevel="1" x14ac:dyDescent="0.35">
      <c r="A213" s="149"/>
      <c r="B213" s="149"/>
      <c r="C213" s="150"/>
      <c r="D213" s="154"/>
      <c r="E213" s="152" t="str">
        <f>InpC!$E$37</f>
        <v>South East Water</v>
      </c>
      <c r="F213" s="152" t="str">
        <f>InpC!$F$37</f>
        <v>SEW</v>
      </c>
      <c r="G213" s="22" t="s">
        <v>34</v>
      </c>
      <c r="H213" s="152"/>
      <c r="I213" s="153"/>
      <c r="J213" s="156">
        <f t="shared" ref="J213:S213" si="101">J57+J135</f>
        <v>0</v>
      </c>
      <c r="K213" s="156">
        <f t="shared" si="101"/>
        <v>0</v>
      </c>
      <c r="L213" s="156">
        <f t="shared" si="101"/>
        <v>0</v>
      </c>
      <c r="M213" s="156">
        <f t="shared" si="101"/>
        <v>0</v>
      </c>
      <c r="N213" s="156">
        <f t="shared" si="101"/>
        <v>0</v>
      </c>
      <c r="O213" s="156">
        <f t="shared" si="101"/>
        <v>0</v>
      </c>
      <c r="P213" s="156">
        <f t="shared" si="101"/>
        <v>0</v>
      </c>
      <c r="Q213" s="156">
        <f t="shared" si="101"/>
        <v>0</v>
      </c>
      <c r="R213" s="156">
        <f t="shared" si="101"/>
        <v>0</v>
      </c>
      <c r="S213" s="156">
        <f t="shared" si="101"/>
        <v>0</v>
      </c>
      <c r="U213" s="156">
        <f t="shared" si="88"/>
        <v>0</v>
      </c>
      <c r="V213" s="156">
        <f t="shared" si="89"/>
        <v>0</v>
      </c>
      <c r="W213" s="156"/>
      <c r="X213" s="156"/>
    </row>
    <row r="214" spans="1:27" hidden="1" outlineLevel="1" x14ac:dyDescent="0.35">
      <c r="A214" s="149"/>
      <c r="B214" s="149"/>
      <c r="C214" s="150"/>
      <c r="D214" s="154"/>
      <c r="E214" s="152" t="str">
        <f>InpC!$E$38</f>
        <v>South Staffs Water</v>
      </c>
      <c r="F214" s="152" t="str">
        <f>InpC!$F$38</f>
        <v>SSC</v>
      </c>
      <c r="G214" s="22" t="s">
        <v>34</v>
      </c>
      <c r="H214" s="152"/>
      <c r="I214" s="153"/>
      <c r="J214" s="156">
        <f t="shared" ref="J214:S214" si="102">J58+J136</f>
        <v>0</v>
      </c>
      <c r="K214" s="156">
        <f t="shared" si="102"/>
        <v>0</v>
      </c>
      <c r="L214" s="156">
        <f t="shared" si="102"/>
        <v>0</v>
      </c>
      <c r="M214" s="156">
        <f t="shared" si="102"/>
        <v>0</v>
      </c>
      <c r="N214" s="156">
        <f t="shared" si="102"/>
        <v>0</v>
      </c>
      <c r="O214" s="156">
        <f t="shared" si="102"/>
        <v>0</v>
      </c>
      <c r="P214" s="156">
        <f t="shared" si="102"/>
        <v>0</v>
      </c>
      <c r="Q214" s="156">
        <f t="shared" si="102"/>
        <v>0</v>
      </c>
      <c r="R214" s="156">
        <f t="shared" si="102"/>
        <v>0</v>
      </c>
      <c r="S214" s="156">
        <f t="shared" si="102"/>
        <v>0</v>
      </c>
      <c r="U214" s="156">
        <f t="shared" si="88"/>
        <v>0</v>
      </c>
      <c r="V214" s="156">
        <f t="shared" si="89"/>
        <v>0</v>
      </c>
      <c r="W214" s="156"/>
      <c r="X214" s="156"/>
    </row>
    <row r="215" spans="1:27" hidden="1" outlineLevel="1" x14ac:dyDescent="0.35">
      <c r="A215" s="149"/>
      <c r="B215" s="149"/>
      <c r="C215" s="150"/>
      <c r="D215" s="154"/>
      <c r="E215" s="152" t="str">
        <f>InpC!$E$39</f>
        <v>SES Water</v>
      </c>
      <c r="F215" s="152" t="str">
        <f>InpC!$F$39</f>
        <v>SES</v>
      </c>
      <c r="G215" s="22" t="s">
        <v>34</v>
      </c>
      <c r="H215" s="152"/>
      <c r="I215" s="153"/>
      <c r="J215" s="156">
        <f t="shared" ref="J215:S215" si="103">J59+J137</f>
        <v>0</v>
      </c>
      <c r="K215" s="156">
        <f t="shared" si="103"/>
        <v>0</v>
      </c>
      <c r="L215" s="156">
        <f t="shared" si="103"/>
        <v>0</v>
      </c>
      <c r="M215" s="156">
        <f t="shared" si="103"/>
        <v>0</v>
      </c>
      <c r="N215" s="156">
        <f t="shared" si="103"/>
        <v>0</v>
      </c>
      <c r="O215" s="156">
        <f t="shared" si="103"/>
        <v>0</v>
      </c>
      <c r="P215" s="156">
        <f t="shared" si="103"/>
        <v>0</v>
      </c>
      <c r="Q215" s="156">
        <f t="shared" si="103"/>
        <v>0</v>
      </c>
      <c r="R215" s="156">
        <f t="shared" si="103"/>
        <v>0</v>
      </c>
      <c r="S215" s="156">
        <f t="shared" si="103"/>
        <v>0</v>
      </c>
      <c r="U215" s="156">
        <f t="shared" si="88"/>
        <v>0</v>
      </c>
      <c r="V215" s="156">
        <f t="shared" si="89"/>
        <v>0</v>
      </c>
      <c r="W215" s="156"/>
      <c r="X215" s="156"/>
    </row>
    <row r="216" spans="1:27" hidden="1" outlineLevel="1" x14ac:dyDescent="0.35">
      <c r="A216" s="149"/>
      <c r="B216" s="149"/>
      <c r="C216" s="150"/>
      <c r="D216" s="154"/>
      <c r="E216" s="152" t="str">
        <f>InpC!$E$40</f>
        <v>South West Water</v>
      </c>
      <c r="F216" s="152" t="str">
        <f>InpC!$F$40</f>
        <v>SWB</v>
      </c>
      <c r="G216" s="22" t="s">
        <v>34</v>
      </c>
      <c r="H216" s="152"/>
      <c r="I216" s="153"/>
      <c r="J216" s="156">
        <f t="shared" ref="J216:S216" si="104">J60+J138</f>
        <v>0</v>
      </c>
      <c r="K216" s="156">
        <f t="shared" si="104"/>
        <v>0</v>
      </c>
      <c r="L216" s="156">
        <f t="shared" si="104"/>
        <v>0</v>
      </c>
      <c r="M216" s="156">
        <f t="shared" si="104"/>
        <v>0</v>
      </c>
      <c r="N216" s="156">
        <f t="shared" si="104"/>
        <v>0</v>
      </c>
      <c r="O216" s="156">
        <f t="shared" si="104"/>
        <v>0</v>
      </c>
      <c r="P216" s="156">
        <f t="shared" si="104"/>
        <v>0</v>
      </c>
      <c r="Q216" s="156">
        <f t="shared" si="104"/>
        <v>0</v>
      </c>
      <c r="R216" s="156">
        <f t="shared" si="104"/>
        <v>0</v>
      </c>
      <c r="S216" s="156">
        <f t="shared" si="104"/>
        <v>0</v>
      </c>
      <c r="U216" s="156">
        <f t="shared" si="88"/>
        <v>0</v>
      </c>
      <c r="V216" s="156">
        <f t="shared" si="89"/>
        <v>0</v>
      </c>
      <c r="W216" s="156"/>
      <c r="X216" s="156"/>
    </row>
    <row r="217" spans="1:27" hidden="1" outlineLevel="1" x14ac:dyDescent="0.35">
      <c r="A217" s="149"/>
      <c r="B217" s="149"/>
      <c r="C217" s="150"/>
      <c r="D217" s="154"/>
      <c r="E217" s="152" t="str">
        <f>InpC!$E$41</f>
        <v>Bristol Water</v>
      </c>
      <c r="F217" s="152" t="str">
        <f>InpC!$F$41</f>
        <v>BRL</v>
      </c>
      <c r="G217" s="22" t="s">
        <v>34</v>
      </c>
      <c r="H217" s="152"/>
      <c r="I217" s="153"/>
      <c r="J217" s="156">
        <f t="shared" ref="J217:S217" si="105">J61+J139</f>
        <v>0</v>
      </c>
      <c r="K217" s="156">
        <f t="shared" si="105"/>
        <v>0</v>
      </c>
      <c r="L217" s="156">
        <f t="shared" si="105"/>
        <v>0</v>
      </c>
      <c r="M217" s="156">
        <f t="shared" si="105"/>
        <v>0</v>
      </c>
      <c r="N217" s="156">
        <f t="shared" si="105"/>
        <v>0</v>
      </c>
      <c r="O217" s="156">
        <f t="shared" si="105"/>
        <v>0</v>
      </c>
      <c r="P217" s="156">
        <f t="shared" si="105"/>
        <v>0</v>
      </c>
      <c r="Q217" s="156">
        <f t="shared" si="105"/>
        <v>0</v>
      </c>
      <c r="R217" s="156">
        <f t="shared" si="105"/>
        <v>0</v>
      </c>
      <c r="S217" s="156">
        <f t="shared" si="105"/>
        <v>0</v>
      </c>
      <c r="U217" s="156">
        <f t="shared" si="88"/>
        <v>0</v>
      </c>
      <c r="V217" s="156">
        <f t="shared" si="89"/>
        <v>0</v>
      </c>
      <c r="W217" s="156"/>
      <c r="X217" s="156"/>
    </row>
    <row r="218" spans="1:27" hidden="1" outlineLevel="1" x14ac:dyDescent="0.35">
      <c r="A218" s="149"/>
      <c r="B218" s="149"/>
      <c r="C218" s="150"/>
      <c r="D218" s="154"/>
      <c r="E218" s="152" t="s">
        <v>147</v>
      </c>
      <c r="F218" s="152"/>
      <c r="G218" s="22" t="s">
        <v>34</v>
      </c>
      <c r="H218" s="152"/>
      <c r="I218" s="153"/>
      <c r="J218" s="157">
        <f>SUM(J201:J217)</f>
        <v>0</v>
      </c>
      <c r="K218" s="157">
        <f t="shared" ref="K218:S218" si="106">SUM(K201:K217)</f>
        <v>0</v>
      </c>
      <c r="L218" s="157">
        <f t="shared" si="106"/>
        <v>0</v>
      </c>
      <c r="M218" s="157">
        <f t="shared" si="106"/>
        <v>0</v>
      </c>
      <c r="N218" s="157">
        <f t="shared" si="106"/>
        <v>0</v>
      </c>
      <c r="O218" s="157">
        <f t="shared" si="106"/>
        <v>0</v>
      </c>
      <c r="P218" s="157">
        <f t="shared" si="106"/>
        <v>0</v>
      </c>
      <c r="Q218" s="157">
        <f t="shared" si="106"/>
        <v>0</v>
      </c>
      <c r="R218" s="157">
        <f t="shared" si="106"/>
        <v>0</v>
      </c>
      <c r="S218" s="157">
        <f t="shared" si="106"/>
        <v>0</v>
      </c>
      <c r="U218" s="157">
        <f t="shared" ref="U218:V218" si="107">SUM(U201:U217)</f>
        <v>0</v>
      </c>
      <c r="V218" s="157">
        <f t="shared" si="107"/>
        <v>0</v>
      </c>
      <c r="W218" s="156"/>
      <c r="X218" s="156"/>
    </row>
    <row r="219" spans="1:27" x14ac:dyDescent="0.35">
      <c r="A219" s="149"/>
      <c r="B219" s="149"/>
      <c r="C219" s="150"/>
      <c r="D219" s="154"/>
      <c r="E219" s="152"/>
      <c r="F219" s="152"/>
      <c r="H219" s="152"/>
      <c r="I219" s="153"/>
      <c r="J219" s="152"/>
      <c r="K219" s="152"/>
      <c r="L219" s="152"/>
      <c r="M219" s="152"/>
      <c r="N219" s="152"/>
      <c r="O219" s="152"/>
      <c r="P219" s="152"/>
      <c r="Q219" s="152"/>
      <c r="R219" s="152"/>
      <c r="S219" s="152"/>
      <c r="T219" s="152"/>
      <c r="U219" s="152"/>
      <c r="V219" s="152"/>
      <c r="W219" s="152"/>
      <c r="X219" s="152"/>
      <c r="Z219" s="152"/>
      <c r="AA219" s="152"/>
    </row>
    <row r="220" spans="1:27" x14ac:dyDescent="0.35">
      <c r="A220" s="149"/>
      <c r="B220" s="149"/>
      <c r="C220" s="150"/>
      <c r="D220" s="151" t="str">
        <f>D168</f>
        <v>Lane Rental Schemes</v>
      </c>
      <c r="E220" s="152"/>
      <c r="F220" s="152"/>
      <c r="G220" s="22" t="s">
        <v>125</v>
      </c>
      <c r="H220" s="152"/>
      <c r="I220" s="153"/>
      <c r="J220" s="74">
        <f>J$2</f>
        <v>44286</v>
      </c>
      <c r="K220" s="74">
        <f t="shared" ref="K220:V220" si="108">K$2</f>
        <v>44651</v>
      </c>
      <c r="L220" s="74">
        <f t="shared" si="108"/>
        <v>45016</v>
      </c>
      <c r="M220" s="74">
        <f t="shared" si="108"/>
        <v>45382</v>
      </c>
      <c r="N220" s="74">
        <f t="shared" si="108"/>
        <v>45747</v>
      </c>
      <c r="O220" s="74">
        <f t="shared" si="108"/>
        <v>46112</v>
      </c>
      <c r="P220" s="74">
        <f t="shared" si="108"/>
        <v>46477</v>
      </c>
      <c r="Q220" s="74">
        <f t="shared" si="108"/>
        <v>46843</v>
      </c>
      <c r="R220" s="74">
        <f t="shared" si="108"/>
        <v>47208</v>
      </c>
      <c r="S220" s="74">
        <f t="shared" si="108"/>
        <v>47573</v>
      </c>
      <c r="T220" s="74"/>
      <c r="U220" s="74" t="str">
        <f t="shared" si="108"/>
        <v>PR24 Average</v>
      </c>
      <c r="V220" s="74" t="str">
        <f t="shared" si="108"/>
        <v>PR24 Total</v>
      </c>
      <c r="W220" s="74"/>
      <c r="X220" s="74"/>
      <c r="Z220" s="74"/>
      <c r="AA220" s="74"/>
    </row>
    <row r="221" spans="1:27" collapsed="1" x14ac:dyDescent="0.35">
      <c r="A221" s="149"/>
      <c r="B221" s="149"/>
      <c r="C221" s="150"/>
      <c r="D221" s="154"/>
      <c r="E221" s="151" t="s">
        <v>180</v>
      </c>
      <c r="F221" s="152"/>
      <c r="H221" s="152"/>
      <c r="I221" s="153"/>
      <c r="J221" s="152"/>
      <c r="K221" s="152"/>
      <c r="L221" s="152"/>
      <c r="M221" s="152"/>
      <c r="N221" s="152"/>
      <c r="O221" s="152"/>
      <c r="P221" s="152"/>
      <c r="Q221" s="152"/>
      <c r="R221" s="152"/>
      <c r="S221" s="152"/>
      <c r="T221" s="152"/>
      <c r="U221" s="152"/>
      <c r="V221" s="152"/>
      <c r="W221" s="152"/>
      <c r="X221" s="152"/>
      <c r="Z221" s="152"/>
      <c r="AA221" s="152"/>
    </row>
    <row r="222" spans="1:27" hidden="1" outlineLevel="1" x14ac:dyDescent="0.35">
      <c r="A222" s="149"/>
      <c r="B222" s="149"/>
      <c r="C222" s="150"/>
      <c r="D222" s="154"/>
      <c r="E222" s="152"/>
      <c r="F222" s="152"/>
      <c r="H222" s="152"/>
      <c r="I222" s="153"/>
      <c r="J222" s="152"/>
      <c r="K222" s="152"/>
      <c r="L222" s="152"/>
      <c r="M222" s="152"/>
      <c r="N222" s="152"/>
      <c r="O222" s="152"/>
      <c r="P222" s="152"/>
      <c r="Q222" s="152"/>
      <c r="R222" s="152"/>
      <c r="S222" s="152"/>
      <c r="T222" s="152"/>
      <c r="U222" s="152"/>
      <c r="V222" s="152"/>
      <c r="W222" s="152"/>
      <c r="X222" s="152"/>
      <c r="Z222" s="152"/>
      <c r="AA222" s="152"/>
    </row>
    <row r="223" spans="1:27" hidden="1" outlineLevel="1" x14ac:dyDescent="0.35">
      <c r="A223" s="149"/>
      <c r="B223" s="149"/>
      <c r="C223" s="150"/>
      <c r="D223" s="151"/>
      <c r="E223" s="152"/>
      <c r="F223" s="152"/>
      <c r="G223" s="22" t="s">
        <v>126</v>
      </c>
      <c r="H223" s="152"/>
      <c r="I223" s="153"/>
      <c r="J223" s="74"/>
      <c r="K223" s="74"/>
      <c r="L223" s="74"/>
      <c r="M223" s="74"/>
      <c r="N223" s="74"/>
      <c r="O223" s="74"/>
      <c r="P223" s="74"/>
      <c r="Q223" s="74"/>
      <c r="R223" s="74"/>
      <c r="S223" s="74"/>
      <c r="T223" s="74"/>
      <c r="U223" s="74"/>
      <c r="V223" s="74"/>
      <c r="W223" s="74"/>
      <c r="X223" s="74"/>
      <c r="Z223" s="74"/>
      <c r="AA223" s="74"/>
    </row>
    <row r="224" spans="1:27" hidden="1" outlineLevel="1" x14ac:dyDescent="0.35">
      <c r="A224" s="149"/>
      <c r="B224" s="149"/>
      <c r="C224" s="150"/>
      <c r="D224" s="154"/>
      <c r="E224" s="155" t="s">
        <v>177</v>
      </c>
      <c r="F224" s="152"/>
      <c r="H224" s="152"/>
      <c r="I224" s="153"/>
      <c r="J224" s="153"/>
      <c r="K224" s="153"/>
      <c r="L224" s="153"/>
      <c r="M224" s="153"/>
      <c r="N224" s="153"/>
      <c r="O224" s="153"/>
      <c r="P224" s="153"/>
      <c r="Q224" s="153"/>
      <c r="R224" s="153"/>
      <c r="S224" s="153"/>
      <c r="T224" s="153"/>
      <c r="U224" s="153"/>
      <c r="V224" s="153"/>
      <c r="W224" s="153"/>
      <c r="X224" s="153"/>
      <c r="Z224" s="153"/>
      <c r="AA224" s="153"/>
    </row>
    <row r="225" spans="1:27" hidden="1" outlineLevel="1" x14ac:dyDescent="0.35">
      <c r="A225" s="149"/>
      <c r="B225" s="149"/>
      <c r="C225" s="150"/>
      <c r="D225" s="154"/>
      <c r="E225" s="129">
        <f>InpT!$F$8</f>
        <v>45016</v>
      </c>
      <c r="F225" s="152"/>
      <c r="G225" s="22" t="s">
        <v>178</v>
      </c>
      <c r="H225" s="152"/>
      <c r="I225" s="153"/>
      <c r="J225" s="153"/>
      <c r="K225" s="153"/>
      <c r="L225" s="153"/>
      <c r="M225" s="153"/>
      <c r="N225" s="153"/>
      <c r="O225" s="153"/>
      <c r="P225" s="153"/>
      <c r="Q225" s="153"/>
      <c r="R225" s="153"/>
      <c r="S225" s="153"/>
      <c r="T225" s="153"/>
      <c r="U225" s="153"/>
      <c r="V225" s="153"/>
      <c r="W225" s="153"/>
      <c r="X225" s="153"/>
      <c r="Z225" s="153"/>
      <c r="AA225" s="153"/>
    </row>
    <row r="226" spans="1:27" hidden="1" outlineLevel="1" x14ac:dyDescent="0.35">
      <c r="A226" s="149"/>
      <c r="B226" s="149"/>
      <c r="C226" s="150"/>
      <c r="D226" s="154"/>
      <c r="E226" s="129"/>
      <c r="F226" s="152"/>
      <c r="H226" s="152"/>
      <c r="I226" s="153"/>
      <c r="J226" s="153"/>
      <c r="K226" s="153"/>
      <c r="L226" s="153"/>
      <c r="M226" s="153"/>
      <c r="N226" s="153"/>
      <c r="O226" s="153"/>
      <c r="P226" s="153"/>
      <c r="Q226" s="153"/>
      <c r="R226" s="153"/>
      <c r="S226" s="153"/>
      <c r="T226" s="153"/>
      <c r="U226" s="153"/>
      <c r="V226" s="153"/>
      <c r="W226" s="153"/>
      <c r="X226" s="153"/>
      <c r="Z226" s="153"/>
      <c r="AA226" s="153"/>
    </row>
    <row r="227" spans="1:27" hidden="1" outlineLevel="1" x14ac:dyDescent="0.35">
      <c r="A227" s="149"/>
      <c r="B227" s="149"/>
      <c r="C227" s="150"/>
      <c r="D227" s="154"/>
      <c r="E227" s="152" t="str">
        <f>InpC!$E$25</f>
        <v>Anglian Water</v>
      </c>
      <c r="F227" s="152" t="str">
        <f>InpC!$F$25</f>
        <v>ANH</v>
      </c>
      <c r="G227" s="22" t="s">
        <v>34</v>
      </c>
      <c r="H227" s="152"/>
      <c r="I227" s="153"/>
      <c r="J227" s="156">
        <f t="shared" ref="J227:S227" si="109">J71+J149</f>
        <v>0</v>
      </c>
      <c r="K227" s="156">
        <f t="shared" si="109"/>
        <v>0</v>
      </c>
      <c r="L227" s="156">
        <f t="shared" si="109"/>
        <v>0</v>
      </c>
      <c r="M227" s="156">
        <f t="shared" si="109"/>
        <v>0</v>
      </c>
      <c r="N227" s="156">
        <f t="shared" si="109"/>
        <v>0</v>
      </c>
      <c r="O227" s="156">
        <f t="shared" si="109"/>
        <v>0</v>
      </c>
      <c r="P227" s="156">
        <f t="shared" si="109"/>
        <v>0</v>
      </c>
      <c r="Q227" s="156">
        <f t="shared" si="109"/>
        <v>0</v>
      </c>
      <c r="R227" s="156">
        <f t="shared" si="109"/>
        <v>0</v>
      </c>
      <c r="S227" s="156">
        <f t="shared" si="109"/>
        <v>0</v>
      </c>
      <c r="U227" s="156">
        <f t="shared" ref="U227:U243" si="110">IFERROR(AVERAGE(O227:S227),0)</f>
        <v>0</v>
      </c>
      <c r="V227" s="156">
        <f t="shared" ref="V227:V243" si="111">SUM(O227:S227)</f>
        <v>0</v>
      </c>
      <c r="W227" s="156"/>
      <c r="X227" s="156"/>
    </row>
    <row r="228" spans="1:27" hidden="1" outlineLevel="1" x14ac:dyDescent="0.35">
      <c r="A228" s="149"/>
      <c r="B228" s="149"/>
      <c r="C228" s="150"/>
      <c r="D228" s="154"/>
      <c r="E228" s="152" t="str">
        <f>InpC!$E$26</f>
        <v>Dŵr Cymru</v>
      </c>
      <c r="F228" s="152" t="str">
        <f>InpC!$F$26</f>
        <v>WSH</v>
      </c>
      <c r="G228" s="22" t="s">
        <v>34</v>
      </c>
      <c r="H228" s="152"/>
      <c r="I228" s="153"/>
      <c r="J228" s="156">
        <f t="shared" ref="J228:S228" si="112">J72+J150</f>
        <v>0</v>
      </c>
      <c r="K228" s="156">
        <f t="shared" si="112"/>
        <v>0</v>
      </c>
      <c r="L228" s="156">
        <f t="shared" si="112"/>
        <v>0</v>
      </c>
      <c r="M228" s="156">
        <f t="shared" si="112"/>
        <v>0</v>
      </c>
      <c r="N228" s="156">
        <f t="shared" si="112"/>
        <v>0</v>
      </c>
      <c r="O228" s="156">
        <f t="shared" si="112"/>
        <v>0</v>
      </c>
      <c r="P228" s="156">
        <f t="shared" si="112"/>
        <v>0</v>
      </c>
      <c r="Q228" s="156">
        <f t="shared" si="112"/>
        <v>0</v>
      </c>
      <c r="R228" s="156">
        <f t="shared" si="112"/>
        <v>0</v>
      </c>
      <c r="S228" s="156">
        <f t="shared" si="112"/>
        <v>0</v>
      </c>
      <c r="U228" s="156">
        <f t="shared" si="110"/>
        <v>0</v>
      </c>
      <c r="V228" s="156">
        <f t="shared" si="111"/>
        <v>0</v>
      </c>
      <c r="W228" s="156"/>
      <c r="X228" s="156"/>
    </row>
    <row r="229" spans="1:27" hidden="1" outlineLevel="1" x14ac:dyDescent="0.35">
      <c r="A229" s="149"/>
      <c r="B229" s="149"/>
      <c r="C229" s="150"/>
      <c r="D229" s="154"/>
      <c r="E229" s="152" t="str">
        <f>InpC!$E$27</f>
        <v>Hafren Dyfrdwy</v>
      </c>
      <c r="F229" s="152" t="str">
        <f>InpC!$F$27</f>
        <v>HDD</v>
      </c>
      <c r="G229" s="22" t="s">
        <v>34</v>
      </c>
      <c r="H229" s="152"/>
      <c r="I229" s="153"/>
      <c r="J229" s="156">
        <f t="shared" ref="J229:S229" si="113">J73+J151</f>
        <v>0</v>
      </c>
      <c r="K229" s="156">
        <f t="shared" si="113"/>
        <v>0</v>
      </c>
      <c r="L229" s="156">
        <f t="shared" si="113"/>
        <v>0</v>
      </c>
      <c r="M229" s="156">
        <f t="shared" si="113"/>
        <v>0</v>
      </c>
      <c r="N229" s="156">
        <f t="shared" si="113"/>
        <v>0</v>
      </c>
      <c r="O229" s="156">
        <f t="shared" si="113"/>
        <v>0</v>
      </c>
      <c r="P229" s="156">
        <f t="shared" si="113"/>
        <v>0</v>
      </c>
      <c r="Q229" s="156">
        <f t="shared" si="113"/>
        <v>0</v>
      </c>
      <c r="R229" s="156">
        <f t="shared" si="113"/>
        <v>0</v>
      </c>
      <c r="S229" s="156">
        <f t="shared" si="113"/>
        <v>0</v>
      </c>
      <c r="U229" s="156">
        <f t="shared" si="110"/>
        <v>0</v>
      </c>
      <c r="V229" s="156">
        <f t="shared" si="111"/>
        <v>0</v>
      </c>
      <c r="W229" s="156"/>
      <c r="X229" s="156"/>
    </row>
    <row r="230" spans="1:27" hidden="1" outlineLevel="1" x14ac:dyDescent="0.35">
      <c r="A230" s="149"/>
      <c r="B230" s="149"/>
      <c r="C230" s="150"/>
      <c r="D230" s="154"/>
      <c r="E230" s="152" t="str">
        <f>InpC!$E$28</f>
        <v>Northumbrian Water</v>
      </c>
      <c r="F230" s="152" t="str">
        <f>InpC!$F$28</f>
        <v>NES</v>
      </c>
      <c r="G230" s="22" t="s">
        <v>34</v>
      </c>
      <c r="H230" s="152"/>
      <c r="I230" s="153"/>
      <c r="J230" s="156">
        <f t="shared" ref="J230:S230" si="114">J74+J152</f>
        <v>0</v>
      </c>
      <c r="K230" s="156">
        <f t="shared" si="114"/>
        <v>0</v>
      </c>
      <c r="L230" s="156">
        <f t="shared" si="114"/>
        <v>0</v>
      </c>
      <c r="M230" s="156">
        <f t="shared" si="114"/>
        <v>0</v>
      </c>
      <c r="N230" s="156">
        <f t="shared" si="114"/>
        <v>0</v>
      </c>
      <c r="O230" s="156">
        <f t="shared" si="114"/>
        <v>0</v>
      </c>
      <c r="P230" s="156">
        <f t="shared" si="114"/>
        <v>0</v>
      </c>
      <c r="Q230" s="156">
        <f t="shared" si="114"/>
        <v>0</v>
      </c>
      <c r="R230" s="156">
        <f t="shared" si="114"/>
        <v>0</v>
      </c>
      <c r="S230" s="156">
        <f t="shared" si="114"/>
        <v>0</v>
      </c>
      <c r="U230" s="156">
        <f t="shared" si="110"/>
        <v>0</v>
      </c>
      <c r="V230" s="156">
        <f t="shared" si="111"/>
        <v>0</v>
      </c>
      <c r="W230" s="156"/>
      <c r="X230" s="156"/>
    </row>
    <row r="231" spans="1:27" hidden="1" outlineLevel="1" x14ac:dyDescent="0.35">
      <c r="A231" s="149"/>
      <c r="B231" s="149"/>
      <c r="C231" s="150"/>
      <c r="D231" s="154"/>
      <c r="E231" s="152" t="str">
        <f>InpC!$E$29</f>
        <v>Severn Trent Water</v>
      </c>
      <c r="F231" s="152" t="str">
        <f>InpC!$F$29</f>
        <v>SVE</v>
      </c>
      <c r="G231" s="22" t="s">
        <v>34</v>
      </c>
      <c r="H231" s="152"/>
      <c r="I231" s="153"/>
      <c r="J231" s="156">
        <f t="shared" ref="J231:S231" si="115">J75+J153</f>
        <v>0</v>
      </c>
      <c r="K231" s="156">
        <f t="shared" si="115"/>
        <v>0</v>
      </c>
      <c r="L231" s="156">
        <f t="shared" si="115"/>
        <v>0</v>
      </c>
      <c r="M231" s="156">
        <f t="shared" si="115"/>
        <v>0</v>
      </c>
      <c r="N231" s="156">
        <f t="shared" si="115"/>
        <v>0</v>
      </c>
      <c r="O231" s="156">
        <f t="shared" si="115"/>
        <v>0</v>
      </c>
      <c r="P231" s="156">
        <f t="shared" si="115"/>
        <v>0</v>
      </c>
      <c r="Q231" s="156">
        <f t="shared" si="115"/>
        <v>0</v>
      </c>
      <c r="R231" s="156">
        <f t="shared" si="115"/>
        <v>0</v>
      </c>
      <c r="S231" s="156">
        <f t="shared" si="115"/>
        <v>0</v>
      </c>
      <c r="U231" s="156">
        <f t="shared" si="110"/>
        <v>0</v>
      </c>
      <c r="V231" s="156">
        <f t="shared" si="111"/>
        <v>0</v>
      </c>
      <c r="W231" s="156"/>
      <c r="X231" s="156"/>
    </row>
    <row r="232" spans="1:27" hidden="1" outlineLevel="1" x14ac:dyDescent="0.35">
      <c r="A232" s="149"/>
      <c r="B232" s="149"/>
      <c r="C232" s="150"/>
      <c r="D232" s="154"/>
      <c r="E232" s="152" t="str">
        <f>InpC!$E$30</f>
        <v>Southern Water</v>
      </c>
      <c r="F232" s="152" t="str">
        <f>InpC!$F$30</f>
        <v>SRN</v>
      </c>
      <c r="G232" s="22" t="s">
        <v>34</v>
      </c>
      <c r="H232" s="152"/>
      <c r="I232" s="153"/>
      <c r="J232" s="156">
        <f t="shared" ref="J232:S232" si="116">J76+J154</f>
        <v>0.22391214953271027</v>
      </c>
      <c r="K232" s="156">
        <f t="shared" si="116"/>
        <v>0.19744383057090242</v>
      </c>
      <c r="L232" s="156">
        <f t="shared" si="116"/>
        <v>0.47399999999999998</v>
      </c>
      <c r="M232" s="156">
        <f t="shared" si="116"/>
        <v>1.1160000000000001</v>
      </c>
      <c r="N232" s="156">
        <f t="shared" si="116"/>
        <v>0.20100000000000001</v>
      </c>
      <c r="O232" s="156">
        <f t="shared" si="116"/>
        <v>1.0499999999999998</v>
      </c>
      <c r="P232" s="156">
        <f t="shared" si="116"/>
        <v>1.0499999999999998</v>
      </c>
      <c r="Q232" s="156">
        <f t="shared" si="116"/>
        <v>1.0499999999999998</v>
      </c>
      <c r="R232" s="156">
        <f t="shared" si="116"/>
        <v>1.0499999999999998</v>
      </c>
      <c r="S232" s="156">
        <f t="shared" si="116"/>
        <v>1.0499999999999998</v>
      </c>
      <c r="U232" s="156">
        <f t="shared" si="110"/>
        <v>1.0499999999999998</v>
      </c>
      <c r="V232" s="156">
        <f t="shared" si="111"/>
        <v>5.2499999999999991</v>
      </c>
      <c r="W232" s="156"/>
      <c r="X232" s="156"/>
    </row>
    <row r="233" spans="1:27" hidden="1" outlineLevel="1" x14ac:dyDescent="0.35">
      <c r="A233" s="149"/>
      <c r="B233" s="149"/>
      <c r="C233" s="150"/>
      <c r="D233" s="154"/>
      <c r="E233" s="152" t="str">
        <f>InpC!$E$31</f>
        <v>Thames Water</v>
      </c>
      <c r="F233" s="152" t="str">
        <f>InpC!$F$31</f>
        <v>TMS</v>
      </c>
      <c r="G233" s="22" t="s">
        <v>34</v>
      </c>
      <c r="H233" s="152"/>
      <c r="I233" s="153"/>
      <c r="J233" s="156">
        <f t="shared" ref="J233:S233" si="117">J77+J155</f>
        <v>1.0817308411214954</v>
      </c>
      <c r="K233" s="156">
        <f t="shared" si="117"/>
        <v>1.6470441988950282</v>
      </c>
      <c r="L233" s="156">
        <f t="shared" si="117"/>
        <v>3.0620000000000003</v>
      </c>
      <c r="M233" s="156">
        <f t="shared" si="117"/>
        <v>2.0559772296015169</v>
      </c>
      <c r="N233" s="156">
        <f t="shared" si="117"/>
        <v>1.377</v>
      </c>
      <c r="O233" s="156">
        <f t="shared" si="117"/>
        <v>1.413</v>
      </c>
      <c r="P233" s="156">
        <f t="shared" si="117"/>
        <v>1.413</v>
      </c>
      <c r="Q233" s="156">
        <f t="shared" si="117"/>
        <v>1.413</v>
      </c>
      <c r="R233" s="156">
        <f t="shared" si="117"/>
        <v>1.4059999999999999</v>
      </c>
      <c r="S233" s="156">
        <f t="shared" si="117"/>
        <v>1.4059999999999999</v>
      </c>
      <c r="U233" s="156">
        <f t="shared" si="110"/>
        <v>1.4101999999999999</v>
      </c>
      <c r="V233" s="156">
        <f t="shared" si="111"/>
        <v>7.0509999999999993</v>
      </c>
      <c r="W233" s="156"/>
      <c r="X233" s="156"/>
    </row>
    <row r="234" spans="1:27" hidden="1" outlineLevel="1" x14ac:dyDescent="0.35">
      <c r="A234" s="149"/>
      <c r="B234" s="149"/>
      <c r="C234" s="150"/>
      <c r="D234" s="154"/>
      <c r="E234" s="152" t="str">
        <f>InpC!$E$32</f>
        <v>United Utilities</v>
      </c>
      <c r="F234" s="152" t="str">
        <f>InpC!$F$32</f>
        <v>NWT</v>
      </c>
      <c r="G234" s="22" t="s">
        <v>34</v>
      </c>
      <c r="H234" s="152"/>
      <c r="I234" s="153"/>
      <c r="J234" s="156">
        <f t="shared" ref="J234:S234" si="118">J78+J156</f>
        <v>0</v>
      </c>
      <c r="K234" s="156">
        <f t="shared" si="118"/>
        <v>0</v>
      </c>
      <c r="L234" s="156">
        <f t="shared" si="118"/>
        <v>0</v>
      </c>
      <c r="M234" s="156">
        <f t="shared" si="118"/>
        <v>0</v>
      </c>
      <c r="N234" s="156">
        <f t="shared" si="118"/>
        <v>0</v>
      </c>
      <c r="O234" s="156">
        <f t="shared" si="118"/>
        <v>0.44792325852185971</v>
      </c>
      <c r="P234" s="156">
        <f t="shared" si="118"/>
        <v>0.45284128460608414</v>
      </c>
      <c r="Q234" s="156">
        <f t="shared" si="118"/>
        <v>0.45190832529360803</v>
      </c>
      <c r="R234" s="156">
        <f t="shared" si="118"/>
        <v>0.45629890697614056</v>
      </c>
      <c r="S234" s="156">
        <f t="shared" si="118"/>
        <v>0.45642365084591946</v>
      </c>
      <c r="U234" s="156">
        <f t="shared" si="110"/>
        <v>0.45307908524872237</v>
      </c>
      <c r="V234" s="156">
        <f t="shared" si="111"/>
        <v>2.2653954262436118</v>
      </c>
      <c r="W234" s="156"/>
      <c r="X234" s="156"/>
    </row>
    <row r="235" spans="1:27" hidden="1" outlineLevel="1" x14ac:dyDescent="0.35">
      <c r="A235" s="149"/>
      <c r="B235" s="149"/>
      <c r="C235" s="150"/>
      <c r="D235" s="154"/>
      <c r="E235" s="152" t="str">
        <f>InpC!$E$33</f>
        <v>Wessex Water</v>
      </c>
      <c r="F235" s="152" t="str">
        <f>InpC!$F$33</f>
        <v>WSX</v>
      </c>
      <c r="G235" s="22" t="s">
        <v>34</v>
      </c>
      <c r="H235" s="152"/>
      <c r="I235" s="153"/>
      <c r="J235" s="156">
        <f t="shared" ref="J235:S235" si="119">J79+J157</f>
        <v>0</v>
      </c>
      <c r="K235" s="156">
        <f t="shared" si="119"/>
        <v>0</v>
      </c>
      <c r="L235" s="156">
        <f t="shared" si="119"/>
        <v>0</v>
      </c>
      <c r="M235" s="156">
        <f t="shared" si="119"/>
        <v>0</v>
      </c>
      <c r="N235" s="156">
        <f t="shared" si="119"/>
        <v>0</v>
      </c>
      <c r="O235" s="156">
        <f t="shared" si="119"/>
        <v>0</v>
      </c>
      <c r="P235" s="156">
        <f t="shared" si="119"/>
        <v>0</v>
      </c>
      <c r="Q235" s="156">
        <f t="shared" si="119"/>
        <v>0</v>
      </c>
      <c r="R235" s="156">
        <f t="shared" si="119"/>
        <v>0</v>
      </c>
      <c r="S235" s="156">
        <f t="shared" si="119"/>
        <v>0</v>
      </c>
      <c r="U235" s="156">
        <f t="shared" si="110"/>
        <v>0</v>
      </c>
      <c r="V235" s="156">
        <f t="shared" si="111"/>
        <v>0</v>
      </c>
      <c r="W235" s="156"/>
      <c r="X235" s="156"/>
    </row>
    <row r="236" spans="1:27" hidden="1" outlineLevel="1" x14ac:dyDescent="0.35">
      <c r="A236" s="149"/>
      <c r="B236" s="149"/>
      <c r="C236" s="150"/>
      <c r="D236" s="154"/>
      <c r="E236" s="152" t="str">
        <f>InpC!$E$34</f>
        <v>Yorkshire Water</v>
      </c>
      <c r="F236" s="152" t="str">
        <f>InpC!$F$34</f>
        <v>YKY</v>
      </c>
      <c r="G236" s="22" t="s">
        <v>34</v>
      </c>
      <c r="H236" s="152"/>
      <c r="I236" s="153"/>
      <c r="J236" s="156">
        <f t="shared" ref="J236:S236" si="120">J80+J158</f>
        <v>0</v>
      </c>
      <c r="K236" s="156">
        <f t="shared" si="120"/>
        <v>0</v>
      </c>
      <c r="L236" s="156">
        <f t="shared" si="120"/>
        <v>0</v>
      </c>
      <c r="M236" s="156">
        <f t="shared" si="120"/>
        <v>0</v>
      </c>
      <c r="N236" s="156">
        <f t="shared" si="120"/>
        <v>0</v>
      </c>
      <c r="O236" s="156">
        <f t="shared" si="120"/>
        <v>1.0680000000000001</v>
      </c>
      <c r="P236" s="156">
        <f t="shared" si="120"/>
        <v>1.0680000000000001</v>
      </c>
      <c r="Q236" s="156">
        <f t="shared" si="120"/>
        <v>1.0680000000000001</v>
      </c>
      <c r="R236" s="156">
        <f t="shared" si="120"/>
        <v>1.0680000000000001</v>
      </c>
      <c r="S236" s="156">
        <f t="shared" si="120"/>
        <v>1.0680000000000001</v>
      </c>
      <c r="U236" s="156">
        <f t="shared" si="110"/>
        <v>1.0680000000000001</v>
      </c>
      <c r="V236" s="156">
        <f t="shared" si="111"/>
        <v>5.34</v>
      </c>
      <c r="W236" s="156"/>
      <c r="X236" s="156"/>
    </row>
    <row r="237" spans="1:27" hidden="1" outlineLevel="1" x14ac:dyDescent="0.35">
      <c r="A237" s="149"/>
      <c r="B237" s="149"/>
      <c r="C237" s="150"/>
      <c r="D237" s="154"/>
      <c r="E237" s="152" t="str">
        <f>InpC!$E$35</f>
        <v>Affinity Water</v>
      </c>
      <c r="F237" s="152" t="str">
        <f>InpC!$F$35</f>
        <v>AFW</v>
      </c>
      <c r="G237" s="22" t="s">
        <v>34</v>
      </c>
      <c r="H237" s="152"/>
      <c r="I237" s="153"/>
      <c r="J237" s="156">
        <f t="shared" ref="J237:S237" si="121">J81+J159</f>
        <v>0</v>
      </c>
      <c r="K237" s="156">
        <f t="shared" si="121"/>
        <v>3.0220994475138128E-2</v>
      </c>
      <c r="L237" s="156">
        <f t="shared" si="121"/>
        <v>1.2999999999999999E-2</v>
      </c>
      <c r="M237" s="156">
        <f t="shared" si="121"/>
        <v>7.0000000000000001E-3</v>
      </c>
      <c r="N237" s="156">
        <f t="shared" si="121"/>
        <v>1.4999999999999999E-2</v>
      </c>
      <c r="O237" s="156">
        <f t="shared" si="121"/>
        <v>1.4999999999999999E-2</v>
      </c>
      <c r="P237" s="156">
        <f t="shared" si="121"/>
        <v>1.4999999999999999E-2</v>
      </c>
      <c r="Q237" s="156">
        <f t="shared" si="121"/>
        <v>1.4999999999999999E-2</v>
      </c>
      <c r="R237" s="156">
        <f t="shared" si="121"/>
        <v>1.4999999999999999E-2</v>
      </c>
      <c r="S237" s="156">
        <f t="shared" si="121"/>
        <v>1.4999999999999999E-2</v>
      </c>
      <c r="U237" s="156">
        <f t="shared" si="110"/>
        <v>1.4999999999999999E-2</v>
      </c>
      <c r="V237" s="156">
        <f t="shared" si="111"/>
        <v>7.4999999999999997E-2</v>
      </c>
      <c r="W237" s="156"/>
      <c r="X237" s="156"/>
    </row>
    <row r="238" spans="1:27" hidden="1" outlineLevel="1" x14ac:dyDescent="0.35">
      <c r="A238" s="149"/>
      <c r="B238" s="149"/>
      <c r="C238" s="150"/>
      <c r="D238" s="154"/>
      <c r="E238" s="152" t="str">
        <f>InpC!$E$36</f>
        <v>Portsmouth Water</v>
      </c>
      <c r="F238" s="152" t="str">
        <f>InpC!$F$36</f>
        <v>PRT</v>
      </c>
      <c r="G238" s="22" t="s">
        <v>34</v>
      </c>
      <c r="H238" s="152"/>
      <c r="I238" s="153"/>
      <c r="J238" s="156">
        <f t="shared" ref="J238:S238" si="122">J82+J160</f>
        <v>0</v>
      </c>
      <c r="K238" s="156">
        <f t="shared" si="122"/>
        <v>0</v>
      </c>
      <c r="L238" s="156">
        <f t="shared" si="122"/>
        <v>0</v>
      </c>
      <c r="M238" s="156">
        <f t="shared" si="122"/>
        <v>0.15159137577002049</v>
      </c>
      <c r="N238" s="156">
        <f t="shared" si="122"/>
        <v>0.15</v>
      </c>
      <c r="O238" s="156">
        <f t="shared" si="122"/>
        <v>0.20200000000000001</v>
      </c>
      <c r="P238" s="156">
        <f t="shared" si="122"/>
        <v>0.20399999999999999</v>
      </c>
      <c r="Q238" s="156">
        <f t="shared" si="122"/>
        <v>0.20200000000000001</v>
      </c>
      <c r="R238" s="156">
        <f t="shared" si="122"/>
        <v>0.20200000000000001</v>
      </c>
      <c r="S238" s="156">
        <f t="shared" si="122"/>
        <v>0.20200000000000001</v>
      </c>
      <c r="U238" s="156">
        <f t="shared" si="110"/>
        <v>0.2024</v>
      </c>
      <c r="V238" s="156">
        <f t="shared" si="111"/>
        <v>1.012</v>
      </c>
      <c r="W238" s="156"/>
      <c r="X238" s="156"/>
    </row>
    <row r="239" spans="1:27" hidden="1" outlineLevel="1" x14ac:dyDescent="0.35">
      <c r="A239" s="149"/>
      <c r="B239" s="149"/>
      <c r="C239" s="150"/>
      <c r="D239" s="154"/>
      <c r="E239" s="152" t="str">
        <f>InpC!$E$37</f>
        <v>South East Water</v>
      </c>
      <c r="F239" s="152" t="str">
        <f>InpC!$F$37</f>
        <v>SEW</v>
      </c>
      <c r="G239" s="22" t="s">
        <v>34</v>
      </c>
      <c r="H239" s="152"/>
      <c r="I239" s="153"/>
      <c r="J239" s="156">
        <f t="shared" ref="J239:S239" si="123">J83+J161</f>
        <v>7.2592523364485975E-2</v>
      </c>
      <c r="K239" s="156">
        <f t="shared" si="123"/>
        <v>0.19341436464088402</v>
      </c>
      <c r="L239" s="156">
        <f t="shared" si="123"/>
        <v>0.109</v>
      </c>
      <c r="M239" s="156">
        <f t="shared" si="123"/>
        <v>0.3695040310471483</v>
      </c>
      <c r="N239" s="156">
        <f t="shared" si="123"/>
        <v>0.48036680478063809</v>
      </c>
      <c r="O239" s="156">
        <f t="shared" si="123"/>
        <v>0.48</v>
      </c>
      <c r="P239" s="156">
        <f t="shared" si="123"/>
        <v>0.48</v>
      </c>
      <c r="Q239" s="156">
        <f t="shared" si="123"/>
        <v>0.48</v>
      </c>
      <c r="R239" s="156">
        <f t="shared" si="123"/>
        <v>0.48</v>
      </c>
      <c r="S239" s="156">
        <f t="shared" si="123"/>
        <v>0.48</v>
      </c>
      <c r="U239" s="156">
        <f t="shared" si="110"/>
        <v>0.48</v>
      </c>
      <c r="V239" s="156">
        <f t="shared" si="111"/>
        <v>2.4</v>
      </c>
      <c r="W239" s="156"/>
      <c r="X239" s="156"/>
    </row>
    <row r="240" spans="1:27" hidden="1" outlineLevel="1" x14ac:dyDescent="0.35">
      <c r="A240" s="149"/>
      <c r="B240" s="149"/>
      <c r="C240" s="150"/>
      <c r="D240" s="154"/>
      <c r="E240" s="152" t="str">
        <f>InpC!$E$38</f>
        <v>South Staffs Water</v>
      </c>
      <c r="F240" s="152" t="str">
        <f>InpC!$F$38</f>
        <v>SSC</v>
      </c>
      <c r="G240" s="22" t="s">
        <v>34</v>
      </c>
      <c r="H240" s="152"/>
      <c r="I240" s="153"/>
      <c r="J240" s="156">
        <f t="shared" ref="J240:S240" si="124">J84+J162</f>
        <v>0.22902429906542057</v>
      </c>
      <c r="K240" s="156">
        <f t="shared" si="124"/>
        <v>0.27299631675874775</v>
      </c>
      <c r="L240" s="156">
        <f t="shared" si="124"/>
        <v>0.253</v>
      </c>
      <c r="M240" s="156">
        <f t="shared" si="124"/>
        <v>0.253</v>
      </c>
      <c r="N240" s="156">
        <f t="shared" si="124"/>
        <v>0.253</v>
      </c>
      <c r="O240" s="156">
        <f t="shared" si="124"/>
        <v>0.253</v>
      </c>
      <c r="P240" s="156">
        <f t="shared" si="124"/>
        <v>0.253</v>
      </c>
      <c r="Q240" s="156">
        <f t="shared" si="124"/>
        <v>0.253</v>
      </c>
      <c r="R240" s="156">
        <f t="shared" si="124"/>
        <v>0.253</v>
      </c>
      <c r="S240" s="156">
        <f t="shared" si="124"/>
        <v>0.253</v>
      </c>
      <c r="U240" s="156">
        <f t="shared" si="110"/>
        <v>0.253</v>
      </c>
      <c r="V240" s="156">
        <f t="shared" si="111"/>
        <v>1.2650000000000001</v>
      </c>
      <c r="W240" s="156"/>
      <c r="X240" s="156"/>
    </row>
    <row r="241" spans="1:27" hidden="1" outlineLevel="1" x14ac:dyDescent="0.35">
      <c r="A241" s="149"/>
      <c r="B241" s="149"/>
      <c r="C241" s="150"/>
      <c r="D241" s="154"/>
      <c r="E241" s="152" t="str">
        <f>InpC!$E$39</f>
        <v>SES Water</v>
      </c>
      <c r="F241" s="152" t="str">
        <f>InpC!$F$39</f>
        <v>SES</v>
      </c>
      <c r="G241" s="22" t="s">
        <v>34</v>
      </c>
      <c r="H241" s="152"/>
      <c r="I241" s="153"/>
      <c r="J241" s="156">
        <f t="shared" ref="J241:S241" si="125">J85+J163</f>
        <v>0</v>
      </c>
      <c r="K241" s="156">
        <f t="shared" si="125"/>
        <v>0</v>
      </c>
      <c r="L241" s="156">
        <f t="shared" si="125"/>
        <v>0</v>
      </c>
      <c r="M241" s="156">
        <f t="shared" si="125"/>
        <v>0</v>
      </c>
      <c r="N241" s="156">
        <f t="shared" si="125"/>
        <v>0</v>
      </c>
      <c r="O241" s="156">
        <f t="shared" si="125"/>
        <v>0</v>
      </c>
      <c r="P241" s="156">
        <f t="shared" si="125"/>
        <v>0</v>
      </c>
      <c r="Q241" s="156">
        <f t="shared" si="125"/>
        <v>0</v>
      </c>
      <c r="R241" s="156">
        <f t="shared" si="125"/>
        <v>0</v>
      </c>
      <c r="S241" s="156">
        <f t="shared" si="125"/>
        <v>0</v>
      </c>
      <c r="U241" s="156">
        <f t="shared" si="110"/>
        <v>0</v>
      </c>
      <c r="V241" s="156">
        <f t="shared" si="111"/>
        <v>0</v>
      </c>
      <c r="W241" s="156"/>
      <c r="X241" s="156"/>
    </row>
    <row r="242" spans="1:27" hidden="1" outlineLevel="1" x14ac:dyDescent="0.35">
      <c r="A242" s="149"/>
      <c r="B242" s="149"/>
      <c r="C242" s="150"/>
      <c r="D242" s="154"/>
      <c r="E242" s="152" t="str">
        <f>InpC!$E$40</f>
        <v>South West Water</v>
      </c>
      <c r="F242" s="152" t="str">
        <f>InpC!$F$40</f>
        <v>SWB</v>
      </c>
      <c r="G242" s="22" t="s">
        <v>34</v>
      </c>
      <c r="H242" s="152"/>
      <c r="I242" s="153"/>
      <c r="J242" s="156">
        <f t="shared" ref="J242:S242" si="126">J86+J164</f>
        <v>0</v>
      </c>
      <c r="K242" s="156">
        <f t="shared" si="126"/>
        <v>0</v>
      </c>
      <c r="L242" s="156">
        <f t="shared" si="126"/>
        <v>0</v>
      </c>
      <c r="M242" s="156">
        <f t="shared" si="126"/>
        <v>0</v>
      </c>
      <c r="N242" s="156">
        <f t="shared" si="126"/>
        <v>0</v>
      </c>
      <c r="O242" s="156">
        <f t="shared" si="126"/>
        <v>0</v>
      </c>
      <c r="P242" s="156">
        <f t="shared" si="126"/>
        <v>0</v>
      </c>
      <c r="Q242" s="156">
        <f t="shared" si="126"/>
        <v>0</v>
      </c>
      <c r="R242" s="156">
        <f t="shared" si="126"/>
        <v>0</v>
      </c>
      <c r="S242" s="156">
        <f t="shared" si="126"/>
        <v>0</v>
      </c>
      <c r="U242" s="156">
        <f t="shared" si="110"/>
        <v>0</v>
      </c>
      <c r="V242" s="156">
        <f t="shared" si="111"/>
        <v>0</v>
      </c>
      <c r="W242" s="156"/>
      <c r="X242" s="156"/>
    </row>
    <row r="243" spans="1:27" hidden="1" outlineLevel="1" x14ac:dyDescent="0.35">
      <c r="A243" s="149"/>
      <c r="B243" s="149"/>
      <c r="C243" s="150"/>
      <c r="D243" s="154"/>
      <c r="E243" s="152" t="str">
        <f>InpC!$E$41</f>
        <v>Bristol Water</v>
      </c>
      <c r="F243" s="152" t="str">
        <f>InpC!$F$41</f>
        <v>BRL</v>
      </c>
      <c r="G243" s="22" t="s">
        <v>34</v>
      </c>
      <c r="H243" s="152"/>
      <c r="I243" s="153"/>
      <c r="J243" s="156">
        <f t="shared" ref="J243:S243" si="127">J87+J165</f>
        <v>0</v>
      </c>
      <c r="K243" s="156">
        <f t="shared" si="127"/>
        <v>0</v>
      </c>
      <c r="L243" s="156">
        <f t="shared" si="127"/>
        <v>0</v>
      </c>
      <c r="M243" s="156">
        <f t="shared" si="127"/>
        <v>0</v>
      </c>
      <c r="N243" s="156">
        <f t="shared" si="127"/>
        <v>0</v>
      </c>
      <c r="O243" s="156">
        <f t="shared" si="127"/>
        <v>0</v>
      </c>
      <c r="P243" s="156">
        <f t="shared" si="127"/>
        <v>0</v>
      </c>
      <c r="Q243" s="156">
        <f t="shared" si="127"/>
        <v>0</v>
      </c>
      <c r="R243" s="156">
        <f t="shared" si="127"/>
        <v>0</v>
      </c>
      <c r="S243" s="156">
        <f t="shared" si="127"/>
        <v>0</v>
      </c>
      <c r="U243" s="156">
        <f t="shared" si="110"/>
        <v>0</v>
      </c>
      <c r="V243" s="156">
        <f t="shared" si="111"/>
        <v>0</v>
      </c>
      <c r="W243" s="156"/>
      <c r="X243" s="156"/>
    </row>
    <row r="244" spans="1:27" hidden="1" outlineLevel="1" x14ac:dyDescent="0.35">
      <c r="A244" s="149"/>
      <c r="B244" s="149"/>
      <c r="C244" s="150"/>
      <c r="D244" s="154"/>
      <c r="E244" s="152" t="s">
        <v>147</v>
      </c>
      <c r="F244" s="152"/>
      <c r="G244" s="22" t="s">
        <v>34</v>
      </c>
      <c r="H244" s="152"/>
      <c r="I244" s="153"/>
      <c r="J244" s="157">
        <f>SUM(J227:J243)</f>
        <v>1.6072598130841123</v>
      </c>
      <c r="K244" s="157">
        <f t="shared" ref="K244:S244" si="128">SUM(K227:K243)</f>
        <v>2.3411197053407005</v>
      </c>
      <c r="L244" s="157">
        <f t="shared" si="128"/>
        <v>3.9110000000000005</v>
      </c>
      <c r="M244" s="157">
        <f t="shared" si="128"/>
        <v>3.9530726364186863</v>
      </c>
      <c r="N244" s="157">
        <f t="shared" si="128"/>
        <v>2.4763668047806382</v>
      </c>
      <c r="O244" s="157">
        <f t="shared" si="128"/>
        <v>4.928923258521861</v>
      </c>
      <c r="P244" s="157">
        <f t="shared" si="128"/>
        <v>4.9358412846060844</v>
      </c>
      <c r="Q244" s="157">
        <f t="shared" si="128"/>
        <v>4.9329083252936083</v>
      </c>
      <c r="R244" s="157">
        <f t="shared" si="128"/>
        <v>4.9302989069761409</v>
      </c>
      <c r="S244" s="157">
        <f t="shared" si="128"/>
        <v>4.9304236508459187</v>
      </c>
      <c r="U244" s="157">
        <f t="shared" ref="U244:V244" si="129">SUM(U227:U243)</f>
        <v>4.9316790852487227</v>
      </c>
      <c r="V244" s="157">
        <f t="shared" si="129"/>
        <v>24.658395426243608</v>
      </c>
      <c r="W244" s="156"/>
      <c r="X244" s="156"/>
    </row>
    <row r="245" spans="1:27" x14ac:dyDescent="0.35">
      <c r="A245" s="149"/>
      <c r="B245" s="149"/>
      <c r="C245" s="150"/>
      <c r="D245" s="154"/>
      <c r="E245" s="152"/>
      <c r="F245" s="152"/>
      <c r="H245" s="152"/>
      <c r="I245" s="153"/>
      <c r="J245" s="152"/>
      <c r="K245" s="152"/>
      <c r="L245" s="152"/>
      <c r="M245" s="152"/>
      <c r="N245" s="152"/>
      <c r="O245" s="152"/>
      <c r="P245" s="152"/>
      <c r="Q245" s="152"/>
      <c r="R245" s="152"/>
      <c r="S245" s="152"/>
      <c r="T245" s="152"/>
      <c r="U245" s="152"/>
      <c r="V245" s="152"/>
      <c r="W245" s="152"/>
      <c r="X245" s="152"/>
      <c r="Z245" s="152"/>
      <c r="AA245" s="152"/>
    </row>
  </sheetData>
  <conditionalFormatting sqref="H2">
    <cfRule type="cellIs" dxfId="126" priority="19" stopIfTrue="1" operator="notEqual">
      <formula>0</formula>
    </cfRule>
    <cfRule type="cellIs" dxfId="125" priority="20" stopIfTrue="1" operator="equal">
      <formula>""</formula>
    </cfRule>
    <cfRule type="cellIs" dxfId="124" priority="21" stopIfTrue="1" operator="notEqual">
      <formula>0</formula>
    </cfRule>
    <cfRule type="cellIs" dxfId="123" priority="22" stopIfTrue="1" operator="equal">
      <formula>""</formula>
    </cfRule>
  </conditionalFormatting>
  <conditionalFormatting sqref="J228:J243">
    <cfRule type="expression" dxfId="122" priority="9">
      <formula>(J228&lt;&gt;J176)</formula>
    </cfRule>
  </conditionalFormatting>
  <conditionalFormatting sqref="J3:S3">
    <cfRule type="cellIs" dxfId="121" priority="31" operator="equal">
      <formula>"PPA ext."</formula>
    </cfRule>
    <cfRule type="cellIs" dxfId="120" priority="32" operator="equal">
      <formula>"Delay"</formula>
    </cfRule>
    <cfRule type="cellIs" dxfId="119" priority="33" operator="equal">
      <formula>"Fin Close"</formula>
    </cfRule>
    <cfRule type="cellIs" dxfId="118" priority="34" stopIfTrue="1" operator="equal">
      <formula>"Construction"</formula>
    </cfRule>
    <cfRule type="cellIs" dxfId="117" priority="35" stopIfTrue="1" operator="equal">
      <formula>"Operations"</formula>
    </cfRule>
  </conditionalFormatting>
  <conditionalFormatting sqref="J19:S35 U19:V35">
    <cfRule type="expression" dxfId="116" priority="23">
      <formula>(J71&lt;&gt;J19)</formula>
    </cfRule>
  </conditionalFormatting>
  <conditionalFormatting sqref="J71:S87">
    <cfRule type="expression" dxfId="115" priority="434">
      <formula>(J71&lt;&gt;J19)</formula>
    </cfRule>
  </conditionalFormatting>
  <conditionalFormatting sqref="J97:S113">
    <cfRule type="expression" dxfId="114" priority="16">
      <formula>(J149&lt;&gt;J97)</formula>
    </cfRule>
  </conditionalFormatting>
  <conditionalFormatting sqref="J149:S165">
    <cfRule type="expression" dxfId="113" priority="17">
      <formula>(J149&lt;&gt;J97)</formula>
    </cfRule>
  </conditionalFormatting>
  <conditionalFormatting sqref="J175:S191">
    <cfRule type="expression" dxfId="112" priority="8">
      <formula>(J227&lt;&gt;J175)</formula>
    </cfRule>
  </conditionalFormatting>
  <conditionalFormatting sqref="J201:S217">
    <cfRule type="expression" dxfId="111" priority="6">
      <formula>(J253&lt;&gt;J201)</formula>
    </cfRule>
  </conditionalFormatting>
  <conditionalFormatting sqref="J227:S243">
    <cfRule type="expression" dxfId="110" priority="30">
      <formula>(J227&lt;&gt;J175)</formula>
    </cfRule>
  </conditionalFormatting>
  <conditionalFormatting sqref="U3:V3">
    <cfRule type="cellIs" dxfId="109" priority="24" operator="equal">
      <formula>"PPA ext."</formula>
    </cfRule>
    <cfRule type="cellIs" dxfId="108" priority="25" operator="equal">
      <formula>"Delay"</formula>
    </cfRule>
    <cfRule type="cellIs" dxfId="107" priority="26" operator="equal">
      <formula>"Fin Close"</formula>
    </cfRule>
    <cfRule type="cellIs" dxfId="106" priority="27" stopIfTrue="1" operator="equal">
      <formula>"Construction"</formula>
    </cfRule>
    <cfRule type="cellIs" dxfId="105" priority="28" stopIfTrue="1" operator="equal">
      <formula>"Operations"</formula>
    </cfRule>
  </conditionalFormatting>
  <conditionalFormatting sqref="U45:V61 U71:V87">
    <cfRule type="expression" dxfId="104" priority="36">
      <formula>(#REF!&lt;&gt;U45)</formula>
    </cfRule>
  </conditionalFormatting>
  <conditionalFormatting sqref="U97:V113">
    <cfRule type="expression" dxfId="103" priority="15">
      <formula>(U149&lt;&gt;U97)</formula>
    </cfRule>
  </conditionalFormatting>
  <conditionalFormatting sqref="U123:V139 U149:V165">
    <cfRule type="expression" dxfId="102" priority="18">
      <formula>(#REF!&lt;&gt;U123)</formula>
    </cfRule>
  </conditionalFormatting>
  <conditionalFormatting sqref="U175:V191">
    <cfRule type="expression" dxfId="101" priority="29">
      <formula>(U227&lt;&gt;U175)</formula>
    </cfRule>
  </conditionalFormatting>
  <conditionalFormatting sqref="U201:V217">
    <cfRule type="expression" dxfId="100" priority="4">
      <formula>(Z253&lt;&gt;U201)</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6996-E4C0-49B1-9E08-D11EB7FCFD14}">
  <sheetPr>
    <tabColor rgb="FFCCCCCE"/>
    <outlinePr summaryBelow="0" summaryRight="0"/>
  </sheetPr>
  <dimension ref="A1:AB321"/>
  <sheetViews>
    <sheetView showGridLines="0" zoomScale="80" zoomScaleNormal="80" workbookViewId="0"/>
  </sheetViews>
  <sheetFormatPr defaultColWidth="11.73046875" defaultRowHeight="13.15" outlineLevelRow="2" x14ac:dyDescent="0.35"/>
  <cols>
    <col min="1" max="2" width="1.265625" style="11" customWidth="1"/>
    <col min="3" max="3" width="1.265625" style="24" customWidth="1"/>
    <col min="4" max="4" width="1.265625" style="35" customWidth="1"/>
    <col min="5" max="5" width="44.73046875" style="8"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 min="24" max="24" width="58.3984375" customWidth="1"/>
    <col min="25" max="25" width="66" customWidth="1"/>
    <col min="26" max="26" width="57" style="194" bestFit="1" customWidth="1"/>
    <col min="27" max="28" width="42.86328125" customWidth="1"/>
  </cols>
  <sheetData>
    <row r="1" spans="1:28" ht="25.15" x14ac:dyDescent="0.35">
      <c r="A1" s="19" t="str">
        <f ca="1">RIGHT(CELL("filename", A1), LEN(CELL("filename", A1)) - SEARCH("]", CELL("filename", A1)))</f>
        <v>Analysis (TMA)</v>
      </c>
    </row>
    <row r="2" spans="1:28" x14ac:dyDescent="0.35">
      <c r="A2" s="38"/>
      <c r="B2" s="38"/>
      <c r="C2" s="135"/>
      <c r="D2" s="40"/>
      <c r="E2" s="178"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c r="V2" s="74"/>
    </row>
    <row r="3" spans="1:28" ht="14.25" x14ac:dyDescent="0.45">
      <c r="E3" s="178"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t="s">
        <v>198</v>
      </c>
      <c r="V3" s="27" t="s">
        <v>173</v>
      </c>
      <c r="X3" s="237" t="s">
        <v>199</v>
      </c>
      <c r="Y3" s="237" t="s">
        <v>200</v>
      </c>
      <c r="Z3" s="238" t="s">
        <v>201</v>
      </c>
      <c r="AA3" s="239" t="s">
        <v>202</v>
      </c>
      <c r="AB3" s="136"/>
    </row>
    <row r="4" spans="1:28" ht="14.25" x14ac:dyDescent="0.45">
      <c r="E4" s="178"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c r="X4" s="237"/>
      <c r="Y4" s="237"/>
      <c r="Z4" s="238"/>
      <c r="AA4" s="240"/>
      <c r="AB4" s="137" t="s">
        <v>203</v>
      </c>
    </row>
    <row r="5" spans="1:28"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8"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8"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9" spans="1:28" x14ac:dyDescent="0.35">
      <c r="A9" s="11" t="s">
        <v>204</v>
      </c>
    </row>
    <row r="10" spans="1:28" outlineLevel="1" x14ac:dyDescent="0.35"/>
    <row r="11" spans="1:28" ht="13.5" outlineLevel="1" thickBot="1" x14ac:dyDescent="0.4">
      <c r="C11" s="24" t="str">
        <f>INDEX(InpC!$E$25:$E$42,G11)</f>
        <v>Anglian Water</v>
      </c>
      <c r="F11" s="113" t="str">
        <f>INDEX(InpC!$F$25:$F$42,G11,)</f>
        <v>ANH</v>
      </c>
      <c r="G11" s="131">
        <v>1</v>
      </c>
    </row>
    <row r="12" spans="1:28" ht="25.5" outlineLevel="2" x14ac:dyDescent="0.35">
      <c r="E12" s="8" t="s">
        <v>205</v>
      </c>
      <c r="G12" s="22" t="s">
        <v>34</v>
      </c>
      <c r="J12" s="112">
        <f>INDEX('Traffic Management Act'!J$71:J$88,'Analysis (TMA)'!$G11,)</f>
        <v>1.9323925233644861</v>
      </c>
      <c r="K12" s="112">
        <f>INDEX('Traffic Management Act'!K$71:K$88,'Analysis (TMA)'!$G11,)</f>
        <v>1.8217719152854515</v>
      </c>
      <c r="L12" s="112">
        <f>INDEX('Traffic Management Act'!L$71:L$88,'Analysis (TMA)'!$G11,)</f>
        <v>0.94399999999999995</v>
      </c>
      <c r="M12" s="112">
        <f>INDEX('Traffic Management Act'!M$71:M$88,'Analysis (TMA)'!$G11,)</f>
        <v>0.69471010168891179</v>
      </c>
      <c r="N12" s="112">
        <f>INDEX('Traffic Management Act'!N$71:N$88,'Analysis (TMA)'!$G11,)</f>
        <v>0.88712999360201172</v>
      </c>
      <c r="O12" s="112">
        <f>INDEX('Traffic Management Act'!O$71:O$88,'Analysis (TMA)'!$G11,)</f>
        <v>1.4730689481860959</v>
      </c>
      <c r="P12" s="112">
        <f>INDEX('Traffic Management Act'!P$71:P$88,'Analysis (TMA)'!$G11,)</f>
        <v>1.4730689481860959</v>
      </c>
      <c r="Q12" s="112">
        <f>INDEX('Traffic Management Act'!Q$71:Q$88,'Analysis (TMA)'!$G11,)</f>
        <v>1.4730689481860959</v>
      </c>
      <c r="R12" s="112">
        <f>INDEX('Traffic Management Act'!R$71:R$88,'Analysis (TMA)'!$G11,)</f>
        <v>1.4730689481860959</v>
      </c>
      <c r="S12" s="112">
        <f>INDEX('Traffic Management Act'!S$71:S$88,'Analysis (TMA)'!$G11,)</f>
        <v>1.4730689481860959</v>
      </c>
      <c r="T12" s="138"/>
      <c r="U12" s="112">
        <f>IFERROR(AVERAGE(O12:S12),0)</f>
        <v>1.4730689481860959</v>
      </c>
      <c r="V12" s="112">
        <f>SUM(O12:S12)</f>
        <v>7.36534474093048</v>
      </c>
      <c r="X12" s="146" t="s">
        <v>206</v>
      </c>
      <c r="Y12" s="146" t="s">
        <v>206</v>
      </c>
      <c r="Z12" s="175" t="s">
        <v>207</v>
      </c>
      <c r="AA12" s="175" t="s">
        <v>208</v>
      </c>
      <c r="AB12" s="146"/>
    </row>
    <row r="13" spans="1:28" ht="13.5" outlineLevel="2" thickBot="1" x14ac:dyDescent="0.4">
      <c r="E13" s="8" t="s">
        <v>209</v>
      </c>
      <c r="G13" s="22" t="s">
        <v>34</v>
      </c>
      <c r="J13" s="112">
        <f>INDEX('Traffic Management Act'!J$149:J$166,'Analysis (TMA)'!$G11,)</f>
        <v>0.18608224299065421</v>
      </c>
      <c r="K13" s="112">
        <f>INDEX('Traffic Management Act'!K$149:K$166,'Analysis (TMA)'!$G11,)</f>
        <v>4.2981997247001531E-2</v>
      </c>
      <c r="L13" s="112">
        <f>INDEX('Traffic Management Act'!L$149:L$166,'Analysis (TMA)'!$G11,)</f>
        <v>8.2000000000000003E-2</v>
      </c>
      <c r="M13" s="112">
        <f>INDEX('Traffic Management Act'!M$149:M$166,'Analysis (TMA)'!$G11,)</f>
        <v>5.5899471252566738E-2</v>
      </c>
      <c r="N13" s="112">
        <f>INDEX('Traffic Management Act'!N$149:N$166,'Analysis (TMA)'!$G11,)</f>
        <v>8.0419551962904054E-2</v>
      </c>
      <c r="O13" s="112">
        <f>INDEX('Traffic Management Act'!O$149:O$166,'Analysis (TMA)'!$G11,)</f>
        <v>8.3699999999999997E-2</v>
      </c>
      <c r="P13" s="112">
        <f>INDEX('Traffic Management Act'!P$149:P$166,'Analysis (TMA)'!$G11,)</f>
        <v>8.3699999999999997E-2</v>
      </c>
      <c r="Q13" s="112">
        <f>INDEX('Traffic Management Act'!Q$149:Q$166,'Analysis (TMA)'!$G11,)</f>
        <v>8.3699999999999997E-2</v>
      </c>
      <c r="R13" s="112">
        <f>INDEX('Traffic Management Act'!R$149:R$166,'Analysis (TMA)'!$G11,)</f>
        <v>8.3699999999999997E-2</v>
      </c>
      <c r="S13" s="112">
        <f>INDEX('Traffic Management Act'!S$149:S$166,'Analysis (TMA)'!$G11,)</f>
        <v>8.3699999999999997E-2</v>
      </c>
      <c r="T13" s="138"/>
      <c r="U13" s="112">
        <f>IFERROR(AVERAGE(O13:S13),0)</f>
        <v>8.3699999999999997E-2</v>
      </c>
      <c r="V13" s="112">
        <f>SUM(O13:S13)</f>
        <v>0.41849999999999998</v>
      </c>
      <c r="X13" s="147"/>
      <c r="Y13" s="147"/>
      <c r="Z13" s="147"/>
      <c r="AA13" s="176"/>
      <c r="AB13" s="147"/>
    </row>
    <row r="14" spans="1:28" outlineLevel="2" x14ac:dyDescent="0.35">
      <c r="E14" s="8" t="s">
        <v>99</v>
      </c>
      <c r="G14" s="22" t="s">
        <v>34</v>
      </c>
      <c r="J14" s="134">
        <f t="shared" ref="J14:S14" si="0">SUM(J12:J13)</f>
        <v>2.1184747663551402</v>
      </c>
      <c r="K14" s="134">
        <f t="shared" si="0"/>
        <v>1.864753912532453</v>
      </c>
      <c r="L14" s="134">
        <f t="shared" si="0"/>
        <v>1.026</v>
      </c>
      <c r="M14" s="134">
        <f t="shared" si="0"/>
        <v>0.75060957294147856</v>
      </c>
      <c r="N14" s="134">
        <f t="shared" si="0"/>
        <v>0.96754954556491579</v>
      </c>
      <c r="O14" s="134">
        <f t="shared" si="0"/>
        <v>1.5567689481860958</v>
      </c>
      <c r="P14" s="134">
        <f t="shared" si="0"/>
        <v>1.5567689481860958</v>
      </c>
      <c r="Q14" s="134">
        <f t="shared" si="0"/>
        <v>1.5567689481860958</v>
      </c>
      <c r="R14" s="134">
        <f t="shared" si="0"/>
        <v>1.5567689481860958</v>
      </c>
      <c r="S14" s="134">
        <f t="shared" si="0"/>
        <v>1.5567689481860958</v>
      </c>
      <c r="T14" s="138"/>
      <c r="U14" s="134">
        <f>SUM(U12:U13)</f>
        <v>1.5567689481860958</v>
      </c>
      <c r="V14" s="134">
        <f>SUM(V12:V13)</f>
        <v>7.7838447409304798</v>
      </c>
      <c r="AA14" s="177"/>
    </row>
    <row r="15" spans="1:28" outlineLevel="1" x14ac:dyDescent="0.35">
      <c r="J15" s="112"/>
      <c r="K15" s="112"/>
      <c r="L15" s="112"/>
      <c r="M15" s="112"/>
      <c r="N15" s="112"/>
      <c r="O15" s="112"/>
      <c r="P15" s="112"/>
      <c r="Q15" s="112"/>
      <c r="R15" s="112"/>
      <c r="S15" s="112"/>
      <c r="T15" s="138"/>
      <c r="U15" s="112"/>
      <c r="V15" s="112"/>
      <c r="AA15" s="177"/>
    </row>
    <row r="16" spans="1:28" ht="13.5" outlineLevel="1" thickBot="1" x14ac:dyDescent="0.4">
      <c r="C16" s="24" t="str">
        <f>INDEX(InpC!$E$25:$E$42,G16)</f>
        <v>Dŵr Cymru</v>
      </c>
      <c r="F16" s="113" t="str">
        <f>INDEX(InpC!$F$25:$F$42,G16,)</f>
        <v>WSH</v>
      </c>
      <c r="G16" s="131">
        <v>2</v>
      </c>
      <c r="J16" s="112"/>
      <c r="K16" s="112"/>
      <c r="L16" s="112"/>
      <c r="M16" s="112"/>
      <c r="N16" s="112"/>
      <c r="O16" s="112"/>
      <c r="P16" s="112"/>
      <c r="Q16" s="112"/>
      <c r="R16" s="112"/>
      <c r="S16" s="112"/>
      <c r="T16" s="138"/>
      <c r="U16" s="112"/>
      <c r="V16" s="112"/>
      <c r="AA16" s="177"/>
    </row>
    <row r="17" spans="3:28" ht="25.5" outlineLevel="2" x14ac:dyDescent="0.35">
      <c r="E17" s="8" t="s">
        <v>205</v>
      </c>
      <c r="G17" s="22" t="s">
        <v>34</v>
      </c>
      <c r="J17" s="112">
        <f>INDEX('Traffic Management Act'!J$71:J$88,'Analysis (TMA)'!$G16,)</f>
        <v>2.0448598130841122E-3</v>
      </c>
      <c r="K17" s="112">
        <f>INDEX('Traffic Management Act'!K$71:K$88,'Analysis (TMA)'!$G16,)</f>
        <v>6.0441988950276256E-3</v>
      </c>
      <c r="L17" s="112">
        <f>INDEX('Traffic Management Act'!L$71:L$88,'Analysis (TMA)'!$G16,)</f>
        <v>9.2999999999999999E-2</v>
      </c>
      <c r="M17" s="112">
        <f>INDEX('Traffic Management Act'!M$71:M$88,'Analysis (TMA)'!$G16,)</f>
        <v>0.182</v>
      </c>
      <c r="N17" s="112">
        <f>INDEX('Traffic Management Act'!N$71:N$88,'Analysis (TMA)'!$G16,)</f>
        <v>5.1999999999999998E-2</v>
      </c>
      <c r="O17" s="112">
        <f>INDEX('Traffic Management Act'!O$71:O$88,'Analysis (TMA)'!$G16,)</f>
        <v>4.2000000000000003E-2</v>
      </c>
      <c r="P17" s="112">
        <f>INDEX('Traffic Management Act'!P$71:P$88,'Analysis (TMA)'!$G16,)</f>
        <v>0.04</v>
      </c>
      <c r="Q17" s="112">
        <f>INDEX('Traffic Management Act'!Q$71:Q$88,'Analysis (TMA)'!$G16,)</f>
        <v>3.9E-2</v>
      </c>
      <c r="R17" s="112">
        <f>INDEX('Traffic Management Act'!R$71:R$88,'Analysis (TMA)'!$G16,)</f>
        <v>3.9E-2</v>
      </c>
      <c r="S17" s="112">
        <f>INDEX('Traffic Management Act'!S$71:S$88,'Analysis (TMA)'!$G16,)</f>
        <v>3.7999999999999999E-2</v>
      </c>
      <c r="T17" s="138"/>
      <c r="U17" s="112">
        <f>IFERROR(AVERAGE(O17:S17),0)</f>
        <v>3.9600000000000003E-2</v>
      </c>
      <c r="V17" s="112">
        <f>SUM(O17:S17)</f>
        <v>0.19800000000000001</v>
      </c>
      <c r="X17" s="241" t="s">
        <v>206</v>
      </c>
      <c r="Y17" s="243" t="s">
        <v>210</v>
      </c>
      <c r="Z17" s="175" t="s">
        <v>207</v>
      </c>
      <c r="AA17" s="175" t="s">
        <v>208</v>
      </c>
      <c r="AB17" s="241"/>
    </row>
    <row r="18" spans="3:28" ht="13.5" outlineLevel="2" thickBot="1" x14ac:dyDescent="0.4">
      <c r="E18" s="8" t="s">
        <v>209</v>
      </c>
      <c r="G18" s="22" t="s">
        <v>34</v>
      </c>
      <c r="J18" s="112">
        <f>INDEX('Traffic Management Act'!J$149:J$166,'Analysis (TMA)'!$G16,)</f>
        <v>3.6807476635514015E-2</v>
      </c>
      <c r="K18" s="112">
        <f>INDEX('Traffic Management Act'!K$149:K$166,'Analysis (TMA)'!$G16,)</f>
        <v>0</v>
      </c>
      <c r="L18" s="112">
        <f>INDEX('Traffic Management Act'!L$149:L$166,'Analysis (TMA)'!$G16,)</f>
        <v>9.2999999999999999E-2</v>
      </c>
      <c r="M18" s="112">
        <f>INDEX('Traffic Management Act'!M$149:M$166,'Analysis (TMA)'!$G16,)</f>
        <v>2.1999999999999999E-2</v>
      </c>
      <c r="N18" s="112">
        <f>INDEX('Traffic Management Act'!N$149:N$166,'Analysis (TMA)'!$G16,)</f>
        <v>4.3999999999999997E-2</v>
      </c>
      <c r="O18" s="112">
        <f>INDEX('Traffic Management Act'!O$149:O$166,'Analysis (TMA)'!$G16,)</f>
        <v>2.7E-2</v>
      </c>
      <c r="P18" s="112">
        <f>INDEX('Traffic Management Act'!P$149:P$166,'Analysis (TMA)'!$G16,)</f>
        <v>2.5000000000000001E-2</v>
      </c>
      <c r="Q18" s="112">
        <f>INDEX('Traffic Management Act'!Q$149:Q$166,'Analysis (TMA)'!$G16,)</f>
        <v>2.5000000000000001E-2</v>
      </c>
      <c r="R18" s="112">
        <f>INDEX('Traffic Management Act'!R$149:R$166,'Analysis (TMA)'!$G16,)</f>
        <v>2.4E-2</v>
      </c>
      <c r="S18" s="112">
        <f>INDEX('Traffic Management Act'!S$149:S$166,'Analysis (TMA)'!$G16,)</f>
        <v>2.4E-2</v>
      </c>
      <c r="T18" s="138"/>
      <c r="U18" s="112">
        <f>IFERROR(AVERAGE(O18:S18),0)</f>
        <v>2.5000000000000001E-2</v>
      </c>
      <c r="V18" s="112">
        <f>SUM(O18:S18)</f>
        <v>0.125</v>
      </c>
      <c r="X18" s="242"/>
      <c r="Y18" s="242"/>
      <c r="Z18" s="147"/>
      <c r="AA18" s="176"/>
      <c r="AB18" s="242"/>
    </row>
    <row r="19" spans="3:28" outlineLevel="2" x14ac:dyDescent="0.35">
      <c r="E19" s="8" t="s">
        <v>99</v>
      </c>
      <c r="G19" s="22" t="s">
        <v>34</v>
      </c>
      <c r="J19" s="134">
        <f t="shared" ref="J19:S19" si="1">SUM(J17:J18)</f>
        <v>3.8852336448598125E-2</v>
      </c>
      <c r="K19" s="134">
        <f t="shared" si="1"/>
        <v>6.0441988950276256E-3</v>
      </c>
      <c r="L19" s="134">
        <f t="shared" si="1"/>
        <v>0.186</v>
      </c>
      <c r="M19" s="134">
        <f t="shared" si="1"/>
        <v>0.20399999999999999</v>
      </c>
      <c r="N19" s="134">
        <f t="shared" si="1"/>
        <v>9.6000000000000002E-2</v>
      </c>
      <c r="O19" s="134">
        <f t="shared" si="1"/>
        <v>6.9000000000000006E-2</v>
      </c>
      <c r="P19" s="134">
        <f t="shared" si="1"/>
        <v>6.5000000000000002E-2</v>
      </c>
      <c r="Q19" s="134">
        <f t="shared" si="1"/>
        <v>6.4000000000000001E-2</v>
      </c>
      <c r="R19" s="134">
        <f t="shared" si="1"/>
        <v>6.3E-2</v>
      </c>
      <c r="S19" s="134">
        <f t="shared" si="1"/>
        <v>6.2E-2</v>
      </c>
      <c r="T19" s="138"/>
      <c r="U19" s="134">
        <f>SUM(U17:U18)</f>
        <v>6.4600000000000005E-2</v>
      </c>
      <c r="V19" s="134">
        <f>SUM(V17:V18)</f>
        <v>0.32300000000000001</v>
      </c>
      <c r="AA19" s="177"/>
    </row>
    <row r="20" spans="3:28" outlineLevel="1" x14ac:dyDescent="0.35">
      <c r="J20" s="112"/>
      <c r="K20" s="112"/>
      <c r="L20" s="112"/>
      <c r="M20" s="112"/>
      <c r="N20" s="112"/>
      <c r="O20" s="112"/>
      <c r="P20" s="112"/>
      <c r="Q20" s="112"/>
      <c r="R20" s="112"/>
      <c r="S20" s="112"/>
      <c r="T20" s="138"/>
      <c r="U20" s="112"/>
      <c r="V20" s="112"/>
      <c r="AA20" s="177"/>
    </row>
    <row r="21" spans="3:28" ht="13.5" outlineLevel="1" thickBot="1" x14ac:dyDescent="0.4">
      <c r="C21" s="24" t="str">
        <f>INDEX(InpC!$E$25:$E$42,G21)</f>
        <v>Hafren Dyfrdwy</v>
      </c>
      <c r="F21" s="113" t="str">
        <f>INDEX(InpC!$F$25:$F$42,G21,)</f>
        <v>HDD</v>
      </c>
      <c r="G21" s="131">
        <v>3</v>
      </c>
      <c r="J21" s="112"/>
      <c r="K21" s="112"/>
      <c r="L21" s="112"/>
      <c r="M21" s="112"/>
      <c r="N21" s="112"/>
      <c r="O21" s="112"/>
      <c r="P21" s="112"/>
      <c r="Q21" s="112"/>
      <c r="R21" s="112"/>
      <c r="S21" s="112"/>
      <c r="T21" s="138"/>
      <c r="U21" s="112"/>
      <c r="V21" s="112"/>
      <c r="AA21" s="177"/>
    </row>
    <row r="22" spans="3:28" outlineLevel="2" x14ac:dyDescent="0.35">
      <c r="E22" s="8" t="s">
        <v>205</v>
      </c>
      <c r="G22" s="22" t="s">
        <v>34</v>
      </c>
      <c r="J22" s="112">
        <f>INDEX('Traffic Management Act'!J$71:J$88,'Analysis (TMA)'!$G21,)</f>
        <v>0</v>
      </c>
      <c r="K22" s="112">
        <f>INDEX('Traffic Management Act'!K$71:K$88,'Analysis (TMA)'!$G21,)</f>
        <v>0</v>
      </c>
      <c r="L22" s="112">
        <f>INDEX('Traffic Management Act'!L$71:L$88,'Analysis (TMA)'!$G21,)</f>
        <v>0</v>
      </c>
      <c r="M22" s="112">
        <f>INDEX('Traffic Management Act'!M$71:M$88,'Analysis (TMA)'!$G21,)</f>
        <v>0</v>
      </c>
      <c r="N22" s="112">
        <f>INDEX('Traffic Management Act'!N$71:N$88,'Analysis (TMA)'!$G21,)</f>
        <v>0</v>
      </c>
      <c r="O22" s="112">
        <f>INDEX('Traffic Management Act'!O$71:O$88,'Analysis (TMA)'!$G21,)</f>
        <v>0</v>
      </c>
      <c r="P22" s="112">
        <f>INDEX('Traffic Management Act'!P$71:P$88,'Analysis (TMA)'!$G21,)</f>
        <v>0</v>
      </c>
      <c r="Q22" s="112">
        <f>INDEX('Traffic Management Act'!Q$71:Q$88,'Analysis (TMA)'!$G21,)</f>
        <v>0</v>
      </c>
      <c r="R22" s="112">
        <f>INDEX('Traffic Management Act'!R$71:R$88,'Analysis (TMA)'!$G21,)</f>
        <v>0</v>
      </c>
      <c r="S22" s="112">
        <f>INDEX('Traffic Management Act'!S$71:S$88,'Analysis (TMA)'!$G21,)</f>
        <v>0</v>
      </c>
      <c r="T22" s="138"/>
      <c r="U22" s="112">
        <f>IFERROR(AVERAGE(O22:S22),0)</f>
        <v>0</v>
      </c>
      <c r="V22" s="112">
        <f>SUM(O22:S22)</f>
        <v>0</v>
      </c>
      <c r="X22" s="146" t="s">
        <v>206</v>
      </c>
      <c r="Y22" s="146" t="s">
        <v>206</v>
      </c>
      <c r="Z22" s="175" t="s">
        <v>206</v>
      </c>
      <c r="AA22" s="175" t="s">
        <v>206</v>
      </c>
      <c r="AB22" s="146"/>
    </row>
    <row r="23" spans="3:28" ht="13.5" outlineLevel="2" thickBot="1" x14ac:dyDescent="0.4">
      <c r="E23" s="8" t="s">
        <v>209</v>
      </c>
      <c r="G23" s="22" t="s">
        <v>34</v>
      </c>
      <c r="J23" s="112">
        <f>INDEX('Traffic Management Act'!J$149:J$166,'Analysis (TMA)'!$G21,)</f>
        <v>0</v>
      </c>
      <c r="K23" s="112">
        <f>INDEX('Traffic Management Act'!K$149:K$166,'Analysis (TMA)'!$G21,)</f>
        <v>0</v>
      </c>
      <c r="L23" s="112">
        <f>INDEX('Traffic Management Act'!L$149:L$166,'Analysis (TMA)'!$G21,)</f>
        <v>0</v>
      </c>
      <c r="M23" s="112">
        <f>INDEX('Traffic Management Act'!M$149:M$166,'Analysis (TMA)'!$G21,)</f>
        <v>0</v>
      </c>
      <c r="N23" s="112">
        <f>INDEX('Traffic Management Act'!N$149:N$166,'Analysis (TMA)'!$G21,)</f>
        <v>0</v>
      </c>
      <c r="O23" s="112">
        <f>INDEX('Traffic Management Act'!O$149:O$166,'Analysis (TMA)'!$G21,)</f>
        <v>0</v>
      </c>
      <c r="P23" s="112">
        <f>INDEX('Traffic Management Act'!P$149:P$166,'Analysis (TMA)'!$G21,)</f>
        <v>0</v>
      </c>
      <c r="Q23" s="112">
        <f>INDEX('Traffic Management Act'!Q$149:Q$166,'Analysis (TMA)'!$G21,)</f>
        <v>0</v>
      </c>
      <c r="R23" s="112">
        <f>INDEX('Traffic Management Act'!R$149:R$166,'Analysis (TMA)'!$G21,)</f>
        <v>0</v>
      </c>
      <c r="S23" s="112">
        <f>INDEX('Traffic Management Act'!S$149:S$166,'Analysis (TMA)'!$G21,)</f>
        <v>0</v>
      </c>
      <c r="T23" s="138"/>
      <c r="U23" s="112">
        <f>IFERROR(AVERAGE(O23:S23),0)</f>
        <v>0</v>
      </c>
      <c r="V23" s="112">
        <f>SUM(O23:S23)</f>
        <v>0</v>
      </c>
      <c r="X23" s="147"/>
      <c r="Y23" s="147"/>
      <c r="Z23" s="147"/>
      <c r="AA23" s="176"/>
      <c r="AB23" s="147"/>
    </row>
    <row r="24" spans="3:28" outlineLevel="2" x14ac:dyDescent="0.35">
      <c r="E24" s="8" t="s">
        <v>99</v>
      </c>
      <c r="G24" s="22" t="s">
        <v>34</v>
      </c>
      <c r="J24" s="134">
        <f t="shared" ref="J24:S24" si="2">SUM(J22:J23)</f>
        <v>0</v>
      </c>
      <c r="K24" s="134">
        <f t="shared" si="2"/>
        <v>0</v>
      </c>
      <c r="L24" s="134">
        <f t="shared" si="2"/>
        <v>0</v>
      </c>
      <c r="M24" s="134">
        <f t="shared" si="2"/>
        <v>0</v>
      </c>
      <c r="N24" s="134">
        <f t="shared" si="2"/>
        <v>0</v>
      </c>
      <c r="O24" s="134">
        <f t="shared" si="2"/>
        <v>0</v>
      </c>
      <c r="P24" s="134">
        <f t="shared" si="2"/>
        <v>0</v>
      </c>
      <c r="Q24" s="134">
        <f t="shared" si="2"/>
        <v>0</v>
      </c>
      <c r="R24" s="134">
        <f t="shared" si="2"/>
        <v>0</v>
      </c>
      <c r="S24" s="134">
        <f t="shared" si="2"/>
        <v>0</v>
      </c>
      <c r="T24" s="138"/>
      <c r="U24" s="134">
        <f>SUM(U22:U23)</f>
        <v>0</v>
      </c>
      <c r="V24" s="134">
        <f>SUM(V22:V23)</f>
        <v>0</v>
      </c>
      <c r="AA24" s="177"/>
    </row>
    <row r="25" spans="3:28" outlineLevel="1" x14ac:dyDescent="0.35">
      <c r="J25" s="112"/>
      <c r="K25" s="112"/>
      <c r="L25" s="112"/>
      <c r="M25" s="112"/>
      <c r="N25" s="112"/>
      <c r="O25" s="112"/>
      <c r="P25" s="112"/>
      <c r="Q25" s="112"/>
      <c r="R25" s="112"/>
      <c r="S25" s="112"/>
      <c r="T25" s="138"/>
      <c r="U25" s="112"/>
      <c r="V25" s="112"/>
      <c r="AA25" s="177"/>
    </row>
    <row r="26" spans="3:28" ht="13.5" outlineLevel="1" thickBot="1" x14ac:dyDescent="0.4">
      <c r="C26" s="24" t="str">
        <f>INDEX(InpC!$E$25:$E$42,G26)</f>
        <v>Northumbrian Water</v>
      </c>
      <c r="F26" s="113" t="str">
        <f>INDEX(InpC!$F$25:$F$42,G26,)</f>
        <v>NES</v>
      </c>
      <c r="G26" s="131">
        <v>4</v>
      </c>
      <c r="J26" s="112"/>
      <c r="K26" s="112"/>
      <c r="L26" s="112"/>
      <c r="M26" s="112"/>
      <c r="N26" s="112"/>
      <c r="O26" s="112"/>
      <c r="P26" s="112"/>
      <c r="Q26" s="112"/>
      <c r="R26" s="112"/>
      <c r="S26" s="112"/>
      <c r="T26" s="138"/>
      <c r="U26" s="112"/>
      <c r="V26" s="112"/>
      <c r="AA26" s="177"/>
    </row>
    <row r="27" spans="3:28" ht="25.5" outlineLevel="2" x14ac:dyDescent="0.35">
      <c r="E27" s="8" t="s">
        <v>205</v>
      </c>
      <c r="G27" s="22" t="s">
        <v>34</v>
      </c>
      <c r="J27" s="112">
        <f>INDEX('Traffic Management Act'!J$71:J$88,'Analysis (TMA)'!$G26,)</f>
        <v>0.28219065420560752</v>
      </c>
      <c r="K27" s="112">
        <f>INDEX('Traffic Management Act'!K$71:K$88,'Analysis (TMA)'!$G26,)</f>
        <v>0.37071086556169436</v>
      </c>
      <c r="L27" s="112">
        <f>INDEX('Traffic Management Act'!L$71:L$88,'Analysis (TMA)'!$G26,)</f>
        <v>0.40799999999999997</v>
      </c>
      <c r="M27" s="112">
        <f>INDEX('Traffic Management Act'!M$71:M$88,'Analysis (TMA)'!$G26,)</f>
        <v>0.43298287301664001</v>
      </c>
      <c r="N27" s="112">
        <f>INDEX('Traffic Management Act'!N$71:N$88,'Analysis (TMA)'!$G26,)</f>
        <v>0.44600000000000001</v>
      </c>
      <c r="O27" s="112">
        <f>INDEX('Traffic Management Act'!O$71:O$88,'Analysis (TMA)'!$G26,)</f>
        <v>0.46899999999999997</v>
      </c>
      <c r="P27" s="112">
        <f>INDEX('Traffic Management Act'!P$71:P$88,'Analysis (TMA)'!$G26,)</f>
        <v>0.49299999999999999</v>
      </c>
      <c r="Q27" s="112">
        <f>INDEX('Traffic Management Act'!Q$71:Q$88,'Analysis (TMA)'!$G26,)</f>
        <v>0.51700000000000002</v>
      </c>
      <c r="R27" s="112">
        <f>INDEX('Traffic Management Act'!R$71:R$88,'Analysis (TMA)'!$G26,)</f>
        <v>0.54</v>
      </c>
      <c r="S27" s="112">
        <f>INDEX('Traffic Management Act'!S$71:S$88,'Analysis (TMA)'!$G26,)</f>
        <v>0.56399999999999995</v>
      </c>
      <c r="T27" s="138"/>
      <c r="U27" s="112">
        <f>IFERROR(AVERAGE(O27:S27),0)</f>
        <v>0.51660000000000006</v>
      </c>
      <c r="V27" s="112">
        <f>SUM(O27:S27)</f>
        <v>2.5830000000000002</v>
      </c>
      <c r="X27" s="241" t="s">
        <v>206</v>
      </c>
      <c r="Y27" s="241" t="s">
        <v>206</v>
      </c>
      <c r="Z27" s="175" t="s">
        <v>207</v>
      </c>
      <c r="AA27" s="175" t="s">
        <v>208</v>
      </c>
      <c r="AB27" s="241"/>
    </row>
    <row r="28" spans="3:28" ht="13.5" outlineLevel="2" thickBot="1" x14ac:dyDescent="0.4">
      <c r="E28" s="8" t="s">
        <v>209</v>
      </c>
      <c r="G28" s="22" t="s">
        <v>34</v>
      </c>
      <c r="J28" s="112">
        <f>INDEX('Traffic Management Act'!J$149:J$166,'Analysis (TMA)'!$G26,)</f>
        <v>0.13087102803738318</v>
      </c>
      <c r="K28" s="112">
        <f>INDEX('Traffic Management Act'!K$149:K$166,'Analysis (TMA)'!$G26,)</f>
        <v>3.4250460405156544E-2</v>
      </c>
      <c r="L28" s="112">
        <f>INDEX('Traffic Management Act'!L$149:L$166,'Analysis (TMA)'!$G26,)</f>
        <v>2.1000000000000001E-2</v>
      </c>
      <c r="M28" s="112">
        <f>INDEX('Traffic Management Act'!M$149:M$166,'Analysis (TMA)'!$G26,)</f>
        <v>1.4211691674506781E-2</v>
      </c>
      <c r="N28" s="112">
        <f>INDEX('Traffic Management Act'!N$149:N$166,'Analysis (TMA)'!$G26,)</f>
        <v>2.1000000000000001E-2</v>
      </c>
      <c r="O28" s="112">
        <f>INDEX('Traffic Management Act'!O$149:O$166,'Analysis (TMA)'!$G26,)</f>
        <v>2.1000000000000001E-2</v>
      </c>
      <c r="P28" s="112">
        <f>INDEX('Traffic Management Act'!P$149:P$166,'Analysis (TMA)'!$G26,)</f>
        <v>2.1000000000000001E-2</v>
      </c>
      <c r="Q28" s="112">
        <f>INDEX('Traffic Management Act'!Q$149:Q$166,'Analysis (TMA)'!$G26,)</f>
        <v>2.1000000000000001E-2</v>
      </c>
      <c r="R28" s="112">
        <f>INDEX('Traffic Management Act'!R$149:R$166,'Analysis (TMA)'!$G26,)</f>
        <v>2.1000000000000001E-2</v>
      </c>
      <c r="S28" s="112">
        <f>INDEX('Traffic Management Act'!S$149:S$166,'Analysis (TMA)'!$G26,)</f>
        <v>2.1000000000000001E-2</v>
      </c>
      <c r="T28" s="138"/>
      <c r="U28" s="112">
        <f>IFERROR(AVERAGE(O28:S28),0)</f>
        <v>2.1000000000000001E-2</v>
      </c>
      <c r="V28" s="112">
        <f>SUM(O28:S28)</f>
        <v>0.10500000000000001</v>
      </c>
      <c r="X28" s="242"/>
      <c r="Y28" s="242"/>
      <c r="Z28" s="147"/>
      <c r="AA28" s="176"/>
      <c r="AB28" s="242"/>
    </row>
    <row r="29" spans="3:28" outlineLevel="2" x14ac:dyDescent="0.35">
      <c r="E29" s="8" t="s">
        <v>99</v>
      </c>
      <c r="G29" s="22" t="s">
        <v>34</v>
      </c>
      <c r="J29" s="134">
        <f t="shared" ref="J29:S29" si="3">SUM(J27:J28)</f>
        <v>0.41306168224299067</v>
      </c>
      <c r="K29" s="134">
        <f t="shared" si="3"/>
        <v>0.40496132596685092</v>
      </c>
      <c r="L29" s="134">
        <f t="shared" si="3"/>
        <v>0.42899999999999999</v>
      </c>
      <c r="M29" s="134">
        <f t="shared" si="3"/>
        <v>0.44719456469114677</v>
      </c>
      <c r="N29" s="134">
        <f t="shared" si="3"/>
        <v>0.46700000000000003</v>
      </c>
      <c r="O29" s="134">
        <f t="shared" si="3"/>
        <v>0.49</v>
      </c>
      <c r="P29" s="134">
        <f t="shared" si="3"/>
        <v>0.51400000000000001</v>
      </c>
      <c r="Q29" s="134">
        <f t="shared" si="3"/>
        <v>0.53800000000000003</v>
      </c>
      <c r="R29" s="134">
        <f t="shared" si="3"/>
        <v>0.56100000000000005</v>
      </c>
      <c r="S29" s="134">
        <f t="shared" si="3"/>
        <v>0.58499999999999996</v>
      </c>
      <c r="T29" s="138"/>
      <c r="U29" s="134">
        <f>SUM(U27:U28)</f>
        <v>0.53760000000000008</v>
      </c>
      <c r="V29" s="134">
        <f>SUM(V27:V28)</f>
        <v>2.6880000000000002</v>
      </c>
      <c r="AA29" s="177"/>
    </row>
    <row r="30" spans="3:28" outlineLevel="1" x14ac:dyDescent="0.35">
      <c r="J30" s="112"/>
      <c r="K30" s="112"/>
      <c r="L30" s="112"/>
      <c r="M30" s="112"/>
      <c r="N30" s="112"/>
      <c r="O30" s="112"/>
      <c r="P30" s="112"/>
      <c r="Q30" s="112"/>
      <c r="R30" s="112"/>
      <c r="S30" s="112"/>
      <c r="T30" s="138"/>
      <c r="U30" s="112"/>
      <c r="V30" s="112"/>
      <c r="AA30" s="177"/>
    </row>
    <row r="31" spans="3:28" ht="13.5" outlineLevel="1" thickBot="1" x14ac:dyDescent="0.4">
      <c r="C31" s="24" t="str">
        <f>INDEX(InpC!$E$25:$E$42,G31)</f>
        <v>Severn Trent Water</v>
      </c>
      <c r="F31" s="113" t="str">
        <f>INDEX(InpC!$F$25:$F$42,G31,)</f>
        <v>SVE</v>
      </c>
      <c r="G31" s="131">
        <v>5</v>
      </c>
      <c r="J31" s="112"/>
      <c r="K31" s="112"/>
      <c r="L31" s="112"/>
      <c r="M31" s="112"/>
      <c r="N31" s="112"/>
      <c r="O31" s="112"/>
      <c r="P31" s="112"/>
      <c r="Q31" s="112"/>
      <c r="R31" s="112"/>
      <c r="S31" s="112"/>
      <c r="T31" s="138"/>
      <c r="U31" s="112"/>
      <c r="V31" s="112"/>
      <c r="AA31" s="177"/>
    </row>
    <row r="32" spans="3:28" ht="51" outlineLevel="2" x14ac:dyDescent="0.35">
      <c r="E32" s="8" t="s">
        <v>205</v>
      </c>
      <c r="G32" s="22" t="s">
        <v>34</v>
      </c>
      <c r="J32" s="112">
        <f>INDEX('Traffic Management Act'!J$71:J$88,'Analysis (TMA)'!$G31,)</f>
        <v>2.3587457943925236</v>
      </c>
      <c r="K32" s="112">
        <f>INDEX('Traffic Management Act'!K$71:K$88,'Analysis (TMA)'!$G31,)</f>
        <v>2.2494493554327812</v>
      </c>
      <c r="L32" s="112">
        <f>INDEX('Traffic Management Act'!L$71:L$88,'Analysis (TMA)'!$G31,)</f>
        <v>2.6629999999999998</v>
      </c>
      <c r="M32" s="112">
        <f>INDEX('Traffic Management Act'!M$71:M$88,'Analysis (TMA)'!$G31,)</f>
        <v>1.744</v>
      </c>
      <c r="N32" s="112">
        <f>INDEX('Traffic Management Act'!N$71:N$88,'Analysis (TMA)'!$G31,)</f>
        <v>1.714</v>
      </c>
      <c r="O32" s="112">
        <f>INDEX('Traffic Management Act'!O$71:O$88,'Analysis (TMA)'!$G31,)</f>
        <v>2.843</v>
      </c>
      <c r="P32" s="112">
        <f>INDEX('Traffic Management Act'!P$71:P$88,'Analysis (TMA)'!$G31,)</f>
        <v>2.867</v>
      </c>
      <c r="Q32" s="112">
        <f>INDEX('Traffic Management Act'!Q$71:Q$88,'Analysis (TMA)'!$G31,)</f>
        <v>2.891</v>
      </c>
      <c r="R32" s="112">
        <f>INDEX('Traffic Management Act'!R$71:R$88,'Analysis (TMA)'!$G31,)</f>
        <v>2.9159999999999999</v>
      </c>
      <c r="S32" s="112">
        <f>INDEX('Traffic Management Act'!S$71:S$88,'Analysis (TMA)'!$G31,)</f>
        <v>2.94</v>
      </c>
      <c r="T32" s="138"/>
      <c r="U32" s="112">
        <f>IFERROR(AVERAGE(O32:S32),0)</f>
        <v>2.8914</v>
      </c>
      <c r="V32" s="112">
        <f>SUM(O32:S32)</f>
        <v>14.456999999999999</v>
      </c>
      <c r="X32" s="146" t="s">
        <v>206</v>
      </c>
      <c r="Y32" s="175" t="s">
        <v>211</v>
      </c>
      <c r="Z32" s="175" t="s">
        <v>207</v>
      </c>
      <c r="AA32" s="175" t="s">
        <v>208</v>
      </c>
      <c r="AB32" s="146"/>
    </row>
    <row r="33" spans="3:28" ht="13.5" outlineLevel="2" thickBot="1" x14ac:dyDescent="0.4">
      <c r="E33" s="8" t="s">
        <v>209</v>
      </c>
      <c r="G33" s="22" t="s">
        <v>34</v>
      </c>
      <c r="J33" s="112">
        <f>INDEX('Traffic Management Act'!J$149:J$166,'Analysis (TMA)'!$G31,)</f>
        <v>7.4637383177570099E-2</v>
      </c>
      <c r="K33" s="112">
        <f>INDEX('Traffic Management Act'!K$149:K$166,'Analysis (TMA)'!$G31,)</f>
        <v>0.19240699815837942</v>
      </c>
      <c r="L33" s="112">
        <f>INDEX('Traffic Management Act'!L$149:L$166,'Analysis (TMA)'!$G31,)</f>
        <v>5.1999999999999998E-2</v>
      </c>
      <c r="M33" s="112">
        <f>INDEX('Traffic Management Act'!M$149:M$166,'Analysis (TMA)'!$G31,)</f>
        <v>0.21911625300000001</v>
      </c>
      <c r="N33" s="112">
        <f>INDEX('Traffic Management Act'!N$149:N$166,'Analysis (TMA)'!$G31,)</f>
        <v>0.22045041800000001</v>
      </c>
      <c r="O33" s="112">
        <f>INDEX('Traffic Management Act'!O$149:O$166,'Analysis (TMA)'!$G31,)</f>
        <v>0.22179270800000001</v>
      </c>
      <c r="P33" s="112">
        <f>INDEX('Traffic Management Act'!P$149:P$166,'Analysis (TMA)'!$G31,)</f>
        <v>0.223143169</v>
      </c>
      <c r="Q33" s="112">
        <f>INDEX('Traffic Management Act'!Q$149:Q$166,'Analysis (TMA)'!$G31,)</f>
        <v>0.224501856</v>
      </c>
      <c r="R33" s="112">
        <f>INDEX('Traffic Management Act'!R$149:R$166,'Analysis (TMA)'!$G31,)</f>
        <v>0.225868813</v>
      </c>
      <c r="S33" s="112">
        <f>INDEX('Traffic Management Act'!S$149:S$166,'Analysis (TMA)'!$G31,)</f>
        <v>0.22724409600000001</v>
      </c>
      <c r="T33" s="138"/>
      <c r="U33" s="112">
        <f>IFERROR(AVERAGE(O33:S33),0)</f>
        <v>0.22451012840000001</v>
      </c>
      <c r="V33" s="112">
        <f>SUM(O33:S33)</f>
        <v>1.122550642</v>
      </c>
      <c r="X33" s="147"/>
      <c r="Y33" s="147"/>
      <c r="Z33" s="147"/>
      <c r="AA33" s="176"/>
      <c r="AB33" s="147"/>
    </row>
    <row r="34" spans="3:28" outlineLevel="2" x14ac:dyDescent="0.35">
      <c r="E34" s="8" t="s">
        <v>99</v>
      </c>
      <c r="G34" s="22" t="s">
        <v>34</v>
      </c>
      <c r="J34" s="134">
        <f t="shared" ref="J34:S34" si="4">SUM(J32:J33)</f>
        <v>2.4333831775700938</v>
      </c>
      <c r="K34" s="134">
        <f t="shared" si="4"/>
        <v>2.4418563535911608</v>
      </c>
      <c r="L34" s="134">
        <f t="shared" si="4"/>
        <v>2.7149999999999999</v>
      </c>
      <c r="M34" s="134">
        <f t="shared" si="4"/>
        <v>1.9631162529999999</v>
      </c>
      <c r="N34" s="134">
        <f t="shared" si="4"/>
        <v>1.9344504179999999</v>
      </c>
      <c r="O34" s="134">
        <f t="shared" si="4"/>
        <v>3.0647927080000001</v>
      </c>
      <c r="P34" s="134">
        <f t="shared" si="4"/>
        <v>3.0901431690000001</v>
      </c>
      <c r="Q34" s="134">
        <f t="shared" si="4"/>
        <v>3.1155018559999998</v>
      </c>
      <c r="R34" s="134">
        <f t="shared" si="4"/>
        <v>3.1418688129999999</v>
      </c>
      <c r="S34" s="134">
        <f t="shared" si="4"/>
        <v>3.1672440960000001</v>
      </c>
      <c r="T34" s="138"/>
      <c r="U34" s="134">
        <f>SUM(U32:U33)</f>
        <v>3.1159101283999999</v>
      </c>
      <c r="V34" s="134">
        <f>SUM(V32:V33)</f>
        <v>15.579550641999999</v>
      </c>
      <c r="AA34" s="177"/>
    </row>
    <row r="35" spans="3:28" outlineLevel="1" x14ac:dyDescent="0.35">
      <c r="J35" s="112"/>
      <c r="K35" s="112"/>
      <c r="L35" s="112"/>
      <c r="M35" s="112"/>
      <c r="N35" s="112"/>
      <c r="O35" s="112"/>
      <c r="P35" s="112"/>
      <c r="Q35" s="112"/>
      <c r="R35" s="112"/>
      <c r="S35" s="112"/>
      <c r="T35" s="138"/>
      <c r="U35" s="112"/>
      <c r="V35" s="112"/>
      <c r="AA35" s="177"/>
    </row>
    <row r="36" spans="3:28" ht="13.5" outlineLevel="1" thickBot="1" x14ac:dyDescent="0.4">
      <c r="C36" s="24" t="str">
        <f>INDEX(InpC!$E$25:$E$42,G36)</f>
        <v>Southern Water</v>
      </c>
      <c r="F36" s="113" t="str">
        <f>INDEX(InpC!$F$25:$F$42,G36,)</f>
        <v>SRN</v>
      </c>
      <c r="G36" s="131">
        <v>6</v>
      </c>
      <c r="J36" s="112"/>
      <c r="K36" s="112"/>
      <c r="L36" s="112"/>
      <c r="M36" s="112"/>
      <c r="N36" s="112"/>
      <c r="O36" s="112"/>
      <c r="P36" s="112"/>
      <c r="Q36" s="112"/>
      <c r="R36" s="112"/>
      <c r="S36" s="112"/>
      <c r="T36" s="138"/>
      <c r="U36" s="112"/>
      <c r="V36" s="112"/>
      <c r="AA36" s="177"/>
    </row>
    <row r="37" spans="3:28" ht="25.5" outlineLevel="2" x14ac:dyDescent="0.35">
      <c r="E37" s="8" t="s">
        <v>205</v>
      </c>
      <c r="G37" s="22" t="s">
        <v>34</v>
      </c>
      <c r="J37" s="112">
        <f>INDEX('Traffic Management Act'!J$71:J$88,'Analysis (TMA)'!$G36,)</f>
        <v>1.2197588785046729</v>
      </c>
      <c r="K37" s="112">
        <f>INDEX('Traffic Management Act'!K$71:K$88,'Analysis (TMA)'!$G36,)</f>
        <v>1.1211988950276246</v>
      </c>
      <c r="L37" s="112">
        <f>INDEX('Traffic Management Act'!L$71:L$88,'Analysis (TMA)'!$G36,)</f>
        <v>1.4830000000000001</v>
      </c>
      <c r="M37" s="112">
        <f>INDEX('Traffic Management Act'!M$71:M$88,'Analysis (TMA)'!$G36,)</f>
        <v>1.5129999999999999</v>
      </c>
      <c r="N37" s="112">
        <f>INDEX('Traffic Management Act'!N$71:N$88,'Analysis (TMA)'!$G36,)</f>
        <v>2.335</v>
      </c>
      <c r="O37" s="112">
        <f>INDEX('Traffic Management Act'!O$71:O$88,'Analysis (TMA)'!$G36,)</f>
        <v>2.335</v>
      </c>
      <c r="P37" s="112">
        <f>INDEX('Traffic Management Act'!P$71:P$88,'Analysis (TMA)'!$G36,)</f>
        <v>2.335</v>
      </c>
      <c r="Q37" s="112">
        <f>INDEX('Traffic Management Act'!Q$71:Q$88,'Analysis (TMA)'!$G36,)</f>
        <v>2.335</v>
      </c>
      <c r="R37" s="112">
        <f>INDEX('Traffic Management Act'!R$71:R$88,'Analysis (TMA)'!$G36,)</f>
        <v>2.335</v>
      </c>
      <c r="S37" s="112">
        <f>INDEX('Traffic Management Act'!S$71:S$88,'Analysis (TMA)'!$G36,)</f>
        <v>2.335</v>
      </c>
      <c r="T37" s="138"/>
      <c r="U37" s="112">
        <f>IFERROR(AVERAGE(O37:S37),0)</f>
        <v>2.335</v>
      </c>
      <c r="V37" s="112">
        <f>SUM(O37:S37)</f>
        <v>11.675000000000001</v>
      </c>
      <c r="X37" s="241" t="s">
        <v>206</v>
      </c>
      <c r="Y37" s="243" t="s">
        <v>212</v>
      </c>
      <c r="Z37" s="175" t="s">
        <v>207</v>
      </c>
      <c r="AA37" s="175" t="s">
        <v>208</v>
      </c>
      <c r="AB37" s="241"/>
    </row>
    <row r="38" spans="3:28" ht="13.5" outlineLevel="2" thickBot="1" x14ac:dyDescent="0.4">
      <c r="E38" s="8" t="s">
        <v>209</v>
      </c>
      <c r="G38" s="22" t="s">
        <v>34</v>
      </c>
      <c r="J38" s="112">
        <f>INDEX('Traffic Management Act'!J$149:J$166,'Analysis (TMA)'!$G36,)</f>
        <v>0.13496074766355143</v>
      </c>
      <c r="K38" s="112">
        <f>INDEX('Traffic Management Act'!K$149:K$166,'Analysis (TMA)'!$G36,)</f>
        <v>0.12491344383057093</v>
      </c>
      <c r="L38" s="112">
        <f>INDEX('Traffic Management Act'!L$149:L$166,'Analysis (TMA)'!$G36,)</f>
        <v>0.16500000000000001</v>
      </c>
      <c r="M38" s="112">
        <f>INDEX('Traffic Management Act'!M$149:M$166,'Analysis (TMA)'!$G36,)</f>
        <v>0.16900000000000001</v>
      </c>
      <c r="N38" s="112">
        <f>INDEX('Traffic Management Act'!N$149:N$166,'Analysis (TMA)'!$G36,)</f>
        <v>0.25900000000000001</v>
      </c>
      <c r="O38" s="112">
        <f>INDEX('Traffic Management Act'!O$149:O$166,'Analysis (TMA)'!$G36,)</f>
        <v>0.25952052086028288</v>
      </c>
      <c r="P38" s="112">
        <f>INDEX('Traffic Management Act'!P$149:P$166,'Analysis (TMA)'!$G36,)</f>
        <v>0.25952052086028288</v>
      </c>
      <c r="Q38" s="112">
        <f>INDEX('Traffic Management Act'!Q$149:Q$166,'Analysis (TMA)'!$G36,)</f>
        <v>0.25952052086028288</v>
      </c>
      <c r="R38" s="112">
        <f>INDEX('Traffic Management Act'!R$149:R$166,'Analysis (TMA)'!$G36,)</f>
        <v>0.25952052086028288</v>
      </c>
      <c r="S38" s="112">
        <f>INDEX('Traffic Management Act'!S$149:S$166,'Analysis (TMA)'!$G36,)</f>
        <v>0.25952052086028288</v>
      </c>
      <c r="T38" s="138"/>
      <c r="U38" s="112">
        <f>IFERROR(AVERAGE(O38:S38),0)</f>
        <v>0.25952052086028288</v>
      </c>
      <c r="V38" s="112">
        <f>SUM(O38:S38)</f>
        <v>1.2976026043014144</v>
      </c>
      <c r="X38" s="242"/>
      <c r="Y38" s="248"/>
      <c r="Z38" s="147"/>
      <c r="AA38" s="176"/>
      <c r="AB38" s="242"/>
    </row>
    <row r="39" spans="3:28" outlineLevel="2" x14ac:dyDescent="0.35">
      <c r="E39" s="8" t="s">
        <v>99</v>
      </c>
      <c r="G39" s="22" t="s">
        <v>34</v>
      </c>
      <c r="J39" s="134">
        <f t="shared" ref="J39:S39" si="5">SUM(J37:J38)</f>
        <v>1.3547196261682244</v>
      </c>
      <c r="K39" s="134">
        <f t="shared" si="5"/>
        <v>1.2461123388581956</v>
      </c>
      <c r="L39" s="134">
        <f t="shared" si="5"/>
        <v>1.6480000000000001</v>
      </c>
      <c r="M39" s="134">
        <f t="shared" si="5"/>
        <v>1.6819999999999999</v>
      </c>
      <c r="N39" s="134">
        <f t="shared" si="5"/>
        <v>2.5939999999999999</v>
      </c>
      <c r="O39" s="134">
        <f t="shared" si="5"/>
        <v>2.5945205208602831</v>
      </c>
      <c r="P39" s="134">
        <f t="shared" si="5"/>
        <v>2.5945205208602831</v>
      </c>
      <c r="Q39" s="134">
        <f t="shared" si="5"/>
        <v>2.5945205208602831</v>
      </c>
      <c r="R39" s="134">
        <f t="shared" si="5"/>
        <v>2.5945205208602831</v>
      </c>
      <c r="S39" s="134">
        <f t="shared" si="5"/>
        <v>2.5945205208602831</v>
      </c>
      <c r="T39" s="138"/>
      <c r="U39" s="134">
        <f>SUM(U37:U38)</f>
        <v>2.5945205208602831</v>
      </c>
      <c r="V39" s="134">
        <f>SUM(V37:V38)</f>
        <v>12.972602604301414</v>
      </c>
      <c r="AA39" s="177"/>
    </row>
    <row r="40" spans="3:28" outlineLevel="1" x14ac:dyDescent="0.35">
      <c r="J40" s="112"/>
      <c r="K40" s="112"/>
      <c r="L40" s="112"/>
      <c r="M40" s="112"/>
      <c r="N40" s="112"/>
      <c r="O40" s="112"/>
      <c r="P40" s="112"/>
      <c r="Q40" s="112"/>
      <c r="R40" s="112"/>
      <c r="S40" s="112"/>
      <c r="T40" s="138"/>
      <c r="U40" s="112"/>
      <c r="V40" s="112"/>
      <c r="AA40" s="177"/>
    </row>
    <row r="41" spans="3:28" ht="13.5" outlineLevel="1" thickBot="1" x14ac:dyDescent="0.4">
      <c r="C41" s="24" t="str">
        <f>INDEX(InpC!$E$25:$E$42,G41)</f>
        <v>Thames Water</v>
      </c>
      <c r="F41" s="113" t="str">
        <f>INDEX(InpC!$F$25:$F$42,G41,)</f>
        <v>TMS</v>
      </c>
      <c r="G41" s="131">
        <v>7</v>
      </c>
      <c r="J41" s="112"/>
      <c r="K41" s="112"/>
      <c r="L41" s="112"/>
      <c r="M41" s="112"/>
      <c r="N41" s="112"/>
      <c r="O41" s="112"/>
      <c r="P41" s="112"/>
      <c r="Q41" s="112"/>
      <c r="R41" s="112"/>
      <c r="S41" s="112"/>
      <c r="T41" s="138"/>
      <c r="U41" s="112"/>
      <c r="V41" s="112"/>
      <c r="AA41" s="177"/>
    </row>
    <row r="42" spans="3:28" ht="51" outlineLevel="2" x14ac:dyDescent="0.35">
      <c r="E42" s="8" t="s">
        <v>205</v>
      </c>
      <c r="G42" s="22" t="s">
        <v>34</v>
      </c>
      <c r="J42" s="112">
        <f>INDEX('Traffic Management Act'!J$71:J$88,'Analysis (TMA)'!$G41,)</f>
        <v>21.773667289719626</v>
      </c>
      <c r="K42" s="112">
        <f>INDEX('Traffic Management Act'!K$71:K$88,'Analysis (TMA)'!$G41,)</f>
        <v>25.300009208103134</v>
      </c>
      <c r="L42" s="112">
        <f>INDEX('Traffic Management Act'!L$71:L$88,'Analysis (TMA)'!$G41,)</f>
        <v>32.451000000000001</v>
      </c>
      <c r="M42" s="112">
        <f>INDEX('Traffic Management Act'!M$71:M$88,'Analysis (TMA)'!$G41,)</f>
        <v>26.219165085388969</v>
      </c>
      <c r="N42" s="112">
        <f>INDEX('Traffic Management Act'!N$71:N$88,'Analysis (TMA)'!$G41,)</f>
        <v>33.487000000000002</v>
      </c>
      <c r="O42" s="112">
        <f>INDEX('Traffic Management Act'!O$71:O$88,'Analysis (TMA)'!$G41,)</f>
        <v>34.353999999999999</v>
      </c>
      <c r="P42" s="112">
        <f>INDEX('Traffic Management Act'!P$71:P$88,'Analysis (TMA)'!$G41,)</f>
        <v>34.353999999999999</v>
      </c>
      <c r="Q42" s="112">
        <f>INDEX('Traffic Management Act'!Q$71:Q$88,'Analysis (TMA)'!$G41,)</f>
        <v>34.353999999999999</v>
      </c>
      <c r="R42" s="112">
        <f>INDEX('Traffic Management Act'!R$71:R$88,'Analysis (TMA)'!$G41,)</f>
        <v>34.353999999999999</v>
      </c>
      <c r="S42" s="112">
        <f>INDEX('Traffic Management Act'!S$71:S$88,'Analysis (TMA)'!$G41,)</f>
        <v>34.353999999999999</v>
      </c>
      <c r="T42" s="138"/>
      <c r="U42" s="112">
        <f>IFERROR(AVERAGE(O42:S42),0)</f>
        <v>34.353999999999999</v>
      </c>
      <c r="V42" s="112">
        <f>SUM(O42:S42)</f>
        <v>171.76999999999998</v>
      </c>
      <c r="X42" s="195" t="s">
        <v>206</v>
      </c>
      <c r="Y42" s="196" t="s">
        <v>213</v>
      </c>
      <c r="Z42" s="175" t="s">
        <v>207</v>
      </c>
      <c r="AA42" s="175" t="s">
        <v>208</v>
      </c>
      <c r="AB42" s="146"/>
    </row>
    <row r="43" spans="3:28" ht="13.5" outlineLevel="2" thickBot="1" x14ac:dyDescent="0.4">
      <c r="E43" s="8" t="s">
        <v>209</v>
      </c>
      <c r="G43" s="22" t="s">
        <v>34</v>
      </c>
      <c r="J43" s="112">
        <f>INDEX('Traffic Management Act'!J$149:J$166,'Analysis (TMA)'!$G41,)</f>
        <v>1.4477607476635515</v>
      </c>
      <c r="K43" s="112">
        <f>INDEX('Traffic Management Act'!K$149:K$166,'Analysis (TMA)'!$G41,)</f>
        <v>2.3360828729281771</v>
      </c>
      <c r="L43" s="112">
        <f>INDEX('Traffic Management Act'!L$149:L$166,'Analysis (TMA)'!$G41,)</f>
        <v>0.64900000000000002</v>
      </c>
      <c r="M43" s="112">
        <f>INDEX('Traffic Management Act'!M$149:M$166,'Analysis (TMA)'!$G41,)</f>
        <v>0.96489563567362335</v>
      </c>
      <c r="N43" s="112">
        <f>INDEX('Traffic Management Act'!N$149:N$166,'Analysis (TMA)'!$G41,)</f>
        <v>0.55000000000000004</v>
      </c>
      <c r="O43" s="112">
        <f>INDEX('Traffic Management Act'!O$149:O$166,'Analysis (TMA)'!$G41,)</f>
        <v>0.56400000000000006</v>
      </c>
      <c r="P43" s="112">
        <f>INDEX('Traffic Management Act'!P$149:P$166,'Analysis (TMA)'!$G41,)</f>
        <v>0.56400000000000006</v>
      </c>
      <c r="Q43" s="112">
        <f>INDEX('Traffic Management Act'!Q$149:Q$166,'Analysis (TMA)'!$G41,)</f>
        <v>0.56400000000000006</v>
      </c>
      <c r="R43" s="112">
        <f>INDEX('Traffic Management Act'!R$149:R$166,'Analysis (TMA)'!$G41,)</f>
        <v>0.55100000000000005</v>
      </c>
      <c r="S43" s="112">
        <f>INDEX('Traffic Management Act'!S$149:S$166,'Analysis (TMA)'!$G41,)</f>
        <v>0.55100000000000005</v>
      </c>
      <c r="T43" s="138"/>
      <c r="U43" s="112">
        <f>IFERROR(AVERAGE(O43:S43),0)</f>
        <v>0.55880000000000007</v>
      </c>
      <c r="V43" s="112">
        <f>SUM(O43:S43)</f>
        <v>2.7940000000000005</v>
      </c>
      <c r="X43" s="147"/>
      <c r="Y43" s="147"/>
      <c r="Z43" s="147"/>
      <c r="AA43" s="176"/>
      <c r="AB43" s="147"/>
    </row>
    <row r="44" spans="3:28" outlineLevel="2" x14ac:dyDescent="0.35">
      <c r="E44" s="8" t="s">
        <v>99</v>
      </c>
      <c r="G44" s="22" t="s">
        <v>34</v>
      </c>
      <c r="J44" s="134">
        <f t="shared" ref="J44:S44" si="6">SUM(J42:J43)</f>
        <v>23.221428037383177</v>
      </c>
      <c r="K44" s="134">
        <f t="shared" si="6"/>
        <v>27.636092081031311</v>
      </c>
      <c r="L44" s="134">
        <f t="shared" si="6"/>
        <v>33.1</v>
      </c>
      <c r="M44" s="134">
        <f t="shared" si="6"/>
        <v>27.184060721062593</v>
      </c>
      <c r="N44" s="134">
        <f t="shared" si="6"/>
        <v>34.036999999999999</v>
      </c>
      <c r="O44" s="134">
        <f t="shared" si="6"/>
        <v>34.917999999999999</v>
      </c>
      <c r="P44" s="134">
        <f t="shared" si="6"/>
        <v>34.917999999999999</v>
      </c>
      <c r="Q44" s="134">
        <f t="shared" si="6"/>
        <v>34.917999999999999</v>
      </c>
      <c r="R44" s="134">
        <f t="shared" si="6"/>
        <v>34.905000000000001</v>
      </c>
      <c r="S44" s="134">
        <f t="shared" si="6"/>
        <v>34.905000000000001</v>
      </c>
      <c r="T44" s="138"/>
      <c r="U44" s="134">
        <f>SUM(U42:U43)</f>
        <v>34.912799999999997</v>
      </c>
      <c r="V44" s="134">
        <f>SUM(V42:V43)</f>
        <v>174.56399999999999</v>
      </c>
      <c r="AA44" s="177"/>
    </row>
    <row r="45" spans="3:28" outlineLevel="1" x14ac:dyDescent="0.35">
      <c r="J45" s="112"/>
      <c r="K45" s="112"/>
      <c r="L45" s="112"/>
      <c r="M45" s="112"/>
      <c r="N45" s="112"/>
      <c r="O45" s="112"/>
      <c r="P45" s="112"/>
      <c r="Q45" s="112"/>
      <c r="R45" s="112"/>
      <c r="S45" s="112"/>
      <c r="T45" s="138"/>
      <c r="U45" s="112"/>
      <c r="V45" s="112"/>
      <c r="AA45" s="177"/>
    </row>
    <row r="46" spans="3:28" ht="13.5" outlineLevel="1" thickBot="1" x14ac:dyDescent="0.4">
      <c r="C46" s="24" t="str">
        <f>INDEX(InpC!$E$25:$E$42,G46)</f>
        <v>United Utilities</v>
      </c>
      <c r="F46" s="113" t="str">
        <f>INDEX(InpC!$F$25:$F$42,G46,)</f>
        <v>NWT</v>
      </c>
      <c r="G46" s="131">
        <v>8</v>
      </c>
      <c r="J46" s="112"/>
      <c r="K46" s="112"/>
      <c r="L46" s="112"/>
      <c r="M46" s="112"/>
      <c r="N46" s="112"/>
      <c r="O46" s="112"/>
      <c r="P46" s="112"/>
      <c r="Q46" s="112"/>
      <c r="R46" s="112"/>
      <c r="S46" s="112"/>
      <c r="T46" s="138"/>
      <c r="U46" s="112"/>
      <c r="V46" s="112"/>
      <c r="AA46" s="177"/>
    </row>
    <row r="47" spans="3:28" ht="25.5" outlineLevel="2" x14ac:dyDescent="0.35">
      <c r="E47" s="8" t="s">
        <v>205</v>
      </c>
      <c r="G47" s="22" t="s">
        <v>34</v>
      </c>
      <c r="J47" s="112">
        <f>INDEX('Traffic Management Act'!J$71:J$88,'Analysis (TMA)'!$G46,)</f>
        <v>1.8459450397717769</v>
      </c>
      <c r="K47" s="112">
        <f>INDEX('Traffic Management Act'!K$71:K$88,'Analysis (TMA)'!$G46,)</f>
        <v>2.1356715125888646</v>
      </c>
      <c r="L47" s="112">
        <f>INDEX('Traffic Management Act'!L$71:L$88,'Analysis (TMA)'!$G46,)</f>
        <v>2.0464701721890868</v>
      </c>
      <c r="M47" s="112">
        <f>INDEX('Traffic Management Act'!M$71:M$88,'Analysis (TMA)'!$G46,)</f>
        <v>1.6817143322179799</v>
      </c>
      <c r="N47" s="112">
        <f>INDEX('Traffic Management Act'!N$71:N$88,'Analysis (TMA)'!$G46,)</f>
        <v>1.8641387491075021</v>
      </c>
      <c r="O47" s="112">
        <f>INDEX('Traffic Management Act'!O$71:O$88,'Analysis (TMA)'!$G46,)</f>
        <v>1.864022610627089</v>
      </c>
      <c r="P47" s="112">
        <f>INDEX('Traffic Management Act'!P$71:P$88,'Analysis (TMA)'!$G46,)</f>
        <v>1.864022610627089</v>
      </c>
      <c r="Q47" s="112">
        <f>INDEX('Traffic Management Act'!Q$71:Q$88,'Analysis (TMA)'!$G46,)</f>
        <v>1.8640226106270901</v>
      </c>
      <c r="R47" s="112">
        <f>INDEX('Traffic Management Act'!R$71:R$88,'Analysis (TMA)'!$G46,)</f>
        <v>1.8640226106270901</v>
      </c>
      <c r="S47" s="112">
        <f>INDEX('Traffic Management Act'!S$71:S$88,'Analysis (TMA)'!$G46,)</f>
        <v>1.8640226106270901</v>
      </c>
      <c r="T47" s="138"/>
      <c r="U47" s="112">
        <f>IFERROR(AVERAGE(O47:S47),0)</f>
        <v>1.8640226106270898</v>
      </c>
      <c r="V47" s="112">
        <f>SUM(O47:S47)</f>
        <v>9.320113053135449</v>
      </c>
      <c r="X47" s="244" t="s">
        <v>206</v>
      </c>
      <c r="Y47" s="246" t="s">
        <v>214</v>
      </c>
      <c r="Z47" s="175" t="s">
        <v>207</v>
      </c>
      <c r="AA47" s="175" t="s">
        <v>208</v>
      </c>
      <c r="AB47" s="241"/>
    </row>
    <row r="48" spans="3:28" ht="13.5" outlineLevel="2" thickBot="1" x14ac:dyDescent="0.4">
      <c r="E48" s="8" t="s">
        <v>209</v>
      </c>
      <c r="G48" s="22" t="s">
        <v>34</v>
      </c>
      <c r="J48" s="112">
        <f>INDEX('Traffic Management Act'!J$149:J$166,'Analysis (TMA)'!$G46,)</f>
        <v>0.2856021227092686</v>
      </c>
      <c r="K48" s="112">
        <f>INDEX('Traffic Management Act'!K$149:K$166,'Analysis (TMA)'!$G46,)</f>
        <v>0.48528858277783932</v>
      </c>
      <c r="L48" s="112">
        <f>INDEX('Traffic Management Act'!L$149:L$166,'Analysis (TMA)'!$G46,)</f>
        <v>0.64722937905458577</v>
      </c>
      <c r="M48" s="112">
        <f>INDEX('Traffic Management Act'!M$149:M$166,'Analysis (TMA)'!$G46,)</f>
        <v>0.50096218745529963</v>
      </c>
      <c r="N48" s="112">
        <f>INDEX('Traffic Management Act'!N$149:N$166,'Analysis (TMA)'!$G46,)</f>
        <v>0.36829385253366581</v>
      </c>
      <c r="O48" s="112">
        <f>INDEX('Traffic Management Act'!O$149:O$166,'Analysis (TMA)'!$G46,)</f>
        <v>0.36827090730579631</v>
      </c>
      <c r="P48" s="112">
        <f>INDEX('Traffic Management Act'!P$149:P$166,'Analysis (TMA)'!$G46,)</f>
        <v>0.36827090730579631</v>
      </c>
      <c r="Q48" s="112">
        <f>INDEX('Traffic Management Act'!Q$149:Q$166,'Analysis (TMA)'!$G46,)</f>
        <v>0.36827090730579631</v>
      </c>
      <c r="R48" s="112">
        <f>INDEX('Traffic Management Act'!R$149:R$166,'Analysis (TMA)'!$G46,)</f>
        <v>0.36827090730579631</v>
      </c>
      <c r="S48" s="112">
        <f>INDEX('Traffic Management Act'!S$149:S$166,'Analysis (TMA)'!$G46,)</f>
        <v>0.36827090730579631</v>
      </c>
      <c r="T48" s="138"/>
      <c r="U48" s="112">
        <f>IFERROR(AVERAGE(O48:S48),0)</f>
        <v>0.36827090730579631</v>
      </c>
      <c r="V48" s="112">
        <f>SUM(O48:S48)</f>
        <v>1.8413545365289816</v>
      </c>
      <c r="X48" s="245"/>
      <c r="Y48" s="247"/>
      <c r="Z48" s="147"/>
      <c r="AA48" s="176"/>
      <c r="AB48" s="242"/>
    </row>
    <row r="49" spans="3:28" outlineLevel="2" x14ac:dyDescent="0.35">
      <c r="E49" s="8" t="s">
        <v>99</v>
      </c>
      <c r="G49" s="22" t="s">
        <v>34</v>
      </c>
      <c r="J49" s="134">
        <f t="shared" ref="J49:S49" si="7">SUM(J47:J48)</f>
        <v>2.1315471624810454</v>
      </c>
      <c r="K49" s="134">
        <f t="shared" si="7"/>
        <v>2.620960095366704</v>
      </c>
      <c r="L49" s="134">
        <f t="shared" si="7"/>
        <v>2.6936995512436726</v>
      </c>
      <c r="M49" s="134">
        <f t="shared" si="7"/>
        <v>2.1826765196732794</v>
      </c>
      <c r="N49" s="134">
        <f t="shared" si="7"/>
        <v>2.2324326016411677</v>
      </c>
      <c r="O49" s="134">
        <f t="shared" si="7"/>
        <v>2.2322935179328853</v>
      </c>
      <c r="P49" s="134">
        <f t="shared" si="7"/>
        <v>2.2322935179328853</v>
      </c>
      <c r="Q49" s="134">
        <f t="shared" si="7"/>
        <v>2.2322935179328862</v>
      </c>
      <c r="R49" s="134">
        <f t="shared" si="7"/>
        <v>2.2322935179328862</v>
      </c>
      <c r="S49" s="134">
        <f t="shared" si="7"/>
        <v>2.2322935179328862</v>
      </c>
      <c r="T49" s="138"/>
      <c r="U49" s="134">
        <f>SUM(U47:U48)</f>
        <v>2.2322935179328862</v>
      </c>
      <c r="V49" s="134">
        <f>SUM(V47:V48)</f>
        <v>11.161467589664431</v>
      </c>
      <c r="AA49" s="177"/>
    </row>
    <row r="50" spans="3:28" outlineLevel="1" x14ac:dyDescent="0.35">
      <c r="J50" s="112"/>
      <c r="K50" s="112"/>
      <c r="L50" s="112"/>
      <c r="M50" s="112"/>
      <c r="N50" s="112"/>
      <c r="O50" s="112"/>
      <c r="P50" s="112"/>
      <c r="Q50" s="112"/>
      <c r="R50" s="112"/>
      <c r="S50" s="112"/>
      <c r="T50" s="138"/>
      <c r="U50" s="112"/>
      <c r="V50" s="112"/>
      <c r="AA50" s="177"/>
    </row>
    <row r="51" spans="3:28" ht="13.5" outlineLevel="1" thickBot="1" x14ac:dyDescent="0.4">
      <c r="C51" s="24" t="str">
        <f>INDEX(InpC!$E$25:$E$42,G51)</f>
        <v>Wessex Water</v>
      </c>
      <c r="F51" s="113" t="str">
        <f>INDEX(InpC!$F$25:$F$42,G51,)</f>
        <v>WSX</v>
      </c>
      <c r="G51" s="131">
        <v>9</v>
      </c>
      <c r="J51" s="112"/>
      <c r="K51" s="112"/>
      <c r="L51" s="112"/>
      <c r="M51" s="112"/>
      <c r="N51" s="112"/>
      <c r="O51" s="112"/>
      <c r="P51" s="112"/>
      <c r="Q51" s="112"/>
      <c r="R51" s="112"/>
      <c r="S51" s="112"/>
      <c r="T51" s="138"/>
      <c r="U51" s="112"/>
      <c r="V51" s="112"/>
      <c r="AA51" s="177"/>
    </row>
    <row r="52" spans="3:28" ht="25.5" outlineLevel="2" x14ac:dyDescent="0.35">
      <c r="E52" s="8" t="s">
        <v>205</v>
      </c>
      <c r="G52" s="22" t="s">
        <v>34</v>
      </c>
      <c r="J52" s="112">
        <f>INDEX('Traffic Management Act'!J$71:J$88,'Analysis (TMA)'!$G51,)</f>
        <v>0.10068112672897198</v>
      </c>
      <c r="K52" s="112">
        <f>INDEX('Traffic Management Act'!K$71:K$88,'Analysis (TMA)'!$G51,)</f>
        <v>0.12289871086556171</v>
      </c>
      <c r="L52" s="112">
        <f>INDEX('Traffic Management Act'!L$71:L$88,'Analysis (TMA)'!$G51,)</f>
        <v>0.153</v>
      </c>
      <c r="M52" s="112">
        <f>INDEX('Traffic Management Act'!M$71:M$88,'Analysis (TMA)'!$G51,)</f>
        <v>0.11653587012320329</v>
      </c>
      <c r="N52" s="112">
        <f>INDEX('Traffic Management Act'!N$71:N$88,'Analysis (TMA)'!$G51,)</f>
        <v>0.113737443673724</v>
      </c>
      <c r="O52" s="112">
        <f>INDEX('Traffic Management Act'!O$71:O$88,'Analysis (TMA)'!$G51,)</f>
        <v>9.1269360515188233E-2</v>
      </c>
      <c r="P52" s="112">
        <f>INDEX('Traffic Management Act'!P$71:P$88,'Analysis (TMA)'!$G51,)</f>
        <v>9.6837609957494603E-2</v>
      </c>
      <c r="Q52" s="112">
        <f>INDEX('Traffic Management Act'!Q$71:Q$88,'Analysis (TMA)'!$G51,)</f>
        <v>9.6132890631344448E-2</v>
      </c>
      <c r="R52" s="112">
        <f>INDEX('Traffic Management Act'!R$71:R$88,'Analysis (TMA)'!$G51,)</f>
        <v>9.5660761539398328E-2</v>
      </c>
      <c r="S52" s="112">
        <f>INDEX('Traffic Management Act'!S$71:S$88,'Analysis (TMA)'!$G51,)</f>
        <v>0.100264359925965</v>
      </c>
      <c r="T52" s="138"/>
      <c r="U52" s="112">
        <f>IFERROR(AVERAGE(O52:S52),0)</f>
        <v>9.6032996513878116E-2</v>
      </c>
      <c r="V52" s="112">
        <f>SUM(O52:S52)</f>
        <v>0.48016498256939061</v>
      </c>
      <c r="X52" s="146" t="s">
        <v>206</v>
      </c>
      <c r="Y52" s="146" t="s">
        <v>206</v>
      </c>
      <c r="Z52" s="175" t="s">
        <v>207</v>
      </c>
      <c r="AA52" s="175" t="s">
        <v>208</v>
      </c>
      <c r="AB52" s="146"/>
    </row>
    <row r="53" spans="3:28" ht="13.5" outlineLevel="2" thickBot="1" x14ac:dyDescent="0.4">
      <c r="E53" s="8" t="s">
        <v>209</v>
      </c>
      <c r="G53" s="22" t="s">
        <v>34</v>
      </c>
      <c r="J53" s="112">
        <f>INDEX('Traffic Management Act'!J$149:J$166,'Analysis (TMA)'!$G51,)</f>
        <v>9.8964057943925349E-3</v>
      </c>
      <c r="K53" s="112">
        <f>INDEX('Traffic Management Act'!K$149:K$166,'Analysis (TMA)'!$G51,)</f>
        <v>1.9139963167587482E-2</v>
      </c>
      <c r="L53" s="112">
        <f>INDEX('Traffic Management Act'!L$149:L$166,'Analysis (TMA)'!$G51,)</f>
        <v>2.5999999999999999E-2</v>
      </c>
      <c r="M53" s="112">
        <f>INDEX('Traffic Management Act'!M$149:M$166,'Analysis (TMA)'!$G51,)</f>
        <v>1.9896368069815189E-2</v>
      </c>
      <c r="N53" s="112">
        <f>INDEX('Traffic Management Act'!N$149:N$166,'Analysis (TMA)'!$G51,)</f>
        <v>2.5999999999999999E-2</v>
      </c>
      <c r="O53" s="112">
        <f>INDEX('Traffic Management Act'!O$149:O$166,'Analysis (TMA)'!$G51,)</f>
        <v>2.5999999999999999E-2</v>
      </c>
      <c r="P53" s="112">
        <f>INDEX('Traffic Management Act'!P$149:P$166,'Analysis (TMA)'!$G51,)</f>
        <v>2.5999999999999999E-2</v>
      </c>
      <c r="Q53" s="112">
        <f>INDEX('Traffic Management Act'!Q$149:Q$166,'Analysis (TMA)'!$G51,)</f>
        <v>2.5999999999999999E-2</v>
      </c>
      <c r="R53" s="112">
        <f>INDEX('Traffic Management Act'!R$149:R$166,'Analysis (TMA)'!$G51,)</f>
        <v>2.5999999999999999E-2</v>
      </c>
      <c r="S53" s="112">
        <f>INDEX('Traffic Management Act'!S$149:S$166,'Analysis (TMA)'!$G51,)</f>
        <v>2.5999999999999999E-2</v>
      </c>
      <c r="T53" s="138"/>
      <c r="U53" s="112">
        <f>IFERROR(AVERAGE(O53:S53),0)</f>
        <v>2.6000000000000002E-2</v>
      </c>
      <c r="V53" s="112">
        <f>SUM(O53:S53)</f>
        <v>0.13</v>
      </c>
      <c r="X53" s="147"/>
      <c r="Y53" s="147"/>
      <c r="Z53" s="147"/>
      <c r="AA53" s="176"/>
      <c r="AB53" s="147"/>
    </row>
    <row r="54" spans="3:28" outlineLevel="2" x14ac:dyDescent="0.35">
      <c r="E54" s="8" t="s">
        <v>99</v>
      </c>
      <c r="G54" s="22" t="s">
        <v>34</v>
      </c>
      <c r="J54" s="134">
        <f t="shared" ref="J54:S54" si="8">SUM(J52:J53)</f>
        <v>0.11057753252336451</v>
      </c>
      <c r="K54" s="134">
        <f t="shared" si="8"/>
        <v>0.14203867403314918</v>
      </c>
      <c r="L54" s="134">
        <f t="shared" si="8"/>
        <v>0.17899999999999999</v>
      </c>
      <c r="M54" s="134">
        <f t="shared" si="8"/>
        <v>0.13643223819301847</v>
      </c>
      <c r="N54" s="134">
        <f t="shared" si="8"/>
        <v>0.13973744367372401</v>
      </c>
      <c r="O54" s="134">
        <f t="shared" si="8"/>
        <v>0.11726936051518823</v>
      </c>
      <c r="P54" s="134">
        <f t="shared" si="8"/>
        <v>0.1228376099574946</v>
      </c>
      <c r="Q54" s="134">
        <f t="shared" si="8"/>
        <v>0.12213289063134444</v>
      </c>
      <c r="R54" s="134">
        <f t="shared" si="8"/>
        <v>0.12166076153939832</v>
      </c>
      <c r="S54" s="134">
        <f t="shared" si="8"/>
        <v>0.12626435992596499</v>
      </c>
      <c r="T54" s="138"/>
      <c r="U54" s="134">
        <f>SUM(U52:U53)</f>
        <v>0.12203299651387811</v>
      </c>
      <c r="V54" s="134">
        <f>SUM(V52:V53)</f>
        <v>0.61016498256939067</v>
      </c>
      <c r="AA54" s="177"/>
    </row>
    <row r="55" spans="3:28" outlineLevel="1" x14ac:dyDescent="0.35">
      <c r="J55" s="112"/>
      <c r="K55" s="112"/>
      <c r="L55" s="112"/>
      <c r="M55" s="112"/>
      <c r="N55" s="112"/>
      <c r="O55" s="112"/>
      <c r="P55" s="112"/>
      <c r="Q55" s="112"/>
      <c r="R55" s="112"/>
      <c r="S55" s="112"/>
      <c r="T55" s="138"/>
      <c r="U55" s="112"/>
      <c r="V55" s="112"/>
      <c r="AA55" s="177"/>
    </row>
    <row r="56" spans="3:28" ht="13.5" outlineLevel="1" thickBot="1" x14ac:dyDescent="0.4">
      <c r="C56" s="24" t="str">
        <f>INDEX(InpC!$E$25:$E$42,G56)</f>
        <v>Yorkshire Water</v>
      </c>
      <c r="F56" s="113" t="str">
        <f>INDEX(InpC!$F$25:$F$42,G56,)</f>
        <v>YKY</v>
      </c>
      <c r="G56" s="131">
        <v>10</v>
      </c>
      <c r="J56" s="112"/>
      <c r="K56" s="112"/>
      <c r="L56" s="112"/>
      <c r="M56" s="112"/>
      <c r="N56" s="112"/>
      <c r="O56" s="112"/>
      <c r="P56" s="112"/>
      <c r="Q56" s="112"/>
      <c r="R56" s="112"/>
      <c r="S56" s="112"/>
      <c r="T56" s="138"/>
      <c r="U56" s="112"/>
      <c r="V56" s="112"/>
      <c r="AA56" s="177"/>
    </row>
    <row r="57" spans="3:28" ht="51" customHeight="1" outlineLevel="2" x14ac:dyDescent="0.35">
      <c r="E57" s="8" t="s">
        <v>205</v>
      </c>
      <c r="G57" s="22" t="s">
        <v>34</v>
      </c>
      <c r="J57" s="112">
        <f>INDEX('Traffic Management Act'!J$71:J$88,'Analysis (TMA)'!$G56,)</f>
        <v>4.2931831775700937</v>
      </c>
      <c r="K57" s="112">
        <f>INDEX('Traffic Management Act'!K$71:K$88,'Analysis (TMA)'!$G56,)</f>
        <v>3.4739589344049371</v>
      </c>
      <c r="L57" s="112">
        <f>INDEX('Traffic Management Act'!L$71:L$88,'Analysis (TMA)'!$G56,)</f>
        <v>3.706</v>
      </c>
      <c r="M57" s="112">
        <f>INDEX('Traffic Management Act'!M$71:M$88,'Analysis (TMA)'!$G56,)</f>
        <v>3.0313478434561851</v>
      </c>
      <c r="N57" s="112">
        <f>INDEX('Traffic Management Act'!N$71:N$88,'Analysis (TMA)'!$G56,)</f>
        <v>3.395046778847516</v>
      </c>
      <c r="O57" s="112">
        <f>INDEX('Traffic Management Act'!O$71:O$88,'Analysis (TMA)'!$G56,)</f>
        <v>4.0256264411990781</v>
      </c>
      <c r="P57" s="112">
        <f>INDEX('Traffic Management Act'!P$71:P$88,'Analysis (TMA)'!$G56,)</f>
        <v>4.0256264411990781</v>
      </c>
      <c r="Q57" s="112">
        <f>INDEX('Traffic Management Act'!Q$71:Q$88,'Analysis (TMA)'!$G56,)</f>
        <v>4.0256264411990781</v>
      </c>
      <c r="R57" s="112">
        <f>INDEX('Traffic Management Act'!R$71:R$88,'Analysis (TMA)'!$G56,)</f>
        <v>4.0256264411990781</v>
      </c>
      <c r="S57" s="112">
        <f>INDEX('Traffic Management Act'!S$71:S$88,'Analysis (TMA)'!$G56,)</f>
        <v>4.0256264411990781</v>
      </c>
      <c r="T57" s="138"/>
      <c r="U57" s="112">
        <f>IFERROR(AVERAGE(O57:S57),0)</f>
        <v>4.0256264411990781</v>
      </c>
      <c r="V57" s="112">
        <f>SUM(O57:S57)</f>
        <v>20.128132205995392</v>
      </c>
      <c r="X57" s="241" t="s">
        <v>206</v>
      </c>
      <c r="Y57" s="249" t="s">
        <v>215</v>
      </c>
      <c r="Z57" s="175" t="s">
        <v>207</v>
      </c>
      <c r="AA57" s="175" t="s">
        <v>208</v>
      </c>
      <c r="AB57" s="241"/>
    </row>
    <row r="58" spans="3:28" ht="13.5" outlineLevel="2" thickBot="1" x14ac:dyDescent="0.4">
      <c r="E58" s="8" t="s">
        <v>209</v>
      </c>
      <c r="G58" s="22" t="s">
        <v>34</v>
      </c>
      <c r="J58" s="112">
        <f>INDEX('Traffic Management Act'!J$149:J$166,'Analysis (TMA)'!$G56,)</f>
        <v>0.30468411214953273</v>
      </c>
      <c r="K58" s="112">
        <f>INDEX('Traffic Management Act'!K$149:K$166,'Analysis (TMA)'!$G56,)</f>
        <v>0.16722283609576433</v>
      </c>
      <c r="L58" s="112">
        <f>INDEX('Traffic Management Act'!L$149:L$166,'Analysis (TMA)'!$G56,)</f>
        <v>0.13171905116610619</v>
      </c>
      <c r="M58" s="112">
        <f>INDEX('Traffic Management Act'!M$149:M$166,'Analysis (TMA)'!$G56,)</f>
        <v>0.22518462756408841</v>
      </c>
      <c r="N58" s="112">
        <f>INDEX('Traffic Management Act'!N$149:N$166,'Analysis (TMA)'!$G56,)</f>
        <v>0.20161124306834519</v>
      </c>
      <c r="O58" s="112">
        <f>INDEX('Traffic Management Act'!O$149:O$166,'Analysis (TMA)'!$G56,)</f>
        <v>0.1437048424289008</v>
      </c>
      <c r="P58" s="112">
        <f>INDEX('Traffic Management Act'!P$149:P$166,'Analysis (TMA)'!$G56,)</f>
        <v>0.1437048424289008</v>
      </c>
      <c r="Q58" s="112">
        <f>INDEX('Traffic Management Act'!Q$149:Q$166,'Analysis (TMA)'!$G56,)</f>
        <v>0.1437048424289008</v>
      </c>
      <c r="R58" s="112">
        <f>INDEX('Traffic Management Act'!R$149:R$166,'Analysis (TMA)'!$G56,)</f>
        <v>0.1437048424289008</v>
      </c>
      <c r="S58" s="112">
        <f>INDEX('Traffic Management Act'!S$149:S$166,'Analysis (TMA)'!$G56,)</f>
        <v>0.1437048424289008</v>
      </c>
      <c r="T58" s="138"/>
      <c r="U58" s="112">
        <f>IFERROR(AVERAGE(O58:S58),0)</f>
        <v>0.1437048424289008</v>
      </c>
      <c r="V58" s="112">
        <f>SUM(O58:S58)</f>
        <v>0.71852421214450402</v>
      </c>
      <c r="X58" s="242"/>
      <c r="Y58" s="250"/>
      <c r="Z58" s="147"/>
      <c r="AA58" s="176"/>
      <c r="AB58" s="242"/>
    </row>
    <row r="59" spans="3:28" outlineLevel="2" x14ac:dyDescent="0.35">
      <c r="E59" s="8" t="s">
        <v>99</v>
      </c>
      <c r="G59" s="22" t="s">
        <v>34</v>
      </c>
      <c r="J59" s="134">
        <f t="shared" ref="J59:S59" si="9">SUM(J57:J58)</f>
        <v>4.5978672897196269</v>
      </c>
      <c r="K59" s="134">
        <f t="shared" si="9"/>
        <v>3.6411817705007015</v>
      </c>
      <c r="L59" s="134">
        <f t="shared" si="9"/>
        <v>3.8377190511661063</v>
      </c>
      <c r="M59" s="134">
        <f t="shared" si="9"/>
        <v>3.2565324710202734</v>
      </c>
      <c r="N59" s="134">
        <f t="shared" si="9"/>
        <v>3.5966580219158613</v>
      </c>
      <c r="O59" s="134">
        <f t="shared" si="9"/>
        <v>4.1693312836279786</v>
      </c>
      <c r="P59" s="134">
        <f t="shared" si="9"/>
        <v>4.1693312836279786</v>
      </c>
      <c r="Q59" s="134">
        <f t="shared" si="9"/>
        <v>4.1693312836279786</v>
      </c>
      <c r="R59" s="134">
        <f t="shared" si="9"/>
        <v>4.1693312836279786</v>
      </c>
      <c r="S59" s="134">
        <f t="shared" si="9"/>
        <v>4.1693312836279786</v>
      </c>
      <c r="T59" s="138"/>
      <c r="U59" s="134">
        <f>SUM(U57:U58)</f>
        <v>4.1693312836279786</v>
      </c>
      <c r="V59" s="134">
        <f>SUM(V57:V58)</f>
        <v>20.846656418139897</v>
      </c>
      <c r="AA59" s="177"/>
    </row>
    <row r="60" spans="3:28" outlineLevel="1" x14ac:dyDescent="0.35">
      <c r="J60" s="112"/>
      <c r="K60" s="112"/>
      <c r="L60" s="112"/>
      <c r="M60" s="112"/>
      <c r="N60" s="112"/>
      <c r="O60" s="112"/>
      <c r="P60" s="112"/>
      <c r="Q60" s="112"/>
      <c r="R60" s="112"/>
      <c r="S60" s="112"/>
      <c r="T60" s="138"/>
      <c r="U60" s="112"/>
      <c r="V60" s="112"/>
      <c r="AA60" s="177"/>
    </row>
    <row r="61" spans="3:28" ht="13.5" outlineLevel="1" thickBot="1" x14ac:dyDescent="0.4">
      <c r="C61" s="24" t="str">
        <f>INDEX(InpC!$E$25:$E$42,G61)</f>
        <v>Affinity Water</v>
      </c>
      <c r="F61" s="113" t="str">
        <f>INDEX(InpC!$F$25:$F$42,G61,)</f>
        <v>AFW</v>
      </c>
      <c r="G61" s="131">
        <v>11</v>
      </c>
      <c r="J61" s="112"/>
      <c r="K61" s="112"/>
      <c r="L61" s="112"/>
      <c r="M61" s="112"/>
      <c r="N61" s="112"/>
      <c r="O61" s="112"/>
      <c r="P61" s="112"/>
      <c r="Q61" s="112"/>
      <c r="R61" s="112"/>
      <c r="S61" s="112"/>
      <c r="T61" s="138"/>
      <c r="U61" s="112"/>
      <c r="V61" s="112"/>
      <c r="AA61" s="177"/>
    </row>
    <row r="62" spans="3:28" ht="76.5" outlineLevel="2" x14ac:dyDescent="0.35">
      <c r="E62" s="8" t="s">
        <v>205</v>
      </c>
      <c r="G62" s="22" t="s">
        <v>34</v>
      </c>
      <c r="J62" s="112">
        <f>INDEX('Traffic Management Act'!J$71:J$88,'Analysis (TMA)'!$G61,)</f>
        <v>1.9078542056074768</v>
      </c>
      <c r="K62" s="112">
        <f>INDEX('Traffic Management Act'!K$71:K$88,'Analysis (TMA)'!$G61,)</f>
        <v>1.058742173112339</v>
      </c>
      <c r="L62" s="112">
        <f>INDEX('Traffic Management Act'!L$71:L$88,'Analysis (TMA)'!$G61,)</f>
        <v>0.61699999999999999</v>
      </c>
      <c r="M62" s="112">
        <f>INDEX('Traffic Management Act'!M$71:M$88,'Analysis (TMA)'!$G61,)</f>
        <v>0.48099999999999998</v>
      </c>
      <c r="N62" s="112">
        <f>INDEX('Traffic Management Act'!N$71:N$88,'Analysis (TMA)'!$G61,)</f>
        <v>0.623</v>
      </c>
      <c r="O62" s="112">
        <f>INDEX('Traffic Management Act'!O$71:O$88,'Analysis (TMA)'!$G61,)</f>
        <v>0.65</v>
      </c>
      <c r="P62" s="112">
        <f>INDEX('Traffic Management Act'!P$71:P$88,'Analysis (TMA)'!$G61,)</f>
        <v>0.65</v>
      </c>
      <c r="Q62" s="112">
        <f>INDEX('Traffic Management Act'!Q$71:Q$88,'Analysis (TMA)'!$G61,)</f>
        <v>0.65100000000000002</v>
      </c>
      <c r="R62" s="112">
        <f>INDEX('Traffic Management Act'!R$71:R$88,'Analysis (TMA)'!$G61,)</f>
        <v>0.65100000000000002</v>
      </c>
      <c r="S62" s="112">
        <f>INDEX('Traffic Management Act'!S$71:S$88,'Analysis (TMA)'!$G61,)</f>
        <v>0.65100000000000002</v>
      </c>
      <c r="T62" s="138"/>
      <c r="U62" s="112">
        <f>IFERROR(AVERAGE(O62:S62),0)</f>
        <v>0.65060000000000007</v>
      </c>
      <c r="V62" s="112">
        <f>SUM(O62:S62)</f>
        <v>3.2530000000000001</v>
      </c>
      <c r="X62" s="146" t="s">
        <v>206</v>
      </c>
      <c r="Y62" s="200" t="s">
        <v>216</v>
      </c>
      <c r="Z62" s="175" t="s">
        <v>207</v>
      </c>
      <c r="AA62" s="175" t="s">
        <v>208</v>
      </c>
      <c r="AB62" s="146"/>
    </row>
    <row r="63" spans="3:28" ht="13.5" outlineLevel="2" thickBot="1" x14ac:dyDescent="0.4">
      <c r="E63" s="8" t="s">
        <v>209</v>
      </c>
      <c r="G63" s="22" t="s">
        <v>34</v>
      </c>
      <c r="J63" s="112">
        <f>INDEX('Traffic Management Act'!J$149:J$166,'Analysis (TMA)'!$G61,)</f>
        <v>0</v>
      </c>
      <c r="K63" s="112">
        <f>INDEX('Traffic Management Act'!K$149:K$166,'Analysis (TMA)'!$G61,)</f>
        <v>0</v>
      </c>
      <c r="L63" s="112">
        <f>INDEX('Traffic Management Act'!L$149:L$166,'Analysis (TMA)'!$G61,)</f>
        <v>0</v>
      </c>
      <c r="M63" s="112">
        <f>INDEX('Traffic Management Act'!M$149:M$166,'Analysis (TMA)'!$G61,)</f>
        <v>0</v>
      </c>
      <c r="N63" s="112">
        <f>INDEX('Traffic Management Act'!N$149:N$166,'Analysis (TMA)'!$G61,)</f>
        <v>0</v>
      </c>
      <c r="O63" s="112">
        <f>INDEX('Traffic Management Act'!O$149:O$166,'Analysis (TMA)'!$G61,)</f>
        <v>0</v>
      </c>
      <c r="P63" s="112">
        <f>INDEX('Traffic Management Act'!P$149:P$166,'Analysis (TMA)'!$G61,)</f>
        <v>0</v>
      </c>
      <c r="Q63" s="112">
        <f>INDEX('Traffic Management Act'!Q$149:Q$166,'Analysis (TMA)'!$G61,)</f>
        <v>0</v>
      </c>
      <c r="R63" s="112">
        <f>INDEX('Traffic Management Act'!R$149:R$166,'Analysis (TMA)'!$G61,)</f>
        <v>0</v>
      </c>
      <c r="S63" s="112">
        <f>INDEX('Traffic Management Act'!S$149:S$166,'Analysis (TMA)'!$G61,)</f>
        <v>0</v>
      </c>
      <c r="T63" s="138"/>
      <c r="U63" s="112">
        <f>IFERROR(AVERAGE(O63:S63),0)</f>
        <v>0</v>
      </c>
      <c r="V63" s="112">
        <f>SUM(O63:S63)</f>
        <v>0</v>
      </c>
      <c r="X63" s="147"/>
      <c r="Y63" s="147"/>
      <c r="Z63" s="147"/>
      <c r="AA63" s="176"/>
      <c r="AB63" s="147"/>
    </row>
    <row r="64" spans="3:28" outlineLevel="2" x14ac:dyDescent="0.35">
      <c r="E64" s="8" t="s">
        <v>99</v>
      </c>
      <c r="G64" s="22" t="s">
        <v>34</v>
      </c>
      <c r="J64" s="134">
        <f t="shared" ref="J64:S64" si="10">SUM(J62:J63)</f>
        <v>1.9078542056074768</v>
      </c>
      <c r="K64" s="134">
        <f t="shared" si="10"/>
        <v>1.058742173112339</v>
      </c>
      <c r="L64" s="134">
        <f t="shared" si="10"/>
        <v>0.61699999999999999</v>
      </c>
      <c r="M64" s="134">
        <f t="shared" si="10"/>
        <v>0.48099999999999998</v>
      </c>
      <c r="N64" s="134">
        <f t="shared" si="10"/>
        <v>0.623</v>
      </c>
      <c r="O64" s="134">
        <f t="shared" si="10"/>
        <v>0.65</v>
      </c>
      <c r="P64" s="134">
        <f t="shared" si="10"/>
        <v>0.65</v>
      </c>
      <c r="Q64" s="134">
        <f t="shared" si="10"/>
        <v>0.65100000000000002</v>
      </c>
      <c r="R64" s="134">
        <f t="shared" si="10"/>
        <v>0.65100000000000002</v>
      </c>
      <c r="S64" s="134">
        <f t="shared" si="10"/>
        <v>0.65100000000000002</v>
      </c>
      <c r="T64" s="138"/>
      <c r="U64" s="134">
        <f>SUM(U62:U63)</f>
        <v>0.65060000000000007</v>
      </c>
      <c r="V64" s="134">
        <f>SUM(V62:V63)</f>
        <v>3.2530000000000001</v>
      </c>
      <c r="AA64" s="177"/>
    </row>
    <row r="65" spans="3:28" outlineLevel="1" x14ac:dyDescent="0.35">
      <c r="J65" s="112"/>
      <c r="K65" s="112"/>
      <c r="L65" s="112"/>
      <c r="M65" s="112"/>
      <c r="N65" s="112"/>
      <c r="O65" s="112"/>
      <c r="P65" s="112"/>
      <c r="Q65" s="112"/>
      <c r="R65" s="112"/>
      <c r="S65" s="112"/>
      <c r="T65" s="138"/>
      <c r="U65" s="112"/>
      <c r="V65" s="112"/>
      <c r="AA65" s="177"/>
    </row>
    <row r="66" spans="3:28" ht="13.5" outlineLevel="1" thickBot="1" x14ac:dyDescent="0.4">
      <c r="C66" s="24" t="str">
        <f>INDEX(InpC!$E$25:$E$42,G66)</f>
        <v>Portsmouth Water</v>
      </c>
      <c r="F66" s="113" t="str">
        <f>INDEX(InpC!$F$25:$F$42,G66,)</f>
        <v>PRT</v>
      </c>
      <c r="G66" s="131">
        <v>12</v>
      </c>
      <c r="J66" s="112"/>
      <c r="K66" s="112"/>
      <c r="L66" s="112"/>
      <c r="M66" s="112"/>
      <c r="N66" s="112"/>
      <c r="O66" s="112"/>
      <c r="P66" s="112"/>
      <c r="Q66" s="112"/>
      <c r="R66" s="112"/>
      <c r="S66" s="112"/>
      <c r="T66" s="138"/>
      <c r="U66" s="112"/>
      <c r="V66" s="112"/>
      <c r="AA66" s="177"/>
    </row>
    <row r="67" spans="3:28" ht="25.5" outlineLevel="2" x14ac:dyDescent="0.35">
      <c r="E67" s="8" t="s">
        <v>205</v>
      </c>
      <c r="G67" s="22" t="s">
        <v>34</v>
      </c>
      <c r="J67" s="112">
        <f>INDEX('Traffic Management Act'!J$71:J$88,'Analysis (TMA)'!$G66,)</f>
        <v>0.25049532710280376</v>
      </c>
      <c r="K67" s="112">
        <f>INDEX('Traffic Management Act'!K$71:K$88,'Analysis (TMA)'!$G66,)</f>
        <v>0.28306998158379382</v>
      </c>
      <c r="L67" s="112">
        <f>INDEX('Traffic Management Act'!L$71:L$88,'Analysis (TMA)'!$G66,)</f>
        <v>0.22900000000000001</v>
      </c>
      <c r="M67" s="112">
        <f>INDEX('Traffic Management Act'!M$71:M$88,'Analysis (TMA)'!$G66,)</f>
        <v>0.1212731006160164</v>
      </c>
      <c r="N67" s="112">
        <f>INDEX('Traffic Management Act'!N$71:N$88,'Analysis (TMA)'!$G66,)</f>
        <v>0.41</v>
      </c>
      <c r="O67" s="112">
        <f>INDEX('Traffic Management Act'!O$71:O$88,'Analysis (TMA)'!$G66,)</f>
        <v>0.48699999999999999</v>
      </c>
      <c r="P67" s="112">
        <f>INDEX('Traffic Management Act'!P$71:P$88,'Analysis (TMA)'!$G66,)</f>
        <v>0.49164000000000002</v>
      </c>
      <c r="Q67" s="112">
        <f>INDEX('Traffic Management Act'!Q$71:Q$88,'Analysis (TMA)'!$G66,)</f>
        <v>0.48681999999999997</v>
      </c>
      <c r="R67" s="112">
        <f>INDEX('Traffic Management Act'!R$71:R$88,'Analysis (TMA)'!$G66,)</f>
        <v>0.48681999999999997</v>
      </c>
      <c r="S67" s="112">
        <f>INDEX('Traffic Management Act'!S$71:S$88,'Analysis (TMA)'!$G66,)</f>
        <v>0.48681999999999997</v>
      </c>
      <c r="T67" s="138"/>
      <c r="U67" s="112">
        <f>IFERROR(AVERAGE(O67:S67),0)</f>
        <v>0.48781999999999998</v>
      </c>
      <c r="V67" s="112">
        <f>SUM(O67:S67)</f>
        <v>2.4390999999999998</v>
      </c>
      <c r="X67" s="241" t="s">
        <v>206</v>
      </c>
      <c r="Y67" s="241" t="s">
        <v>217</v>
      </c>
      <c r="Z67" s="175" t="s">
        <v>207</v>
      </c>
      <c r="AA67" s="175" t="s">
        <v>208</v>
      </c>
      <c r="AB67" s="241"/>
    </row>
    <row r="68" spans="3:28" ht="13.5" outlineLevel="2" thickBot="1" x14ac:dyDescent="0.4">
      <c r="E68" s="8" t="s">
        <v>209</v>
      </c>
      <c r="G68" s="22" t="s">
        <v>34</v>
      </c>
      <c r="J68" s="112">
        <f>INDEX('Traffic Management Act'!J$149:J$166,'Analysis (TMA)'!$G66,)</f>
        <v>0</v>
      </c>
      <c r="K68" s="112">
        <f>INDEX('Traffic Management Act'!K$149:K$166,'Analysis (TMA)'!$G66,)</f>
        <v>0</v>
      </c>
      <c r="L68" s="112">
        <f>INDEX('Traffic Management Act'!L$149:L$166,'Analysis (TMA)'!$G66,)</f>
        <v>0</v>
      </c>
      <c r="M68" s="112">
        <f>INDEX('Traffic Management Act'!M$149:M$166,'Analysis (TMA)'!$G66,)</f>
        <v>0</v>
      </c>
      <c r="N68" s="112">
        <f>INDEX('Traffic Management Act'!N$149:N$166,'Analysis (TMA)'!$G66,)</f>
        <v>0</v>
      </c>
      <c r="O68" s="112">
        <f>INDEX('Traffic Management Act'!O$149:O$166,'Analysis (TMA)'!$G66,)</f>
        <v>0</v>
      </c>
      <c r="P68" s="112">
        <f>INDEX('Traffic Management Act'!P$149:P$166,'Analysis (TMA)'!$G66,)</f>
        <v>0</v>
      </c>
      <c r="Q68" s="112">
        <f>INDEX('Traffic Management Act'!Q$149:Q$166,'Analysis (TMA)'!$G66,)</f>
        <v>0</v>
      </c>
      <c r="R68" s="112">
        <f>INDEX('Traffic Management Act'!R$149:R$166,'Analysis (TMA)'!$G66,)</f>
        <v>0</v>
      </c>
      <c r="S68" s="112">
        <f>INDEX('Traffic Management Act'!S$149:S$166,'Analysis (TMA)'!$G66,)</f>
        <v>0</v>
      </c>
      <c r="T68" s="138"/>
      <c r="U68" s="112">
        <f>IFERROR(AVERAGE(O68:S68),0)</f>
        <v>0</v>
      </c>
      <c r="V68" s="112">
        <f>SUM(O68:S68)</f>
        <v>0</v>
      </c>
      <c r="X68" s="242"/>
      <c r="Y68" s="242"/>
      <c r="Z68" s="147"/>
      <c r="AA68" s="176"/>
      <c r="AB68" s="242"/>
    </row>
    <row r="69" spans="3:28" outlineLevel="2" x14ac:dyDescent="0.35">
      <c r="E69" s="8" t="s">
        <v>99</v>
      </c>
      <c r="G69" s="22" t="s">
        <v>34</v>
      </c>
      <c r="J69" s="134">
        <f t="shared" ref="J69:S69" si="11">SUM(J67:J68)</f>
        <v>0.25049532710280376</v>
      </c>
      <c r="K69" s="134">
        <f t="shared" si="11"/>
        <v>0.28306998158379382</v>
      </c>
      <c r="L69" s="134">
        <f t="shared" si="11"/>
        <v>0.22900000000000001</v>
      </c>
      <c r="M69" s="134">
        <f t="shared" si="11"/>
        <v>0.1212731006160164</v>
      </c>
      <c r="N69" s="134">
        <f t="shared" si="11"/>
        <v>0.41</v>
      </c>
      <c r="O69" s="134">
        <f t="shared" si="11"/>
        <v>0.48699999999999999</v>
      </c>
      <c r="P69" s="134">
        <f t="shared" si="11"/>
        <v>0.49164000000000002</v>
      </c>
      <c r="Q69" s="134">
        <f t="shared" si="11"/>
        <v>0.48681999999999997</v>
      </c>
      <c r="R69" s="134">
        <f t="shared" si="11"/>
        <v>0.48681999999999997</v>
      </c>
      <c r="S69" s="134">
        <f t="shared" si="11"/>
        <v>0.48681999999999997</v>
      </c>
      <c r="T69" s="138"/>
      <c r="U69" s="134">
        <f>SUM(U67:U68)</f>
        <v>0.48781999999999998</v>
      </c>
      <c r="V69" s="134">
        <f>SUM(V67:V68)</f>
        <v>2.4390999999999998</v>
      </c>
      <c r="AA69" s="177"/>
    </row>
    <row r="70" spans="3:28" outlineLevel="1" x14ac:dyDescent="0.35">
      <c r="J70" s="112"/>
      <c r="K70" s="112"/>
      <c r="L70" s="112"/>
      <c r="M70" s="112"/>
      <c r="N70" s="112"/>
      <c r="O70" s="112"/>
      <c r="P70" s="112"/>
      <c r="Q70" s="112"/>
      <c r="R70" s="112"/>
      <c r="S70" s="112"/>
      <c r="T70" s="138"/>
      <c r="U70" s="112"/>
      <c r="V70" s="112"/>
      <c r="AA70" s="177"/>
    </row>
    <row r="71" spans="3:28" ht="13.5" outlineLevel="1" thickBot="1" x14ac:dyDescent="0.4">
      <c r="C71" s="24" t="str">
        <f>INDEX(InpC!$E$25:$E$42,G71)</f>
        <v>South East Water</v>
      </c>
      <c r="F71" s="113" t="str">
        <f>INDEX(InpC!$F$25:$F$42,G71,)</f>
        <v>SEW</v>
      </c>
      <c r="G71" s="131">
        <v>13</v>
      </c>
      <c r="J71" s="112"/>
      <c r="K71" s="112"/>
      <c r="L71" s="112"/>
      <c r="M71" s="112"/>
      <c r="N71" s="112"/>
      <c r="O71" s="112"/>
      <c r="P71" s="112"/>
      <c r="Q71" s="112"/>
      <c r="R71" s="112"/>
      <c r="S71" s="112"/>
      <c r="T71" s="138"/>
      <c r="U71" s="112"/>
      <c r="V71" s="112"/>
      <c r="AA71" s="177"/>
    </row>
    <row r="72" spans="3:28" ht="63.75" outlineLevel="2" x14ac:dyDescent="0.35">
      <c r="E72" s="8" t="s">
        <v>205</v>
      </c>
      <c r="G72" s="22" t="s">
        <v>34</v>
      </c>
      <c r="J72" s="112">
        <f>INDEX('Traffic Management Act'!J$71:J$88,'Analysis (TMA)'!$G71,)</f>
        <v>0.65742242990654209</v>
      </c>
      <c r="K72" s="112">
        <f>INDEX('Traffic Management Act'!K$71:K$88,'Analysis (TMA)'!$G71,)</f>
        <v>0.72530386740331498</v>
      </c>
      <c r="L72" s="112">
        <f>INDEX('Traffic Management Act'!L$71:L$88,'Analysis (TMA)'!$G71,)</f>
        <v>0.57299999999999995</v>
      </c>
      <c r="M72" s="112">
        <f>INDEX('Traffic Management Act'!M$71:M$88,'Analysis (TMA)'!$G71,)</f>
        <v>1.0507178729007369</v>
      </c>
      <c r="N72" s="112">
        <f>INDEX('Traffic Management Act'!N$71:N$88,'Analysis (TMA)'!$G71,)</f>
        <v>1.366560737738022</v>
      </c>
      <c r="O72" s="112">
        <f>INDEX('Traffic Management Act'!O$71:O$88,'Analysis (TMA)'!$G71,)</f>
        <v>1.367</v>
      </c>
      <c r="P72" s="112">
        <f>INDEX('Traffic Management Act'!P$71:P$88,'Analysis (TMA)'!$G71,)</f>
        <v>1.367</v>
      </c>
      <c r="Q72" s="112">
        <f>INDEX('Traffic Management Act'!Q$71:Q$88,'Analysis (TMA)'!$G71,)</f>
        <v>1.367</v>
      </c>
      <c r="R72" s="112">
        <f>INDEX('Traffic Management Act'!R$71:R$88,'Analysis (TMA)'!$G71,)</f>
        <v>1.367</v>
      </c>
      <c r="S72" s="112">
        <f>INDEX('Traffic Management Act'!S$71:S$88,'Analysis (TMA)'!$G71,)</f>
        <v>1.367</v>
      </c>
      <c r="T72" s="138"/>
      <c r="U72" s="112">
        <f>IFERROR(AVERAGE(O72:S72),0)</f>
        <v>1.367</v>
      </c>
      <c r="V72" s="112">
        <f>SUM(O72:S72)</f>
        <v>6.835</v>
      </c>
      <c r="X72" s="146" t="s">
        <v>206</v>
      </c>
      <c r="Y72" s="200" t="s">
        <v>218</v>
      </c>
      <c r="Z72" s="175" t="s">
        <v>207</v>
      </c>
      <c r="AA72" s="175" t="s">
        <v>208</v>
      </c>
      <c r="AB72" s="146"/>
    </row>
    <row r="73" spans="3:28" ht="13.5" outlineLevel="2" thickBot="1" x14ac:dyDescent="0.4">
      <c r="E73" s="8" t="s">
        <v>209</v>
      </c>
      <c r="G73" s="22" t="s">
        <v>34</v>
      </c>
      <c r="J73" s="112">
        <f>INDEX('Traffic Management Act'!J$149:J$166,'Analysis (TMA)'!$G71,)</f>
        <v>0</v>
      </c>
      <c r="K73" s="112">
        <f>INDEX('Traffic Management Act'!K$149:K$166,'Analysis (TMA)'!$G71,)</f>
        <v>0</v>
      </c>
      <c r="L73" s="112">
        <f>INDEX('Traffic Management Act'!L$149:L$166,'Analysis (TMA)'!$G71,)</f>
        <v>0</v>
      </c>
      <c r="M73" s="112">
        <f>INDEX('Traffic Management Act'!M$149:M$166,'Analysis (TMA)'!$G71,)</f>
        <v>0</v>
      </c>
      <c r="N73" s="112">
        <f>INDEX('Traffic Management Act'!N$149:N$166,'Analysis (TMA)'!$G71,)</f>
        <v>0</v>
      </c>
      <c r="O73" s="112">
        <f>INDEX('Traffic Management Act'!O$149:O$166,'Analysis (TMA)'!$G71,)</f>
        <v>0</v>
      </c>
      <c r="P73" s="112">
        <f>INDEX('Traffic Management Act'!P$149:P$166,'Analysis (TMA)'!$G71,)</f>
        <v>0</v>
      </c>
      <c r="Q73" s="112">
        <f>INDEX('Traffic Management Act'!Q$149:Q$166,'Analysis (TMA)'!$G71,)</f>
        <v>0</v>
      </c>
      <c r="R73" s="112">
        <f>INDEX('Traffic Management Act'!R$149:R$166,'Analysis (TMA)'!$G71,)</f>
        <v>0</v>
      </c>
      <c r="S73" s="112">
        <f>INDEX('Traffic Management Act'!S$149:S$166,'Analysis (TMA)'!$G71,)</f>
        <v>0</v>
      </c>
      <c r="T73" s="138"/>
      <c r="U73" s="112">
        <f>IFERROR(AVERAGE(O73:S73),0)</f>
        <v>0</v>
      </c>
      <c r="V73" s="112">
        <f>SUM(O73:S73)</f>
        <v>0</v>
      </c>
      <c r="X73" s="147"/>
      <c r="Y73" s="147"/>
      <c r="Z73" s="147"/>
      <c r="AA73" s="176"/>
      <c r="AB73" s="147"/>
    </row>
    <row r="74" spans="3:28" outlineLevel="2" x14ac:dyDescent="0.35">
      <c r="E74" s="8" t="s">
        <v>99</v>
      </c>
      <c r="G74" s="22" t="s">
        <v>34</v>
      </c>
      <c r="J74" s="134">
        <f t="shared" ref="J74:S74" si="12">SUM(J72:J73)</f>
        <v>0.65742242990654209</v>
      </c>
      <c r="K74" s="134">
        <f t="shared" si="12"/>
        <v>0.72530386740331498</v>
      </c>
      <c r="L74" s="134">
        <f t="shared" si="12"/>
        <v>0.57299999999999995</v>
      </c>
      <c r="M74" s="134">
        <f t="shared" si="12"/>
        <v>1.0507178729007369</v>
      </c>
      <c r="N74" s="134">
        <f t="shared" si="12"/>
        <v>1.366560737738022</v>
      </c>
      <c r="O74" s="134">
        <f t="shared" si="12"/>
        <v>1.367</v>
      </c>
      <c r="P74" s="134">
        <f t="shared" si="12"/>
        <v>1.367</v>
      </c>
      <c r="Q74" s="134">
        <f t="shared" si="12"/>
        <v>1.367</v>
      </c>
      <c r="R74" s="134">
        <f t="shared" si="12"/>
        <v>1.367</v>
      </c>
      <c r="S74" s="134">
        <f t="shared" si="12"/>
        <v>1.367</v>
      </c>
      <c r="T74" s="138"/>
      <c r="U74" s="134">
        <f>SUM(U72:U73)</f>
        <v>1.367</v>
      </c>
      <c r="V74" s="134">
        <f>SUM(V72:V73)</f>
        <v>6.835</v>
      </c>
      <c r="AA74" s="177"/>
    </row>
    <row r="75" spans="3:28" outlineLevel="1" x14ac:dyDescent="0.35">
      <c r="J75" s="112"/>
      <c r="K75" s="112"/>
      <c r="L75" s="112"/>
      <c r="M75" s="112"/>
      <c r="N75" s="112"/>
      <c r="O75" s="112"/>
      <c r="P75" s="112"/>
      <c r="Q75" s="112"/>
      <c r="R75" s="112"/>
      <c r="S75" s="112"/>
      <c r="T75" s="138"/>
      <c r="U75" s="112"/>
      <c r="V75" s="112"/>
      <c r="AA75" s="177"/>
    </row>
    <row r="76" spans="3:28" ht="13.5" outlineLevel="1" thickBot="1" x14ac:dyDescent="0.4">
      <c r="C76" s="24" t="str">
        <f>INDEX(InpC!$E$25:$E$42,G76)</f>
        <v>South Staffs Water</v>
      </c>
      <c r="F76" s="113" t="str">
        <f>INDEX(InpC!$F$25:$F$42,G76,)</f>
        <v>SSC</v>
      </c>
      <c r="G76" s="131">
        <v>14</v>
      </c>
      <c r="J76" s="112"/>
      <c r="K76" s="112"/>
      <c r="L76" s="112"/>
      <c r="M76" s="112"/>
      <c r="N76" s="112"/>
      <c r="O76" s="112"/>
      <c r="P76" s="112"/>
      <c r="Q76" s="112"/>
      <c r="R76" s="112"/>
      <c r="S76" s="112"/>
      <c r="T76" s="138"/>
      <c r="U76" s="112"/>
      <c r="V76" s="112"/>
      <c r="AA76" s="177"/>
    </row>
    <row r="77" spans="3:28" ht="25.5" outlineLevel="2" x14ac:dyDescent="0.35">
      <c r="E77" s="8" t="s">
        <v>205</v>
      </c>
      <c r="G77" s="22" t="s">
        <v>34</v>
      </c>
      <c r="J77" s="112">
        <f>INDEX('Traffic Management Act'!J$71:J$88,'Analysis (TMA)'!$G76,)</f>
        <v>0.33228971962616827</v>
      </c>
      <c r="K77" s="112">
        <f>INDEX('Traffic Management Act'!K$71:K$88,'Analysis (TMA)'!$G76,)</f>
        <v>0.46238121546961336</v>
      </c>
      <c r="L77" s="112">
        <f>INDEX('Traffic Management Act'!L$71:L$88,'Analysis (TMA)'!$G76,)</f>
        <v>0.48899999999999999</v>
      </c>
      <c r="M77" s="112">
        <f>INDEX('Traffic Management Act'!M$71:M$88,'Analysis (TMA)'!$G76,)</f>
        <v>0.48899999999999999</v>
      </c>
      <c r="N77" s="112">
        <f>INDEX('Traffic Management Act'!N$71:N$88,'Analysis (TMA)'!$G76,)</f>
        <v>0.48899999999999999</v>
      </c>
      <c r="O77" s="112">
        <f>INDEX('Traffic Management Act'!O$71:O$88,'Analysis (TMA)'!$G76,)</f>
        <v>0.48899999999999999</v>
      </c>
      <c r="P77" s="112">
        <f>INDEX('Traffic Management Act'!P$71:P$88,'Analysis (TMA)'!$G76,)</f>
        <v>0.48899999999999999</v>
      </c>
      <c r="Q77" s="112">
        <f>INDEX('Traffic Management Act'!Q$71:Q$88,'Analysis (TMA)'!$G76,)</f>
        <v>0.48899999999999999</v>
      </c>
      <c r="R77" s="112">
        <f>INDEX('Traffic Management Act'!R$71:R$88,'Analysis (TMA)'!$G76,)</f>
        <v>0.48899999999999999</v>
      </c>
      <c r="S77" s="112">
        <f>INDEX('Traffic Management Act'!S$71:S$88,'Analysis (TMA)'!$G76,)</f>
        <v>0.48899999999999999</v>
      </c>
      <c r="T77" s="138"/>
      <c r="U77" s="112">
        <f>IFERROR(AVERAGE(O77:S77),0)</f>
        <v>0.48899999999999999</v>
      </c>
      <c r="V77" s="112">
        <f>SUM(O77:S77)</f>
        <v>2.4449999999999998</v>
      </c>
      <c r="X77" s="241" t="s">
        <v>206</v>
      </c>
      <c r="Y77" s="243" t="s">
        <v>219</v>
      </c>
      <c r="Z77" s="175" t="s">
        <v>207</v>
      </c>
      <c r="AA77" s="175" t="s">
        <v>208</v>
      </c>
      <c r="AB77" s="241"/>
    </row>
    <row r="78" spans="3:28" ht="13.5" outlineLevel="2" thickBot="1" x14ac:dyDescent="0.4">
      <c r="E78" s="8" t="s">
        <v>209</v>
      </c>
      <c r="G78" s="22" t="s">
        <v>34</v>
      </c>
      <c r="J78" s="112">
        <f>INDEX('Traffic Management Act'!J$149:J$166,'Analysis (TMA)'!$G76,)</f>
        <v>0</v>
      </c>
      <c r="K78" s="112">
        <f>INDEX('Traffic Management Act'!K$149:K$166,'Analysis (TMA)'!$G76,)</f>
        <v>0</v>
      </c>
      <c r="L78" s="112">
        <f>INDEX('Traffic Management Act'!L$149:L$166,'Analysis (TMA)'!$G76,)</f>
        <v>0</v>
      </c>
      <c r="M78" s="112">
        <f>INDEX('Traffic Management Act'!M$149:M$166,'Analysis (TMA)'!$G76,)</f>
        <v>0</v>
      </c>
      <c r="N78" s="112">
        <f>INDEX('Traffic Management Act'!N$149:N$166,'Analysis (TMA)'!$G76,)</f>
        <v>0</v>
      </c>
      <c r="O78" s="112">
        <f>INDEX('Traffic Management Act'!O$149:O$166,'Analysis (TMA)'!$G76,)</f>
        <v>0</v>
      </c>
      <c r="P78" s="112">
        <f>INDEX('Traffic Management Act'!P$149:P$166,'Analysis (TMA)'!$G76,)</f>
        <v>0</v>
      </c>
      <c r="Q78" s="112">
        <f>INDEX('Traffic Management Act'!Q$149:Q$166,'Analysis (TMA)'!$G76,)</f>
        <v>0</v>
      </c>
      <c r="R78" s="112">
        <f>INDEX('Traffic Management Act'!R$149:R$166,'Analysis (TMA)'!$G76,)</f>
        <v>0</v>
      </c>
      <c r="S78" s="112">
        <f>INDEX('Traffic Management Act'!S$149:S$166,'Analysis (TMA)'!$G76,)</f>
        <v>0</v>
      </c>
      <c r="T78" s="138"/>
      <c r="U78" s="112">
        <f>IFERROR(AVERAGE(O78:S78),0)</f>
        <v>0</v>
      </c>
      <c r="V78" s="112">
        <f>SUM(O78:S78)</f>
        <v>0</v>
      </c>
      <c r="X78" s="242"/>
      <c r="Y78" s="248"/>
      <c r="Z78" s="147"/>
      <c r="AA78" s="176"/>
      <c r="AB78" s="242"/>
    </row>
    <row r="79" spans="3:28" outlineLevel="2" x14ac:dyDescent="0.35">
      <c r="E79" s="8" t="s">
        <v>99</v>
      </c>
      <c r="G79" s="22" t="s">
        <v>34</v>
      </c>
      <c r="J79" s="134">
        <f t="shared" ref="J79:S79" si="13">SUM(J77:J78)</f>
        <v>0.33228971962616827</v>
      </c>
      <c r="K79" s="134">
        <f t="shared" si="13"/>
        <v>0.46238121546961336</v>
      </c>
      <c r="L79" s="134">
        <f t="shared" si="13"/>
        <v>0.48899999999999999</v>
      </c>
      <c r="M79" s="134">
        <f t="shared" si="13"/>
        <v>0.48899999999999999</v>
      </c>
      <c r="N79" s="134">
        <f t="shared" si="13"/>
        <v>0.48899999999999999</v>
      </c>
      <c r="O79" s="134">
        <f t="shared" si="13"/>
        <v>0.48899999999999999</v>
      </c>
      <c r="P79" s="134">
        <f t="shared" si="13"/>
        <v>0.48899999999999999</v>
      </c>
      <c r="Q79" s="134">
        <f t="shared" si="13"/>
        <v>0.48899999999999999</v>
      </c>
      <c r="R79" s="134">
        <f t="shared" si="13"/>
        <v>0.48899999999999999</v>
      </c>
      <c r="S79" s="134">
        <f t="shared" si="13"/>
        <v>0.48899999999999999</v>
      </c>
      <c r="T79" s="138"/>
      <c r="U79" s="134">
        <f>SUM(U77:U78)</f>
        <v>0.48899999999999999</v>
      </c>
      <c r="V79" s="134">
        <f>SUM(V77:V78)</f>
        <v>2.4449999999999998</v>
      </c>
      <c r="AA79" s="177"/>
    </row>
    <row r="80" spans="3:28" outlineLevel="1" x14ac:dyDescent="0.35">
      <c r="J80" s="112"/>
      <c r="K80" s="112"/>
      <c r="L80" s="112"/>
      <c r="M80" s="112"/>
      <c r="N80" s="112"/>
      <c r="O80" s="112"/>
      <c r="P80" s="112"/>
      <c r="Q80" s="112"/>
      <c r="R80" s="112"/>
      <c r="S80" s="112"/>
      <c r="T80" s="138"/>
      <c r="U80" s="112"/>
      <c r="V80" s="112"/>
      <c r="AA80" s="177"/>
    </row>
    <row r="81" spans="3:28" ht="13.5" outlineLevel="1" thickBot="1" x14ac:dyDescent="0.4">
      <c r="C81" s="24" t="str">
        <f>INDEX(InpC!$E$25:$E$42,G81)</f>
        <v>SES Water</v>
      </c>
      <c r="F81" s="113" t="str">
        <f>INDEX(InpC!$F$25:$F$42,G81,)</f>
        <v>SES</v>
      </c>
      <c r="G81" s="131">
        <v>15</v>
      </c>
      <c r="J81" s="112"/>
      <c r="K81" s="112"/>
      <c r="L81" s="112"/>
      <c r="M81" s="112"/>
      <c r="N81" s="112"/>
      <c r="O81" s="112"/>
      <c r="P81" s="112"/>
      <c r="Q81" s="112"/>
      <c r="R81" s="112"/>
      <c r="S81" s="112"/>
      <c r="T81" s="138"/>
      <c r="U81" s="112"/>
      <c r="V81" s="112"/>
      <c r="AA81" s="177"/>
    </row>
    <row r="82" spans="3:28" ht="25.5" outlineLevel="2" x14ac:dyDescent="0.35">
      <c r="E82" s="8" t="s">
        <v>205</v>
      </c>
      <c r="G82" s="22" t="s">
        <v>34</v>
      </c>
      <c r="J82" s="112">
        <f>INDEX('Traffic Management Act'!J$71:J$88,'Analysis (TMA)'!$G81,)</f>
        <v>0.18237078153271027</v>
      </c>
      <c r="K82" s="112">
        <f>INDEX('Traffic Management Act'!K$71:K$88,'Analysis (TMA)'!$G81,)</f>
        <v>0.12717755036832415</v>
      </c>
      <c r="L82" s="112">
        <f>INDEX('Traffic Management Act'!L$71:L$88,'Analysis (TMA)'!$G81,)</f>
        <v>0.31</v>
      </c>
      <c r="M82" s="112">
        <f>INDEX('Traffic Management Act'!M$71:M$88,'Analysis (TMA)'!$G81,)</f>
        <v>0.34269271435338688</v>
      </c>
      <c r="N82" s="112">
        <f>INDEX('Traffic Management Act'!N$71:N$88,'Analysis (TMA)'!$G81,)</f>
        <v>0.33700000000000002</v>
      </c>
      <c r="O82" s="112">
        <f>INDEX('Traffic Management Act'!O$71:O$88,'Analysis (TMA)'!$G81,)</f>
        <v>0.34399999999999997</v>
      </c>
      <c r="P82" s="112">
        <f>INDEX('Traffic Management Act'!P$71:P$88,'Analysis (TMA)'!$G81,)</f>
        <v>0.34699999999999998</v>
      </c>
      <c r="Q82" s="112">
        <f>INDEX('Traffic Management Act'!Q$71:Q$88,'Analysis (TMA)'!$G81,)</f>
        <v>0.34799999999999998</v>
      </c>
      <c r="R82" s="112">
        <f>INDEX('Traffic Management Act'!R$71:R$88,'Analysis (TMA)'!$G81,)</f>
        <v>0.35399999999999998</v>
      </c>
      <c r="S82" s="112">
        <f>INDEX('Traffic Management Act'!S$71:S$88,'Analysis (TMA)'!$G81,)</f>
        <v>0.35699999999999998</v>
      </c>
      <c r="T82" s="138"/>
      <c r="U82" s="112">
        <f>IFERROR(AVERAGE(O82:S82),0)</f>
        <v>0.35</v>
      </c>
      <c r="V82" s="112">
        <f>SUM(O82:S82)</f>
        <v>1.7499999999999998</v>
      </c>
      <c r="X82" s="146" t="s">
        <v>206</v>
      </c>
      <c r="Y82" s="175" t="s">
        <v>220</v>
      </c>
      <c r="Z82" s="175" t="s">
        <v>207</v>
      </c>
      <c r="AA82" s="175" t="s">
        <v>208</v>
      </c>
      <c r="AB82" s="146"/>
    </row>
    <row r="83" spans="3:28" ht="13.5" outlineLevel="2" thickBot="1" x14ac:dyDescent="0.4">
      <c r="E83" s="8" t="s">
        <v>209</v>
      </c>
      <c r="G83" s="22" t="s">
        <v>34</v>
      </c>
      <c r="J83" s="112">
        <f>INDEX('Traffic Management Act'!J$149:J$166,'Analysis (TMA)'!$G81,)</f>
        <v>0</v>
      </c>
      <c r="K83" s="112">
        <f>INDEX('Traffic Management Act'!K$149:K$166,'Analysis (TMA)'!$G81,)</f>
        <v>0</v>
      </c>
      <c r="L83" s="112">
        <f>INDEX('Traffic Management Act'!L$149:L$166,'Analysis (TMA)'!$G81,)</f>
        <v>0</v>
      </c>
      <c r="M83" s="112">
        <f>INDEX('Traffic Management Act'!M$149:M$166,'Analysis (TMA)'!$G81,)</f>
        <v>0</v>
      </c>
      <c r="N83" s="112">
        <f>INDEX('Traffic Management Act'!N$149:N$166,'Analysis (TMA)'!$G81,)</f>
        <v>0</v>
      </c>
      <c r="O83" s="112">
        <f>INDEX('Traffic Management Act'!O$149:O$166,'Analysis (TMA)'!$G81,)</f>
        <v>0</v>
      </c>
      <c r="P83" s="112">
        <f>INDEX('Traffic Management Act'!P$149:P$166,'Analysis (TMA)'!$G81,)</f>
        <v>0</v>
      </c>
      <c r="Q83" s="112">
        <f>INDEX('Traffic Management Act'!Q$149:Q$166,'Analysis (TMA)'!$G81,)</f>
        <v>0</v>
      </c>
      <c r="R83" s="112">
        <f>INDEX('Traffic Management Act'!R$149:R$166,'Analysis (TMA)'!$G81,)</f>
        <v>0</v>
      </c>
      <c r="S83" s="112">
        <f>INDEX('Traffic Management Act'!S$149:S$166,'Analysis (TMA)'!$G81,)</f>
        <v>0</v>
      </c>
      <c r="T83" s="138"/>
      <c r="U83" s="112">
        <f>IFERROR(AVERAGE(O83:S83),0)</f>
        <v>0</v>
      </c>
      <c r="V83" s="112">
        <f>SUM(O83:S83)</f>
        <v>0</v>
      </c>
      <c r="X83" s="147"/>
      <c r="Y83" s="147"/>
      <c r="Z83" s="147"/>
      <c r="AA83" s="176"/>
      <c r="AB83" s="147"/>
    </row>
    <row r="84" spans="3:28" outlineLevel="2" x14ac:dyDescent="0.35">
      <c r="E84" s="8" t="s">
        <v>99</v>
      </c>
      <c r="G84" s="22" t="s">
        <v>34</v>
      </c>
      <c r="J84" s="134">
        <f t="shared" ref="J84:S84" si="14">SUM(J82:J83)</f>
        <v>0.18237078153271027</v>
      </c>
      <c r="K84" s="134">
        <f t="shared" si="14"/>
        <v>0.12717755036832415</v>
      </c>
      <c r="L84" s="134">
        <f t="shared" si="14"/>
        <v>0.31</v>
      </c>
      <c r="M84" s="134">
        <f t="shared" si="14"/>
        <v>0.34269271435338688</v>
      </c>
      <c r="N84" s="134">
        <f t="shared" si="14"/>
        <v>0.33700000000000002</v>
      </c>
      <c r="O84" s="134">
        <f t="shared" si="14"/>
        <v>0.34399999999999997</v>
      </c>
      <c r="P84" s="134">
        <f t="shared" si="14"/>
        <v>0.34699999999999998</v>
      </c>
      <c r="Q84" s="134">
        <f t="shared" si="14"/>
        <v>0.34799999999999998</v>
      </c>
      <c r="R84" s="134">
        <f t="shared" si="14"/>
        <v>0.35399999999999998</v>
      </c>
      <c r="S84" s="134">
        <f t="shared" si="14"/>
        <v>0.35699999999999998</v>
      </c>
      <c r="T84" s="138"/>
      <c r="U84" s="134">
        <f>SUM(U82:U83)</f>
        <v>0.35</v>
      </c>
      <c r="V84" s="134">
        <f>SUM(V82:V83)</f>
        <v>1.7499999999999998</v>
      </c>
      <c r="AA84" s="177"/>
    </row>
    <row r="85" spans="3:28" outlineLevel="1" x14ac:dyDescent="0.35">
      <c r="J85" s="112"/>
      <c r="K85" s="112"/>
      <c r="L85" s="112"/>
      <c r="M85" s="112"/>
      <c r="N85" s="112"/>
      <c r="O85" s="112"/>
      <c r="P85" s="112"/>
      <c r="Q85" s="112"/>
      <c r="R85" s="112"/>
      <c r="S85" s="112"/>
      <c r="T85" s="138"/>
      <c r="U85" s="112"/>
      <c r="V85" s="112"/>
      <c r="AA85" s="177"/>
    </row>
    <row r="86" spans="3:28" ht="13.5" outlineLevel="1" thickBot="1" x14ac:dyDescent="0.4">
      <c r="C86" s="24" t="str">
        <f>INDEX(InpC!$E$25:$E$42,G86)</f>
        <v>South West Water</v>
      </c>
      <c r="F86" s="113" t="str">
        <f>INDEX(InpC!$F$25:$F$42,G86,)</f>
        <v>SWB</v>
      </c>
      <c r="G86" s="131">
        <v>16</v>
      </c>
      <c r="J86" s="112"/>
      <c r="K86" s="112"/>
      <c r="L86" s="112"/>
      <c r="M86" s="112"/>
      <c r="N86" s="112"/>
      <c r="O86" s="112"/>
      <c r="P86" s="112"/>
      <c r="Q86" s="112"/>
      <c r="R86" s="112"/>
      <c r="S86" s="112"/>
      <c r="T86" s="138"/>
      <c r="U86" s="112"/>
      <c r="V86" s="112"/>
      <c r="AA86" s="177"/>
    </row>
    <row r="87" spans="3:28" ht="25.5" outlineLevel="2" x14ac:dyDescent="0.35">
      <c r="E87" s="8" t="s">
        <v>205</v>
      </c>
      <c r="G87" s="22" t="s">
        <v>34</v>
      </c>
      <c r="J87" s="112">
        <f>INDEX('Traffic Management Act'!J$71:J$88,'Analysis (TMA)'!$G86,)</f>
        <v>0</v>
      </c>
      <c r="K87" s="112">
        <f>INDEX('Traffic Management Act'!K$71:K$88,'Analysis (TMA)'!$G86,)</f>
        <v>4.7346224677716403E-2</v>
      </c>
      <c r="L87" s="112">
        <f>INDEX('Traffic Management Act'!L$71:L$88,'Analysis (TMA)'!$G86,)</f>
        <v>0.20899999999999999</v>
      </c>
      <c r="M87" s="112">
        <f>INDEX('Traffic Management Act'!M$71:M$88,'Analysis (TMA)'!$G86,)</f>
        <v>0.79</v>
      </c>
      <c r="N87" s="112">
        <f>INDEX('Traffic Management Act'!N$71:N$88,'Analysis (TMA)'!$G86,)</f>
        <v>0.20899999999999999</v>
      </c>
      <c r="O87" s="112">
        <f>INDEX('Traffic Management Act'!O$71:O$88,'Analysis (TMA)'!$G86,)</f>
        <v>0.14199529599999999</v>
      </c>
      <c r="P87" s="112">
        <f>INDEX('Traffic Management Act'!P$71:P$88,'Analysis (TMA)'!$G86,)</f>
        <v>0.133004648</v>
      </c>
      <c r="Q87" s="112">
        <f>INDEX('Traffic Management Act'!Q$71:Q$88,'Analysis (TMA)'!$G86,)</f>
        <v>0.123995114</v>
      </c>
      <c r="R87" s="112">
        <f>INDEX('Traffic Management Act'!R$71:R$88,'Analysis (TMA)'!$G86,)</f>
        <v>0.114998539</v>
      </c>
      <c r="S87" s="112">
        <f>INDEX('Traffic Management Act'!S$71:S$88,'Analysis (TMA)'!$G86,)</f>
        <v>0.107004223</v>
      </c>
      <c r="T87" s="138"/>
      <c r="U87" s="112">
        <f>IFERROR(AVERAGE(O87:S87),0)</f>
        <v>0.12419956400000001</v>
      </c>
      <c r="V87" s="112">
        <f>SUM(O87:S87)</f>
        <v>0.62099782000000003</v>
      </c>
      <c r="X87" s="241" t="s">
        <v>206</v>
      </c>
      <c r="Y87" s="243" t="s">
        <v>221</v>
      </c>
      <c r="Z87" s="175" t="s">
        <v>207</v>
      </c>
      <c r="AA87" s="175" t="s">
        <v>208</v>
      </c>
      <c r="AB87" s="241"/>
    </row>
    <row r="88" spans="3:28" ht="13.5" outlineLevel="2" thickBot="1" x14ac:dyDescent="0.4">
      <c r="E88" s="8" t="s">
        <v>209</v>
      </c>
      <c r="G88" s="22" t="s">
        <v>34</v>
      </c>
      <c r="J88" s="112">
        <f>INDEX('Traffic Management Act'!J$149:J$166,'Analysis (TMA)'!$G86,)</f>
        <v>0</v>
      </c>
      <c r="K88" s="112">
        <f>INDEX('Traffic Management Act'!K$149:K$166,'Analysis (TMA)'!$G86,)</f>
        <v>8.0589318600368335E-3</v>
      </c>
      <c r="L88" s="112">
        <f>INDEX('Traffic Management Act'!L$149:L$166,'Analysis (TMA)'!$G86,)</f>
        <v>3.0000000000000001E-3</v>
      </c>
      <c r="M88" s="112">
        <f>INDEX('Traffic Management Act'!M$149:M$166,'Analysis (TMA)'!$G86,)</f>
        <v>0</v>
      </c>
      <c r="N88" s="112">
        <f>INDEX('Traffic Management Act'!N$149:N$166,'Analysis (TMA)'!$G86,)</f>
        <v>3.0000000000000001E-3</v>
      </c>
      <c r="O88" s="112">
        <f>INDEX('Traffic Management Act'!O$149:O$166,'Analysis (TMA)'!$G86,)</f>
        <v>0</v>
      </c>
      <c r="P88" s="112">
        <f>INDEX('Traffic Management Act'!P$149:P$166,'Analysis (TMA)'!$G86,)</f>
        <v>0</v>
      </c>
      <c r="Q88" s="112">
        <f>INDEX('Traffic Management Act'!Q$149:Q$166,'Analysis (TMA)'!$G86,)</f>
        <v>0</v>
      </c>
      <c r="R88" s="112">
        <f>INDEX('Traffic Management Act'!R$149:R$166,'Analysis (TMA)'!$G86,)</f>
        <v>0</v>
      </c>
      <c r="S88" s="112">
        <f>INDEX('Traffic Management Act'!S$149:S$166,'Analysis (TMA)'!$G86,)</f>
        <v>0</v>
      </c>
      <c r="T88" s="138"/>
      <c r="U88" s="112">
        <f>IFERROR(AVERAGE(O88:S88),0)</f>
        <v>0</v>
      </c>
      <c r="V88" s="112">
        <f>SUM(O88:S88)</f>
        <v>0</v>
      </c>
      <c r="X88" s="242"/>
      <c r="Y88" s="248"/>
      <c r="Z88" s="147"/>
      <c r="AA88" s="176"/>
      <c r="AB88" s="242"/>
    </row>
    <row r="89" spans="3:28" outlineLevel="2" x14ac:dyDescent="0.35">
      <c r="E89" s="8" t="s">
        <v>99</v>
      </c>
      <c r="G89" s="22" t="s">
        <v>34</v>
      </c>
      <c r="J89" s="134">
        <f t="shared" ref="J89:S89" si="15">SUM(J87:J88)</f>
        <v>0</v>
      </c>
      <c r="K89" s="134">
        <f t="shared" si="15"/>
        <v>5.5405156537753235E-2</v>
      </c>
      <c r="L89" s="134">
        <f t="shared" si="15"/>
        <v>0.21199999999999999</v>
      </c>
      <c r="M89" s="134">
        <f t="shared" si="15"/>
        <v>0.79</v>
      </c>
      <c r="N89" s="134">
        <f t="shared" si="15"/>
        <v>0.21199999999999999</v>
      </c>
      <c r="O89" s="134">
        <f t="shared" si="15"/>
        <v>0.14199529599999999</v>
      </c>
      <c r="P89" s="134">
        <f t="shared" si="15"/>
        <v>0.133004648</v>
      </c>
      <c r="Q89" s="134">
        <f t="shared" si="15"/>
        <v>0.123995114</v>
      </c>
      <c r="R89" s="134">
        <f t="shared" si="15"/>
        <v>0.114998539</v>
      </c>
      <c r="S89" s="134">
        <f t="shared" si="15"/>
        <v>0.107004223</v>
      </c>
      <c r="T89" s="138"/>
      <c r="U89" s="134">
        <f>SUM(U87:U88)</f>
        <v>0.12419956400000001</v>
      </c>
      <c r="V89" s="134">
        <f>SUM(V87:V88)</f>
        <v>0.62099782000000003</v>
      </c>
      <c r="AA89" s="177"/>
    </row>
    <row r="90" spans="3:28" outlineLevel="1" x14ac:dyDescent="0.35">
      <c r="J90" s="112"/>
      <c r="K90" s="112"/>
      <c r="L90" s="112"/>
      <c r="M90" s="112"/>
      <c r="N90" s="112"/>
      <c r="O90" s="112"/>
      <c r="P90" s="112"/>
      <c r="Q90" s="112"/>
      <c r="R90" s="112"/>
      <c r="S90" s="112"/>
      <c r="T90" s="138"/>
      <c r="U90" s="112"/>
      <c r="V90" s="112"/>
      <c r="AA90" s="177"/>
    </row>
    <row r="91" spans="3:28" ht="13.5" outlineLevel="1" thickBot="1" x14ac:dyDescent="0.4">
      <c r="C91" s="24" t="str">
        <f>INDEX(InpC!$E$25:$E$42,G91)</f>
        <v>Bristol Water</v>
      </c>
      <c r="F91" s="113" t="str">
        <f>INDEX(InpC!$F$25:$F$42,G91,)</f>
        <v>BRL</v>
      </c>
      <c r="G91" s="131">
        <v>17</v>
      </c>
      <c r="J91" s="112"/>
      <c r="K91" s="112"/>
      <c r="L91" s="112"/>
      <c r="M91" s="112"/>
      <c r="N91" s="112"/>
      <c r="O91" s="112"/>
      <c r="P91" s="112"/>
      <c r="Q91" s="112"/>
      <c r="R91" s="112"/>
      <c r="S91" s="112"/>
      <c r="T91" s="138"/>
      <c r="U91" s="112"/>
      <c r="V91" s="112"/>
      <c r="AA91" s="177"/>
    </row>
    <row r="92" spans="3:28" ht="25.5" outlineLevel="2" x14ac:dyDescent="0.35">
      <c r="E92" s="8" t="s">
        <v>205</v>
      </c>
      <c r="G92" s="22" t="s">
        <v>34</v>
      </c>
      <c r="J92" s="112">
        <f>INDEX('Traffic Management Act'!J$71:J$88,'Analysis (TMA)'!$G91,)</f>
        <v>0.34353644859813087</v>
      </c>
      <c r="K92" s="112">
        <f>INDEX('Traffic Management Act'!K$71:K$88,'Analysis (TMA)'!$G91,)</f>
        <v>0.37171823204419896</v>
      </c>
      <c r="L92" s="112">
        <f>INDEX('Traffic Management Act'!L$71:L$88,'Analysis (TMA)'!$G91,)</f>
        <v>0.20599999999999999</v>
      </c>
      <c r="M92" s="112">
        <f>INDEX('Traffic Management Act'!M$71:M$88,'Analysis (TMA)'!$G91,)</f>
        <v>0.44719455852156048</v>
      </c>
      <c r="N92" s="112">
        <f>INDEX('Traffic Management Act'!N$71:N$88,'Analysis (TMA)'!$G91,)</f>
        <v>0.47199999999999998</v>
      </c>
      <c r="O92" s="112">
        <f>INDEX('Traffic Management Act'!O$71:O$88,'Analysis (TMA)'!$G91,)</f>
        <v>0.18539385899999999</v>
      </c>
      <c r="P92" s="112">
        <f>INDEX('Traffic Management Act'!P$71:P$88,'Analysis (TMA)'!$G91,)</f>
        <v>0.18540647900000001</v>
      </c>
      <c r="Q92" s="112">
        <f>INDEX('Traffic Management Act'!Q$71:Q$88,'Analysis (TMA)'!$G91,)</f>
        <v>0.185392694</v>
      </c>
      <c r="R92" s="112">
        <f>INDEX('Traffic Management Act'!R$71:R$88,'Analysis (TMA)'!$G91,)</f>
        <v>0.185397645</v>
      </c>
      <c r="S92" s="112">
        <f>INDEX('Traffic Management Act'!S$71:S$88,'Analysis (TMA)'!$G91,)</f>
        <v>0.18540731699999999</v>
      </c>
      <c r="T92" s="138"/>
      <c r="U92" s="112">
        <f>IFERROR(AVERAGE(O92:S92),0)</f>
        <v>0.18539959880000001</v>
      </c>
      <c r="V92" s="112">
        <f>SUM(O92:S92)</f>
        <v>0.92699799400000005</v>
      </c>
      <c r="X92" s="146" t="s">
        <v>206</v>
      </c>
      <c r="Y92" s="191" t="s">
        <v>221</v>
      </c>
      <c r="Z92" s="175" t="s">
        <v>207</v>
      </c>
      <c r="AA92" s="175" t="s">
        <v>208</v>
      </c>
      <c r="AB92" s="146"/>
    </row>
    <row r="93" spans="3:28" ht="13.5" outlineLevel="2" thickBot="1" x14ac:dyDescent="0.4">
      <c r="E93" s="8" t="s">
        <v>209</v>
      </c>
      <c r="G93" s="22" t="s">
        <v>34</v>
      </c>
      <c r="J93" s="112">
        <f>INDEX('Traffic Management Act'!J$149:J$166,'Analysis (TMA)'!$G91,)</f>
        <v>0</v>
      </c>
      <c r="K93" s="112">
        <f>INDEX('Traffic Management Act'!K$149:K$166,'Analysis (TMA)'!$G91,)</f>
        <v>0</v>
      </c>
      <c r="L93" s="112">
        <f>INDEX('Traffic Management Act'!L$149:L$166,'Analysis (TMA)'!$G91,)</f>
        <v>0</v>
      </c>
      <c r="M93" s="112">
        <f>INDEX('Traffic Management Act'!M$149:M$166,'Analysis (TMA)'!$G91,)</f>
        <v>0</v>
      </c>
      <c r="N93" s="112">
        <f>INDEX('Traffic Management Act'!N$149:N$166,'Analysis (TMA)'!$G91,)</f>
        <v>0</v>
      </c>
      <c r="O93" s="112">
        <f>INDEX('Traffic Management Act'!O$149:O$166,'Analysis (TMA)'!$G91,)</f>
        <v>0</v>
      </c>
      <c r="P93" s="112">
        <f>INDEX('Traffic Management Act'!P$149:P$166,'Analysis (TMA)'!$G91,)</f>
        <v>0</v>
      </c>
      <c r="Q93" s="112">
        <f>INDEX('Traffic Management Act'!Q$149:Q$166,'Analysis (TMA)'!$G91,)</f>
        <v>0</v>
      </c>
      <c r="R93" s="112">
        <f>INDEX('Traffic Management Act'!R$149:R$166,'Analysis (TMA)'!$G91,)</f>
        <v>0</v>
      </c>
      <c r="S93" s="112">
        <f>INDEX('Traffic Management Act'!S$149:S$166,'Analysis (TMA)'!$G91,)</f>
        <v>0</v>
      </c>
      <c r="T93" s="138"/>
      <c r="U93" s="112">
        <f>IFERROR(AVERAGE(O93:S93),0)</f>
        <v>0</v>
      </c>
      <c r="V93" s="112">
        <f>SUM(O93:S93)</f>
        <v>0</v>
      </c>
      <c r="X93" s="147"/>
      <c r="Y93" s="201"/>
      <c r="Z93" s="147"/>
      <c r="AA93" s="176"/>
      <c r="AB93" s="147"/>
    </row>
    <row r="94" spans="3:28" outlineLevel="2" x14ac:dyDescent="0.35">
      <c r="E94" s="8" t="s">
        <v>99</v>
      </c>
      <c r="G94" s="22" t="s">
        <v>34</v>
      </c>
      <c r="J94" s="134">
        <f t="shared" ref="J94:S94" si="16">SUM(J92:J93)</f>
        <v>0.34353644859813087</v>
      </c>
      <c r="K94" s="134">
        <f t="shared" si="16"/>
        <v>0.37171823204419896</v>
      </c>
      <c r="L94" s="134">
        <f t="shared" si="16"/>
        <v>0.20599999999999999</v>
      </c>
      <c r="M94" s="134">
        <f t="shared" si="16"/>
        <v>0.44719455852156048</v>
      </c>
      <c r="N94" s="134">
        <f t="shared" si="16"/>
        <v>0.47199999999999998</v>
      </c>
      <c r="O94" s="134">
        <f t="shared" si="16"/>
        <v>0.18539385899999999</v>
      </c>
      <c r="P94" s="134">
        <f t="shared" si="16"/>
        <v>0.18540647900000001</v>
      </c>
      <c r="Q94" s="134">
        <f t="shared" si="16"/>
        <v>0.185392694</v>
      </c>
      <c r="R94" s="134">
        <f t="shared" si="16"/>
        <v>0.185397645</v>
      </c>
      <c r="S94" s="134">
        <f t="shared" si="16"/>
        <v>0.18540731699999999</v>
      </c>
      <c r="T94" s="138"/>
      <c r="U94" s="134">
        <f>SUM(U92:U93)</f>
        <v>0.18539959880000001</v>
      </c>
      <c r="V94" s="134">
        <f>SUM(V92:V93)</f>
        <v>0.92699799400000005</v>
      </c>
    </row>
    <row r="95" spans="3:28" outlineLevel="1" x14ac:dyDescent="0.35">
      <c r="J95" s="112"/>
      <c r="K95" s="112"/>
      <c r="L95" s="112"/>
      <c r="M95" s="112"/>
      <c r="N95" s="112"/>
      <c r="O95" s="112"/>
      <c r="P95" s="112"/>
      <c r="Q95" s="112"/>
      <c r="R95" s="112"/>
      <c r="S95" s="112"/>
      <c r="T95" s="138"/>
      <c r="U95" s="112"/>
      <c r="V95" s="112"/>
    </row>
    <row r="96" spans="3:28" ht="13.5" outlineLevel="1" thickBot="1" x14ac:dyDescent="0.4">
      <c r="C96" s="24" t="str">
        <f>INDEX(InpC!$E$25:$E$42,G96)</f>
        <v>Industry total</v>
      </c>
      <c r="F96" s="113">
        <f>INDEX(InpC!$F$25:$F$42,G96,)</f>
        <v>0</v>
      </c>
      <c r="G96" s="131">
        <v>18</v>
      </c>
      <c r="J96" s="112"/>
      <c r="K96" s="112"/>
      <c r="L96" s="112"/>
      <c r="M96" s="112"/>
      <c r="N96" s="112"/>
      <c r="O96" s="112"/>
      <c r="P96" s="112"/>
      <c r="Q96" s="112"/>
      <c r="R96" s="112"/>
      <c r="S96" s="112"/>
      <c r="T96" s="138"/>
      <c r="U96" s="112"/>
      <c r="V96" s="112"/>
    </row>
    <row r="97" spans="1:28" outlineLevel="2" x14ac:dyDescent="0.35">
      <c r="E97" s="8" t="s">
        <v>205</v>
      </c>
      <c r="G97" s="22" t="s">
        <v>34</v>
      </c>
      <c r="J97" s="112">
        <f>INDEX('Traffic Management Act'!J$71:J$88,'Analysis (TMA)'!$G96,)</f>
        <v>37.482578256444675</v>
      </c>
      <c r="K97" s="112">
        <f>INDEX('Traffic Management Act'!K$71:K$88,'Analysis (TMA)'!$G96,)</f>
        <v>39.67745284082438</v>
      </c>
      <c r="L97" s="112">
        <f>INDEX('Traffic Management Act'!L$71:L$88,'Analysis (TMA)'!$G96,)</f>
        <v>46.580470172189095</v>
      </c>
      <c r="M97" s="112">
        <f>INDEX('Traffic Management Act'!M$71:M$88,'Analysis (TMA)'!$G96,)</f>
        <v>39.337334352283577</v>
      </c>
      <c r="N97" s="112">
        <f>INDEX('Traffic Management Act'!N$71:N$88,'Analysis (TMA)'!$G96,)</f>
        <v>48.200613702968781</v>
      </c>
      <c r="O97" s="112">
        <f>INDEX('Traffic Management Act'!O$71:O$88,'Analysis (TMA)'!$G96,)</f>
        <v>51.161376515527451</v>
      </c>
      <c r="P97" s="112">
        <f>INDEX('Traffic Management Act'!P$71:P$88,'Analysis (TMA)'!$G96,)</f>
        <v>51.211606736969749</v>
      </c>
      <c r="Q97" s="112">
        <f>INDEX('Traffic Management Act'!Q$71:Q$88,'Analysis (TMA)'!$G96,)</f>
        <v>51.246058698643608</v>
      </c>
      <c r="R97" s="112">
        <f>INDEX('Traffic Management Act'!R$71:R$88,'Analysis (TMA)'!$G96,)</f>
        <v>51.290594945551661</v>
      </c>
      <c r="S97" s="112">
        <f>INDEX('Traffic Management Act'!S$71:S$88,'Analysis (TMA)'!$G96,)</f>
        <v>51.337213899938227</v>
      </c>
      <c r="T97" s="138"/>
      <c r="U97" s="112">
        <f>IFERROR(AVERAGE(O97:S97),0)</f>
        <v>51.249370159326133</v>
      </c>
      <c r="V97" s="112">
        <f>SUM(O97:S97)</f>
        <v>256.24685079663067</v>
      </c>
      <c r="X97" s="241"/>
      <c r="Y97" s="241"/>
      <c r="Z97" s="175"/>
      <c r="AA97" s="175"/>
      <c r="AB97" s="241"/>
    </row>
    <row r="98" spans="1:28" ht="13.5" outlineLevel="2" thickBot="1" x14ac:dyDescent="0.4">
      <c r="E98" s="8" t="s">
        <v>209</v>
      </c>
      <c r="G98" s="22" t="s">
        <v>34</v>
      </c>
      <c r="J98" s="112">
        <f>INDEX('Traffic Management Act'!J$149:J$166,'Analysis (TMA)'!$G96,)</f>
        <v>2.6113022668214181</v>
      </c>
      <c r="K98" s="112">
        <f>INDEX('Traffic Management Act'!K$149:K$166,'Analysis (TMA)'!$G96,)</f>
        <v>3.4103460864705135</v>
      </c>
      <c r="L98" s="112">
        <f>INDEX('Traffic Management Act'!L$149:L$166,'Analysis (TMA)'!$G96,)</f>
        <v>1.8699484302206919</v>
      </c>
      <c r="M98" s="112">
        <f>INDEX('Traffic Management Act'!M$149:M$166,'Analysis (TMA)'!$G96,)</f>
        <v>2.1911662346898999</v>
      </c>
      <c r="N98" s="112">
        <f>INDEX('Traffic Management Act'!N$149:N$166,'Analysis (TMA)'!$G96,)</f>
        <v>1.7737750655649152</v>
      </c>
      <c r="O98" s="112">
        <f>INDEX('Traffic Management Act'!O$149:O$166,'Analysis (TMA)'!$G96,)</f>
        <v>1.7149889785949801</v>
      </c>
      <c r="P98" s="112">
        <f>INDEX('Traffic Management Act'!P$149:P$166,'Analysis (TMA)'!$G96,)</f>
        <v>1.7143394395949803</v>
      </c>
      <c r="Q98" s="112">
        <f>INDEX('Traffic Management Act'!Q$149:Q$166,'Analysis (TMA)'!$G96,)</f>
        <v>1.71569812659498</v>
      </c>
      <c r="R98" s="112">
        <f>INDEX('Traffic Management Act'!R$149:R$166,'Analysis (TMA)'!$G96,)</f>
        <v>1.7030650835949803</v>
      </c>
      <c r="S98" s="112">
        <f>INDEX('Traffic Management Act'!S$149:S$166,'Analysis (TMA)'!$G96,)</f>
        <v>1.7044403665949801</v>
      </c>
      <c r="T98" s="138"/>
      <c r="U98" s="112">
        <f>IFERROR(AVERAGE(O98:S98),0)</f>
        <v>1.7105063989949802</v>
      </c>
      <c r="V98" s="112">
        <f>SUM(O98:S98)</f>
        <v>8.5525319949749008</v>
      </c>
      <c r="X98" s="242"/>
      <c r="Y98" s="242"/>
      <c r="Z98" s="147"/>
      <c r="AA98" s="176"/>
      <c r="AB98" s="242"/>
    </row>
    <row r="99" spans="1:28" outlineLevel="2" x14ac:dyDescent="0.35">
      <c r="E99" s="8" t="s">
        <v>99</v>
      </c>
      <c r="G99" s="22" t="s">
        <v>34</v>
      </c>
      <c r="J99" s="134">
        <f t="shared" ref="J99:S99" si="17">SUM(J97:J98)</f>
        <v>40.093880523266094</v>
      </c>
      <c r="K99" s="134">
        <f t="shared" si="17"/>
        <v>43.087798927294891</v>
      </c>
      <c r="L99" s="134">
        <f t="shared" si="17"/>
        <v>48.450418602409783</v>
      </c>
      <c r="M99" s="134">
        <f t="shared" si="17"/>
        <v>41.528500586973479</v>
      </c>
      <c r="N99" s="134">
        <f t="shared" si="17"/>
        <v>49.974388768533693</v>
      </c>
      <c r="O99" s="134">
        <f t="shared" si="17"/>
        <v>52.876365494122432</v>
      </c>
      <c r="P99" s="134">
        <f t="shared" si="17"/>
        <v>52.925946176564729</v>
      </c>
      <c r="Q99" s="134">
        <f t="shared" si="17"/>
        <v>52.961756825238588</v>
      </c>
      <c r="R99" s="134">
        <f t="shared" si="17"/>
        <v>52.993660029146639</v>
      </c>
      <c r="S99" s="134">
        <f t="shared" si="17"/>
        <v>53.041654266533207</v>
      </c>
      <c r="T99" s="138"/>
      <c r="U99" s="134">
        <f>SUM(U97:U98)</f>
        <v>52.959876558321113</v>
      </c>
      <c r="V99" s="134">
        <f>SUM(V97:V98)</f>
        <v>264.79938279160558</v>
      </c>
    </row>
    <row r="100" spans="1:28" x14ac:dyDescent="0.35">
      <c r="J100" s="112"/>
      <c r="K100" s="112"/>
      <c r="L100" s="112"/>
      <c r="M100" s="112"/>
      <c r="N100" s="112"/>
      <c r="O100" s="112"/>
      <c r="P100" s="112"/>
      <c r="Q100" s="112"/>
      <c r="R100" s="112"/>
      <c r="S100" s="112"/>
      <c r="T100" s="138"/>
      <c r="U100" s="112"/>
      <c r="V100" s="112"/>
    </row>
    <row r="101" spans="1:28" collapsed="1" x14ac:dyDescent="0.35">
      <c r="A101" s="11" t="s">
        <v>222</v>
      </c>
      <c r="J101" s="112"/>
      <c r="K101" s="112"/>
      <c r="L101" s="112"/>
      <c r="M101" s="112"/>
      <c r="N101" s="112"/>
      <c r="O101" s="112"/>
      <c r="P101" s="112"/>
      <c r="Q101" s="112"/>
      <c r="R101" s="112"/>
      <c r="S101" s="112"/>
      <c r="T101" s="138"/>
      <c r="U101" s="112"/>
      <c r="V101" s="112"/>
    </row>
    <row r="102" spans="1:28" hidden="1" outlineLevel="1" x14ac:dyDescent="0.35">
      <c r="J102" s="112"/>
      <c r="K102" s="112"/>
      <c r="L102" s="112"/>
      <c r="M102" s="174"/>
      <c r="N102" s="174"/>
      <c r="O102" s="174"/>
      <c r="P102" s="174"/>
      <c r="Q102" s="174"/>
      <c r="R102" s="174"/>
      <c r="S102" s="174"/>
      <c r="T102" s="138"/>
      <c r="U102" s="112"/>
      <c r="V102" s="112"/>
      <c r="X102" s="251"/>
      <c r="Y102" s="251"/>
      <c r="Z102" s="251"/>
      <c r="AA102" s="251"/>
      <c r="AB102" s="251"/>
    </row>
    <row r="103" spans="1:28" hidden="1" outlineLevel="1" collapsed="1" x14ac:dyDescent="0.35">
      <c r="C103" s="24" t="str">
        <f>INDEX(InpC!$E$25:$E$42,G103)</f>
        <v>Anglian Water</v>
      </c>
      <c r="F103" s="113" t="str">
        <f>INDEX(InpC!$F$25:$F$42,G103,)</f>
        <v>ANH</v>
      </c>
      <c r="G103" s="8">
        <f>G11</f>
        <v>1</v>
      </c>
      <c r="J103" s="112"/>
      <c r="K103" s="112"/>
      <c r="L103" s="112"/>
      <c r="M103" s="112"/>
      <c r="N103" s="112"/>
      <c r="O103" s="112"/>
      <c r="P103" s="112"/>
      <c r="Q103" s="112"/>
      <c r="R103" s="112"/>
      <c r="S103" s="112"/>
      <c r="T103" s="138"/>
      <c r="U103" s="112"/>
      <c r="V103" s="112"/>
      <c r="X103" s="251"/>
      <c r="Y103" s="251"/>
      <c r="Z103" s="251"/>
      <c r="AA103" s="251"/>
      <c r="AB103" s="251"/>
    </row>
    <row r="104" spans="1:28" hidden="1" outlineLevel="2" x14ac:dyDescent="0.35">
      <c r="E104" s="8" t="s">
        <v>82</v>
      </c>
      <c r="G104" s="22" t="s">
        <v>83</v>
      </c>
      <c r="J104" s="186"/>
      <c r="K104" s="186"/>
      <c r="L104" s="186"/>
      <c r="M104" s="186"/>
      <c r="N104" s="186"/>
      <c r="O104" s="186"/>
      <c r="P104" s="186"/>
      <c r="Q104" s="186"/>
      <c r="R104" s="186"/>
      <c r="S104" s="186"/>
      <c r="T104" s="138"/>
      <c r="U104" s="112"/>
      <c r="V104" s="112"/>
    </row>
    <row r="105" spans="1:28" hidden="1" outlineLevel="2" x14ac:dyDescent="0.35">
      <c r="E105" s="8" t="s">
        <v>85</v>
      </c>
      <c r="G105" s="22" t="s">
        <v>83</v>
      </c>
      <c r="J105" s="186"/>
      <c r="K105" s="186"/>
      <c r="L105" s="186"/>
      <c r="M105" s="186"/>
      <c r="N105" s="186"/>
      <c r="O105" s="186"/>
      <c r="P105" s="186"/>
      <c r="Q105" s="186"/>
      <c r="R105" s="186"/>
      <c r="S105" s="186"/>
      <c r="T105" s="138"/>
      <c r="U105" s="112"/>
      <c r="V105" s="112"/>
    </row>
    <row r="106" spans="1:28" hidden="1" outlineLevel="2" x14ac:dyDescent="0.35">
      <c r="E106" s="8" t="s">
        <v>205</v>
      </c>
      <c r="G106" s="22" t="s">
        <v>34</v>
      </c>
      <c r="J106" s="112"/>
      <c r="K106" s="112"/>
      <c r="L106" s="112"/>
      <c r="M106" s="112"/>
      <c r="N106" s="112"/>
      <c r="O106" s="112">
        <f t="shared" ref="O106:S107" si="18" xml:space="preserve"> O12 * (1 - O104)</f>
        <v>1.4730689481860959</v>
      </c>
      <c r="P106" s="112">
        <f t="shared" si="18"/>
        <v>1.4730689481860959</v>
      </c>
      <c r="Q106" s="112">
        <f t="shared" si="18"/>
        <v>1.4730689481860959</v>
      </c>
      <c r="R106" s="112">
        <f t="shared" si="18"/>
        <v>1.4730689481860959</v>
      </c>
      <c r="S106" s="112">
        <f t="shared" si="18"/>
        <v>1.4730689481860959</v>
      </c>
      <c r="T106" s="138"/>
      <c r="U106" s="112">
        <f t="shared" ref="U106:U107" si="19">IFERROR(AVERAGE(O106:S106),0)</f>
        <v>1.4730689481860959</v>
      </c>
      <c r="V106" s="112">
        <f t="shared" ref="V106:V107" si="20">SUM(O106:S106)</f>
        <v>7.36534474093048</v>
      </c>
    </row>
    <row r="107" spans="1:28" hidden="1" outlineLevel="2" x14ac:dyDescent="0.35">
      <c r="E107" s="8" t="s">
        <v>209</v>
      </c>
      <c r="G107" s="22" t="s">
        <v>34</v>
      </c>
      <c r="J107" s="112"/>
      <c r="K107" s="112"/>
      <c r="L107" s="112"/>
      <c r="M107" s="112"/>
      <c r="N107" s="112"/>
      <c r="O107" s="112">
        <f t="shared" si="18"/>
        <v>8.3699999999999997E-2</v>
      </c>
      <c r="P107" s="112">
        <f t="shared" si="18"/>
        <v>8.3699999999999997E-2</v>
      </c>
      <c r="Q107" s="112">
        <f t="shared" si="18"/>
        <v>8.3699999999999997E-2</v>
      </c>
      <c r="R107" s="112">
        <f t="shared" si="18"/>
        <v>8.3699999999999997E-2</v>
      </c>
      <c r="S107" s="112">
        <f t="shared" si="18"/>
        <v>8.3699999999999997E-2</v>
      </c>
      <c r="T107" s="138"/>
      <c r="U107" s="112">
        <f t="shared" si="19"/>
        <v>8.3699999999999997E-2</v>
      </c>
      <c r="V107" s="112">
        <f t="shared" si="20"/>
        <v>0.41849999999999998</v>
      </c>
    </row>
    <row r="108" spans="1:28" hidden="1" outlineLevel="2" x14ac:dyDescent="0.35">
      <c r="E108" s="8" t="s">
        <v>99</v>
      </c>
      <c r="G108" s="22" t="s">
        <v>34</v>
      </c>
      <c r="J108" s="134">
        <f>SUM(J106:J107)</f>
        <v>0</v>
      </c>
      <c r="K108" s="134">
        <f t="shared" ref="K108:S108" si="21">SUM(K106:K107)</f>
        <v>0</v>
      </c>
      <c r="L108" s="134">
        <f t="shared" si="21"/>
        <v>0</v>
      </c>
      <c r="M108" s="134">
        <f t="shared" si="21"/>
        <v>0</v>
      </c>
      <c r="N108" s="134">
        <f t="shared" si="21"/>
        <v>0</v>
      </c>
      <c r="O108" s="134">
        <f t="shared" si="21"/>
        <v>1.5567689481860958</v>
      </c>
      <c r="P108" s="134">
        <f t="shared" si="21"/>
        <v>1.5567689481860958</v>
      </c>
      <c r="Q108" s="134">
        <f t="shared" si="21"/>
        <v>1.5567689481860958</v>
      </c>
      <c r="R108" s="134">
        <f t="shared" si="21"/>
        <v>1.5567689481860958</v>
      </c>
      <c r="S108" s="134">
        <f t="shared" si="21"/>
        <v>1.5567689481860958</v>
      </c>
      <c r="T108" s="138"/>
      <c r="U108" s="134">
        <f>SUM(U106:U107)</f>
        <v>1.5567689481860958</v>
      </c>
      <c r="V108" s="134">
        <f>SUM(V106:V107)</f>
        <v>7.7838447409304798</v>
      </c>
    </row>
    <row r="109" spans="1:28" hidden="1" outlineLevel="1" x14ac:dyDescent="0.35">
      <c r="J109" s="112"/>
      <c r="K109" s="112"/>
      <c r="L109" s="112"/>
      <c r="M109" s="112"/>
      <c r="N109" s="112"/>
      <c r="O109" s="112"/>
      <c r="P109" s="112"/>
      <c r="Q109" s="112"/>
      <c r="R109" s="112"/>
      <c r="S109" s="112"/>
      <c r="T109" s="138"/>
      <c r="U109" s="112"/>
      <c r="V109" s="112"/>
    </row>
    <row r="110" spans="1:28" hidden="1" outlineLevel="1" collapsed="1" x14ac:dyDescent="0.35">
      <c r="C110" s="24" t="str">
        <f>INDEX(InpC!$E$25:$E$42,G110)</f>
        <v>Dŵr Cymru</v>
      </c>
      <c r="F110" s="113" t="str">
        <f>INDEX(InpC!$F$25:$F$42,G110,)</f>
        <v>WSH</v>
      </c>
      <c r="G110" s="8">
        <f>G16</f>
        <v>2</v>
      </c>
      <c r="J110" s="112"/>
      <c r="K110" s="112"/>
      <c r="L110" s="112"/>
      <c r="M110" s="112"/>
      <c r="N110" s="112"/>
      <c r="O110" s="112"/>
      <c r="P110" s="112"/>
      <c r="Q110" s="112"/>
      <c r="R110" s="112"/>
      <c r="S110" s="112"/>
      <c r="T110" s="138"/>
      <c r="U110" s="112"/>
      <c r="V110" s="112"/>
    </row>
    <row r="111" spans="1:28" hidden="1" outlineLevel="2" x14ac:dyDescent="0.35">
      <c r="E111" s="183" t="s">
        <v>82</v>
      </c>
      <c r="G111" s="22" t="s">
        <v>83</v>
      </c>
      <c r="J111" s="128"/>
      <c r="K111" s="128"/>
      <c r="L111" s="128"/>
      <c r="M111" s="128"/>
      <c r="N111" s="128"/>
      <c r="O111" s="186">
        <f xml:space="preserve"> SUMIFS('F_Inputs (EC)'!F$8:F$41, 'F_Inputs (EC)'!$A$8:$A$41, 'Analysis (TMA)'!$F$110, 'F_Inputs (EC)'!$B$8:$B$41, 'F_Inputs (EC)'!$B8)</f>
        <v>7.3588877505634835E-3</v>
      </c>
      <c r="P111" s="186">
        <f xml:space="preserve"> SUMIFS('F_Inputs (EC)'!G$8:G$41, 'F_Inputs (EC)'!$A$8:$A$41, 'Analysis (TMA)'!$F$110, 'F_Inputs (EC)'!$B$8:$B$41, 'F_Inputs (EC)'!$B8)</f>
        <v>7.3588877505634835E-3</v>
      </c>
      <c r="Q111" s="186">
        <f xml:space="preserve"> SUMIFS('F_Inputs (EC)'!H$8:H$41, 'F_Inputs (EC)'!$A$8:$A$41, 'Analysis (TMA)'!$F$110, 'F_Inputs (EC)'!$B$8:$B$41, 'F_Inputs (EC)'!$B8)</f>
        <v>7.3588877505634835E-3</v>
      </c>
      <c r="R111" s="186">
        <f xml:space="preserve"> SUMIFS('F_Inputs (EC)'!I$8:I$41, 'F_Inputs (EC)'!$A$8:$A$41, 'Analysis (TMA)'!$F$110, 'F_Inputs (EC)'!$B$8:$B$41, 'F_Inputs (EC)'!$B8)</f>
        <v>7.3588877505634835E-3</v>
      </c>
      <c r="S111" s="186">
        <f xml:space="preserve"> SUMIFS('F_Inputs (EC)'!J$8:J$41, 'F_Inputs (EC)'!$A$8:$A$41, 'Analysis (TMA)'!$F$110, 'F_Inputs (EC)'!$B$8:$B$41, 'F_Inputs (EC)'!$B8)</f>
        <v>7.3588877505634835E-3</v>
      </c>
      <c r="T111" s="138"/>
      <c r="U111" s="112"/>
      <c r="V111" s="112"/>
    </row>
    <row r="112" spans="1:28" hidden="1" outlineLevel="2" x14ac:dyDescent="0.35">
      <c r="E112" s="183" t="s">
        <v>85</v>
      </c>
      <c r="G112" s="22" t="s">
        <v>83</v>
      </c>
      <c r="J112" s="128"/>
      <c r="K112" s="128"/>
      <c r="L112" s="128"/>
      <c r="M112" s="128"/>
      <c r="N112" s="128"/>
      <c r="O112" s="186">
        <f xml:space="preserve"> SUMIFS('F_Inputs (EC)'!F$8:F$41, 'F_Inputs (EC)'!$A$8:$A$41, 'Analysis (TMA)'!$F$110, 'F_Inputs (EC)'!$B$8:$B$41, 'F_Inputs (EC)'!$B9)</f>
        <v>0</v>
      </c>
      <c r="P112" s="186">
        <f xml:space="preserve"> SUMIFS('F_Inputs (EC)'!G$8:G$41, 'F_Inputs (EC)'!$A$8:$A$41, 'Analysis (TMA)'!$F$110, 'F_Inputs (EC)'!$B$8:$B$41, 'F_Inputs (EC)'!$B9)</f>
        <v>0</v>
      </c>
      <c r="Q112" s="186">
        <f xml:space="preserve"> SUMIFS('F_Inputs (EC)'!H$8:H$41, 'F_Inputs (EC)'!$A$8:$A$41, 'Analysis (TMA)'!$F$110, 'F_Inputs (EC)'!$B$8:$B$41, 'F_Inputs (EC)'!$B9)</f>
        <v>0</v>
      </c>
      <c r="R112" s="186">
        <f xml:space="preserve"> SUMIFS('F_Inputs (EC)'!I$8:I$41, 'F_Inputs (EC)'!$A$8:$A$41, 'Analysis (TMA)'!$F$110, 'F_Inputs (EC)'!$B$8:$B$41, 'F_Inputs (EC)'!$B9)</f>
        <v>0</v>
      </c>
      <c r="S112" s="186">
        <f xml:space="preserve"> SUMIFS('F_Inputs (EC)'!J$8:J$41, 'F_Inputs (EC)'!$A$8:$A$41, 'Analysis (TMA)'!$F$110, 'F_Inputs (EC)'!$B$8:$B$41, 'F_Inputs (EC)'!$B9)</f>
        <v>0</v>
      </c>
      <c r="T112" s="138"/>
      <c r="U112" s="112"/>
      <c r="V112" s="112"/>
    </row>
    <row r="113" spans="3:22" hidden="1" outlineLevel="2" x14ac:dyDescent="0.35">
      <c r="E113" s="8" t="s">
        <v>205</v>
      </c>
      <c r="G113" s="22" t="s">
        <v>34</v>
      </c>
      <c r="J113" s="112"/>
      <c r="K113" s="112"/>
      <c r="L113" s="112"/>
      <c r="M113" s="112"/>
      <c r="N113" s="112"/>
      <c r="O113" s="112">
        <f t="shared" ref="O113:S114" si="22" xml:space="preserve"> O17 * (1 - O111)</f>
        <v>4.1690926714476335E-2</v>
      </c>
      <c r="P113" s="112">
        <f t="shared" si="22"/>
        <v>3.970564448997746E-2</v>
      </c>
      <c r="Q113" s="112">
        <f t="shared" si="22"/>
        <v>3.8713003377728025E-2</v>
      </c>
      <c r="R113" s="112">
        <f t="shared" si="22"/>
        <v>3.8713003377728025E-2</v>
      </c>
      <c r="S113" s="112">
        <f t="shared" si="22"/>
        <v>3.7720362265478584E-2</v>
      </c>
      <c r="T113" s="138"/>
      <c r="U113" s="112">
        <f t="shared" ref="U113:U114" si="23">IFERROR(AVERAGE(O113:S113),0)</f>
        <v>3.9308588045077683E-2</v>
      </c>
      <c r="V113" s="112">
        <f t="shared" ref="V113:V114" si="24">SUM(O113:S113)</f>
        <v>0.19654294022538843</v>
      </c>
    </row>
    <row r="114" spans="3:22" hidden="1" outlineLevel="2" x14ac:dyDescent="0.35">
      <c r="E114" s="8" t="s">
        <v>209</v>
      </c>
      <c r="G114" s="22" t="s">
        <v>34</v>
      </c>
      <c r="J114" s="112"/>
      <c r="K114" s="112"/>
      <c r="L114" s="112"/>
      <c r="M114" s="112"/>
      <c r="N114" s="112"/>
      <c r="O114" s="112">
        <f t="shared" si="22"/>
        <v>2.7E-2</v>
      </c>
      <c r="P114" s="112">
        <f t="shared" si="22"/>
        <v>2.5000000000000001E-2</v>
      </c>
      <c r="Q114" s="112">
        <f t="shared" si="22"/>
        <v>2.5000000000000001E-2</v>
      </c>
      <c r="R114" s="112">
        <f t="shared" si="22"/>
        <v>2.4E-2</v>
      </c>
      <c r="S114" s="112">
        <f t="shared" si="22"/>
        <v>2.4E-2</v>
      </c>
      <c r="T114" s="138"/>
      <c r="U114" s="112">
        <f t="shared" si="23"/>
        <v>2.5000000000000001E-2</v>
      </c>
      <c r="V114" s="112">
        <f t="shared" si="24"/>
        <v>0.125</v>
      </c>
    </row>
    <row r="115" spans="3:22" hidden="1" outlineLevel="2" x14ac:dyDescent="0.35">
      <c r="E115" s="8" t="s">
        <v>99</v>
      </c>
      <c r="G115" s="22" t="s">
        <v>34</v>
      </c>
      <c r="J115" s="134">
        <f>SUM(J113:J114)</f>
        <v>0</v>
      </c>
      <c r="K115" s="134">
        <f t="shared" ref="K115" si="25">SUM(K113:K114)</f>
        <v>0</v>
      </c>
      <c r="L115" s="134">
        <f t="shared" ref="L115" si="26">SUM(L113:L114)</f>
        <v>0</v>
      </c>
      <c r="M115" s="134">
        <f t="shared" ref="M115" si="27">SUM(M113:M114)</f>
        <v>0</v>
      </c>
      <c r="N115" s="134">
        <f t="shared" ref="N115" si="28">SUM(N113:N114)</f>
        <v>0</v>
      </c>
      <c r="O115" s="134">
        <f t="shared" ref="O115" si="29">SUM(O113:O114)</f>
        <v>6.8690926714476339E-2</v>
      </c>
      <c r="P115" s="134">
        <f t="shared" ref="P115" si="30">SUM(P113:P114)</f>
        <v>6.4705644489977454E-2</v>
      </c>
      <c r="Q115" s="134">
        <f t="shared" ref="Q115" si="31">SUM(Q113:Q114)</f>
        <v>6.3713003377728034E-2</v>
      </c>
      <c r="R115" s="134">
        <f t="shared" ref="R115" si="32">SUM(R113:R114)</f>
        <v>6.2713003377728033E-2</v>
      </c>
      <c r="S115" s="134">
        <f t="shared" ref="S115" si="33">SUM(S113:S114)</f>
        <v>6.1720362265478584E-2</v>
      </c>
      <c r="T115" s="138"/>
      <c r="U115" s="134">
        <f>SUM(U113:U114)</f>
        <v>6.4308588045077691E-2</v>
      </c>
      <c r="V115" s="134">
        <f>SUM(V113:V114)</f>
        <v>0.32154294022538843</v>
      </c>
    </row>
    <row r="116" spans="3:22" hidden="1" outlineLevel="1" x14ac:dyDescent="0.35">
      <c r="J116" s="112"/>
      <c r="K116" s="112"/>
      <c r="L116" s="112"/>
      <c r="M116" s="112"/>
      <c r="N116" s="112"/>
      <c r="O116" s="112"/>
      <c r="P116" s="112"/>
      <c r="Q116" s="112"/>
      <c r="R116" s="112"/>
      <c r="S116" s="112"/>
      <c r="T116" s="138"/>
      <c r="U116" s="112"/>
      <c r="V116" s="112"/>
    </row>
    <row r="117" spans="3:22" hidden="1" outlineLevel="1" collapsed="1" x14ac:dyDescent="0.35">
      <c r="C117" s="24" t="str">
        <f>INDEX(InpC!$E$25:$E$42,G117)</f>
        <v>Hafren Dyfrdwy</v>
      </c>
      <c r="F117" s="113" t="str">
        <f>INDEX(InpC!$F$25:$F$42,G117,)</f>
        <v>HDD</v>
      </c>
      <c r="G117" s="8">
        <f>G21</f>
        <v>3</v>
      </c>
      <c r="J117" s="112"/>
      <c r="K117" s="112"/>
      <c r="L117" s="112"/>
      <c r="M117" s="112"/>
      <c r="N117" s="112"/>
      <c r="O117" s="112"/>
      <c r="P117" s="112"/>
      <c r="Q117" s="112"/>
      <c r="R117" s="112"/>
      <c r="S117" s="112"/>
      <c r="T117" s="138"/>
      <c r="U117" s="112"/>
      <c r="V117" s="112"/>
    </row>
    <row r="118" spans="3:22" hidden="1" outlineLevel="2" x14ac:dyDescent="0.35">
      <c r="E118" s="183" t="s">
        <v>82</v>
      </c>
      <c r="G118" s="22" t="s">
        <v>83</v>
      </c>
      <c r="J118" s="128"/>
      <c r="K118" s="128"/>
      <c r="L118" s="128"/>
      <c r="M118" s="128"/>
      <c r="N118" s="128"/>
      <c r="O118" s="186">
        <f xml:space="preserve"> SUMIFS('F_Inputs (EC)'!F$8:F$41, 'F_Inputs (EC)'!$A$8:$A$41, 'Analysis (TMA)'!$F$117, 'F_Inputs (EC)'!$B$8:$B$41, 'F_Inputs (EC)'!$B8)</f>
        <v>6.8726762251672541E-2</v>
      </c>
      <c r="P118" s="186">
        <f xml:space="preserve"> SUMIFS('F_Inputs (EC)'!G$8:G$41, 'F_Inputs (EC)'!$A$8:$A$41, 'Analysis (TMA)'!$F$117, 'F_Inputs (EC)'!$B$8:$B$41, 'F_Inputs (EC)'!$B8)</f>
        <v>6.8726762251672541E-2</v>
      </c>
      <c r="Q118" s="186">
        <f xml:space="preserve"> SUMIFS('F_Inputs (EC)'!H$8:H$41, 'F_Inputs (EC)'!$A$8:$A$41, 'Analysis (TMA)'!$F$117, 'F_Inputs (EC)'!$B$8:$B$41, 'F_Inputs (EC)'!$B8)</f>
        <v>6.8726762251672541E-2</v>
      </c>
      <c r="R118" s="186">
        <f xml:space="preserve"> SUMIFS('F_Inputs (EC)'!I$8:I$41, 'F_Inputs (EC)'!$A$8:$A$41, 'Analysis (TMA)'!$F$117, 'F_Inputs (EC)'!$B$8:$B$41, 'F_Inputs (EC)'!$B8)</f>
        <v>6.8726762251672541E-2</v>
      </c>
      <c r="S118" s="186">
        <f xml:space="preserve"> SUMIFS('F_Inputs (EC)'!J$8:J$41, 'F_Inputs (EC)'!$A$8:$A$41, 'Analysis (TMA)'!$F$117, 'F_Inputs (EC)'!$B$8:$B$41, 'F_Inputs (EC)'!$B8)</f>
        <v>6.8726762251672541E-2</v>
      </c>
      <c r="T118" s="138"/>
      <c r="U118" s="112"/>
      <c r="V118" s="112"/>
    </row>
    <row r="119" spans="3:22" hidden="1" outlineLevel="2" x14ac:dyDescent="0.35">
      <c r="E119" s="183" t="s">
        <v>85</v>
      </c>
      <c r="G119" s="22" t="s">
        <v>83</v>
      </c>
      <c r="J119" s="128"/>
      <c r="K119" s="128"/>
      <c r="L119" s="128"/>
      <c r="M119" s="128"/>
      <c r="N119" s="128"/>
      <c r="O119" s="186">
        <f xml:space="preserve"> SUMIFS('F_Inputs (EC)'!F$8:F$41, 'F_Inputs (EC)'!$A$8:$A$41, 'Analysis (TMA)'!$F$117, 'F_Inputs (EC)'!$B$8:$B$41, 'F_Inputs (EC)'!$B9)</f>
        <v>0.1</v>
      </c>
      <c r="P119" s="186">
        <f xml:space="preserve"> SUMIFS('F_Inputs (EC)'!G$8:G$41, 'F_Inputs (EC)'!$A$8:$A$41, 'Analysis (TMA)'!$F$117, 'F_Inputs (EC)'!$B$8:$B$41, 'F_Inputs (EC)'!$B9)</f>
        <v>0.1</v>
      </c>
      <c r="Q119" s="186">
        <f xml:space="preserve"> SUMIFS('F_Inputs (EC)'!H$8:H$41, 'F_Inputs (EC)'!$A$8:$A$41, 'Analysis (TMA)'!$F$117, 'F_Inputs (EC)'!$B$8:$B$41, 'F_Inputs (EC)'!$B9)</f>
        <v>0.1</v>
      </c>
      <c r="R119" s="186">
        <f xml:space="preserve"> SUMIFS('F_Inputs (EC)'!I$8:I$41, 'F_Inputs (EC)'!$A$8:$A$41, 'Analysis (TMA)'!$F$117, 'F_Inputs (EC)'!$B$8:$B$41, 'F_Inputs (EC)'!$B9)</f>
        <v>0.1</v>
      </c>
      <c r="S119" s="186">
        <f xml:space="preserve"> SUMIFS('F_Inputs (EC)'!J$8:J$41, 'F_Inputs (EC)'!$A$8:$A$41, 'Analysis (TMA)'!$F$117, 'F_Inputs (EC)'!$B$8:$B$41, 'F_Inputs (EC)'!$B9)</f>
        <v>0.1</v>
      </c>
      <c r="T119" s="138"/>
      <c r="U119" s="112"/>
      <c r="V119" s="112"/>
    </row>
    <row r="120" spans="3:22" hidden="1" outlineLevel="2" x14ac:dyDescent="0.35">
      <c r="E120" s="8" t="s">
        <v>205</v>
      </c>
      <c r="G120" s="22" t="s">
        <v>34</v>
      </c>
      <c r="J120" s="112"/>
      <c r="K120" s="112"/>
      <c r="L120" s="112"/>
      <c r="M120" s="112"/>
      <c r="N120" s="112"/>
      <c r="O120" s="112">
        <f t="shared" ref="O120:S121" si="34" xml:space="preserve"> O22 * (1 - O118)</f>
        <v>0</v>
      </c>
      <c r="P120" s="112">
        <f t="shared" si="34"/>
        <v>0</v>
      </c>
      <c r="Q120" s="112">
        <f t="shared" si="34"/>
        <v>0</v>
      </c>
      <c r="R120" s="112">
        <f t="shared" si="34"/>
        <v>0</v>
      </c>
      <c r="S120" s="112">
        <f t="shared" si="34"/>
        <v>0</v>
      </c>
      <c r="T120" s="138"/>
      <c r="U120" s="112">
        <f t="shared" ref="U120:U121" si="35">IFERROR(AVERAGE(O120:S120),0)</f>
        <v>0</v>
      </c>
      <c r="V120" s="112">
        <f t="shared" ref="V120:V121" si="36">SUM(O120:S120)</f>
        <v>0</v>
      </c>
    </row>
    <row r="121" spans="3:22" hidden="1" outlineLevel="2" x14ac:dyDescent="0.35">
      <c r="E121" s="8" t="s">
        <v>209</v>
      </c>
      <c r="G121" s="22" t="s">
        <v>34</v>
      </c>
      <c r="J121" s="112"/>
      <c r="K121" s="112"/>
      <c r="L121" s="112"/>
      <c r="M121" s="112"/>
      <c r="N121" s="112"/>
      <c r="O121" s="112">
        <f t="shared" si="34"/>
        <v>0</v>
      </c>
      <c r="P121" s="112">
        <f t="shared" si="34"/>
        <v>0</v>
      </c>
      <c r="Q121" s="112">
        <f t="shared" si="34"/>
        <v>0</v>
      </c>
      <c r="R121" s="112">
        <f t="shared" si="34"/>
        <v>0</v>
      </c>
      <c r="S121" s="112">
        <f t="shared" si="34"/>
        <v>0</v>
      </c>
      <c r="T121" s="138"/>
      <c r="U121" s="112">
        <f t="shared" si="35"/>
        <v>0</v>
      </c>
      <c r="V121" s="112">
        <f t="shared" si="36"/>
        <v>0</v>
      </c>
    </row>
    <row r="122" spans="3:22" hidden="1" outlineLevel="2" x14ac:dyDescent="0.35">
      <c r="E122" s="8" t="s">
        <v>99</v>
      </c>
      <c r="G122" s="22" t="s">
        <v>34</v>
      </c>
      <c r="J122" s="134">
        <f>SUM(J120:J121)</f>
        <v>0</v>
      </c>
      <c r="K122" s="134">
        <f t="shared" ref="K122" si="37">SUM(K120:K121)</f>
        <v>0</v>
      </c>
      <c r="L122" s="134">
        <f t="shared" ref="L122" si="38">SUM(L120:L121)</f>
        <v>0</v>
      </c>
      <c r="M122" s="134">
        <f t="shared" ref="M122" si="39">SUM(M120:M121)</f>
        <v>0</v>
      </c>
      <c r="N122" s="134">
        <f t="shared" ref="N122" si="40">SUM(N120:N121)</f>
        <v>0</v>
      </c>
      <c r="O122" s="134">
        <f t="shared" ref="O122" si="41">SUM(O120:O121)</f>
        <v>0</v>
      </c>
      <c r="P122" s="134">
        <f t="shared" ref="P122" si="42">SUM(P120:P121)</f>
        <v>0</v>
      </c>
      <c r="Q122" s="134">
        <f t="shared" ref="Q122" si="43">SUM(Q120:Q121)</f>
        <v>0</v>
      </c>
      <c r="R122" s="134">
        <f t="shared" ref="R122" si="44">SUM(R120:R121)</f>
        <v>0</v>
      </c>
      <c r="S122" s="134">
        <f t="shared" ref="S122" si="45">SUM(S120:S121)</f>
        <v>0</v>
      </c>
      <c r="T122" s="138"/>
      <c r="U122" s="134">
        <f>SUM(U120:U121)</f>
        <v>0</v>
      </c>
      <c r="V122" s="134">
        <f>SUM(V120:V121)</f>
        <v>0</v>
      </c>
    </row>
    <row r="123" spans="3:22" hidden="1" outlineLevel="1" x14ac:dyDescent="0.35">
      <c r="J123" s="112"/>
      <c r="K123" s="112"/>
      <c r="L123" s="112"/>
      <c r="M123" s="112"/>
      <c r="N123" s="112"/>
      <c r="O123" s="112"/>
      <c r="P123" s="112"/>
      <c r="Q123" s="112"/>
      <c r="R123" s="112"/>
      <c r="S123" s="112"/>
      <c r="T123" s="138"/>
      <c r="U123" s="112"/>
      <c r="V123" s="112"/>
    </row>
    <row r="124" spans="3:22" hidden="1" outlineLevel="1" collapsed="1" x14ac:dyDescent="0.35">
      <c r="C124" s="24" t="str">
        <f>INDEX(InpC!$E$25:$E$42,G124)</f>
        <v>Northumbrian Water</v>
      </c>
      <c r="F124" s="113" t="str">
        <f>INDEX(InpC!$F$25:$F$42,G124,)</f>
        <v>NES</v>
      </c>
      <c r="G124" s="8">
        <f>G26</f>
        <v>4</v>
      </c>
      <c r="J124" s="112"/>
      <c r="K124" s="112"/>
      <c r="L124" s="112"/>
      <c r="M124" s="112"/>
      <c r="N124" s="112"/>
      <c r="O124" s="112"/>
      <c r="P124" s="112"/>
      <c r="Q124" s="112"/>
      <c r="R124" s="112"/>
      <c r="S124" s="112"/>
      <c r="T124" s="138"/>
      <c r="U124" s="112"/>
      <c r="V124" s="112"/>
    </row>
    <row r="125" spans="3:22" hidden="1" outlineLevel="2" x14ac:dyDescent="0.35">
      <c r="E125" s="183" t="s">
        <v>82</v>
      </c>
      <c r="G125" s="22" t="s">
        <v>83</v>
      </c>
      <c r="J125" s="128"/>
      <c r="K125" s="128"/>
      <c r="L125" s="128"/>
      <c r="M125" s="128"/>
      <c r="N125" s="128"/>
      <c r="O125" s="186">
        <f xml:space="preserve"> SUMIFS('F_Inputs (EC)'!F$8:F$41, 'F_Inputs (EC)'!$A$8:$A$41, 'Analysis (TMA)'!$F$124, 'F_Inputs (EC)'!$B$8:$B$41, 'F_Inputs (EC)'!$B8)</f>
        <v>5.7853892210834118E-2</v>
      </c>
      <c r="P125" s="186">
        <f xml:space="preserve"> SUMIFS('F_Inputs (EC)'!G$8:G$41, 'F_Inputs (EC)'!$A$8:$A$41, 'Analysis (TMA)'!$F$124, 'F_Inputs (EC)'!$B$8:$B$41, 'F_Inputs (EC)'!$B8)</f>
        <v>5.7853892210834118E-2</v>
      </c>
      <c r="Q125" s="186">
        <f xml:space="preserve"> SUMIFS('F_Inputs (EC)'!H$8:H$41, 'F_Inputs (EC)'!$A$8:$A$41, 'Analysis (TMA)'!$F$124, 'F_Inputs (EC)'!$B$8:$B$41, 'F_Inputs (EC)'!$B8)</f>
        <v>5.7853892210834118E-2</v>
      </c>
      <c r="R125" s="186">
        <f xml:space="preserve"> SUMIFS('F_Inputs (EC)'!I$8:I$41, 'F_Inputs (EC)'!$A$8:$A$41, 'Analysis (TMA)'!$F$124, 'F_Inputs (EC)'!$B$8:$B$41, 'F_Inputs (EC)'!$B8)</f>
        <v>5.7853892210834118E-2</v>
      </c>
      <c r="S125" s="186">
        <f xml:space="preserve"> SUMIFS('F_Inputs (EC)'!J$8:J$41, 'F_Inputs (EC)'!$A$8:$A$41, 'Analysis (TMA)'!$F$124, 'F_Inputs (EC)'!$B$8:$B$41, 'F_Inputs (EC)'!$B8)</f>
        <v>5.7853892210834118E-2</v>
      </c>
      <c r="T125" s="138"/>
      <c r="U125" s="112"/>
      <c r="V125" s="112"/>
    </row>
    <row r="126" spans="3:22" hidden="1" outlineLevel="2" x14ac:dyDescent="0.35">
      <c r="E126" s="183" t="s">
        <v>85</v>
      </c>
      <c r="G126" s="22" t="s">
        <v>83</v>
      </c>
      <c r="J126" s="128"/>
      <c r="K126" s="128"/>
      <c r="L126" s="128"/>
      <c r="M126" s="128"/>
      <c r="N126" s="128"/>
      <c r="O126" s="186">
        <f xml:space="preserve"> SUMIFS('F_Inputs (EC)'!F$8:F$41, 'F_Inputs (EC)'!$A$8:$A$41, 'Analysis (TMA)'!$F$124, 'F_Inputs (EC)'!$B$8:$B$41, 'F_Inputs (EC)'!$B9)</f>
        <v>0.1</v>
      </c>
      <c r="P126" s="186">
        <f xml:space="preserve"> SUMIFS('F_Inputs (EC)'!G$8:G$41, 'F_Inputs (EC)'!$A$8:$A$41, 'Analysis (TMA)'!$F$124, 'F_Inputs (EC)'!$B$8:$B$41, 'F_Inputs (EC)'!$B9)</f>
        <v>0.1</v>
      </c>
      <c r="Q126" s="186">
        <f xml:space="preserve"> SUMIFS('F_Inputs (EC)'!H$8:H$41, 'F_Inputs (EC)'!$A$8:$A$41, 'Analysis (TMA)'!$F$124, 'F_Inputs (EC)'!$B$8:$B$41, 'F_Inputs (EC)'!$B9)</f>
        <v>0.1</v>
      </c>
      <c r="R126" s="186">
        <f xml:space="preserve"> SUMIFS('F_Inputs (EC)'!I$8:I$41, 'F_Inputs (EC)'!$A$8:$A$41, 'Analysis (TMA)'!$F$124, 'F_Inputs (EC)'!$B$8:$B$41, 'F_Inputs (EC)'!$B9)</f>
        <v>0.1</v>
      </c>
      <c r="S126" s="186">
        <f xml:space="preserve"> SUMIFS('F_Inputs (EC)'!J$8:J$41, 'F_Inputs (EC)'!$A$8:$A$41, 'Analysis (TMA)'!$F$124, 'F_Inputs (EC)'!$B$8:$B$41, 'F_Inputs (EC)'!$B9)</f>
        <v>0.1</v>
      </c>
      <c r="T126" s="138"/>
      <c r="U126" s="112"/>
      <c r="V126" s="112"/>
    </row>
    <row r="127" spans="3:22" hidden="1" outlineLevel="2" x14ac:dyDescent="0.35">
      <c r="E127" s="8" t="s">
        <v>205</v>
      </c>
      <c r="G127" s="22" t="s">
        <v>34</v>
      </c>
      <c r="J127" s="112"/>
      <c r="K127" s="112"/>
      <c r="L127" s="112"/>
      <c r="M127" s="112"/>
      <c r="N127" s="112"/>
      <c r="O127" s="112">
        <f t="shared" ref="O127:S128" si="46">O27*(1-O125)</f>
        <v>0.44186652455311876</v>
      </c>
      <c r="P127" s="112">
        <f t="shared" si="46"/>
        <v>0.46447803114005876</v>
      </c>
      <c r="Q127" s="112">
        <f t="shared" si="46"/>
        <v>0.48708953772699876</v>
      </c>
      <c r="R127" s="112">
        <f t="shared" si="46"/>
        <v>0.50875889820614961</v>
      </c>
      <c r="S127" s="112">
        <f t="shared" si="46"/>
        <v>0.5313704047930895</v>
      </c>
      <c r="T127" s="138"/>
      <c r="U127" s="112">
        <f t="shared" ref="U127:U128" si="47">IFERROR(AVERAGE(O127:S127),0)</f>
        <v>0.48671267928388307</v>
      </c>
      <c r="V127" s="112">
        <f t="shared" ref="V127:V128" si="48">SUM(O127:S127)</f>
        <v>2.4335633964194154</v>
      </c>
    </row>
    <row r="128" spans="3:22" hidden="1" outlineLevel="2" x14ac:dyDescent="0.35">
      <c r="E128" s="8" t="s">
        <v>209</v>
      </c>
      <c r="G128" s="22" t="s">
        <v>34</v>
      </c>
      <c r="J128" s="112"/>
      <c r="K128" s="112"/>
      <c r="L128" s="112"/>
      <c r="M128" s="112"/>
      <c r="N128" s="112"/>
      <c r="O128" s="112">
        <f t="shared" si="46"/>
        <v>1.89E-2</v>
      </c>
      <c r="P128" s="112">
        <f t="shared" si="46"/>
        <v>1.89E-2</v>
      </c>
      <c r="Q128" s="112">
        <f t="shared" si="46"/>
        <v>1.89E-2</v>
      </c>
      <c r="R128" s="112">
        <f t="shared" si="46"/>
        <v>1.89E-2</v>
      </c>
      <c r="S128" s="112">
        <f t="shared" si="46"/>
        <v>1.89E-2</v>
      </c>
      <c r="T128" s="138"/>
      <c r="U128" s="112">
        <f t="shared" si="47"/>
        <v>1.89E-2</v>
      </c>
      <c r="V128" s="112">
        <f t="shared" si="48"/>
        <v>9.4500000000000001E-2</v>
      </c>
    </row>
    <row r="129" spans="3:22" hidden="1" outlineLevel="2" x14ac:dyDescent="0.35">
      <c r="E129" s="8" t="s">
        <v>99</v>
      </c>
      <c r="G129" s="22" t="s">
        <v>34</v>
      </c>
      <c r="J129" s="134">
        <f>SUM(J127:J128)</f>
        <v>0</v>
      </c>
      <c r="K129" s="134">
        <f t="shared" ref="K129" si="49">SUM(K127:K128)</f>
        <v>0</v>
      </c>
      <c r="L129" s="134">
        <f t="shared" ref="L129" si="50">SUM(L127:L128)</f>
        <v>0</v>
      </c>
      <c r="M129" s="134">
        <f t="shared" ref="M129" si="51">SUM(M127:M128)</f>
        <v>0</v>
      </c>
      <c r="N129" s="134">
        <f t="shared" ref="N129" si="52">SUM(N127:N128)</f>
        <v>0</v>
      </c>
      <c r="O129" s="134">
        <f t="shared" ref="O129" si="53">SUM(O127:O128)</f>
        <v>0.46076652455311873</v>
      </c>
      <c r="P129" s="134">
        <f t="shared" ref="P129" si="54">SUM(P127:P128)</f>
        <v>0.48337803114005873</v>
      </c>
      <c r="Q129" s="134">
        <f t="shared" ref="Q129" si="55">SUM(Q127:Q128)</f>
        <v>0.50598953772699873</v>
      </c>
      <c r="R129" s="134">
        <f t="shared" ref="R129" si="56">SUM(R127:R128)</f>
        <v>0.52765889820614964</v>
      </c>
      <c r="S129" s="134">
        <f t="shared" ref="S129" si="57">SUM(S127:S128)</f>
        <v>0.55027040479308953</v>
      </c>
      <c r="T129" s="138"/>
      <c r="U129" s="134">
        <f>SUM(U127:U128)</f>
        <v>0.50561267928388309</v>
      </c>
      <c r="V129" s="134">
        <f>SUM(V127:V128)</f>
        <v>2.5280633964194155</v>
      </c>
    </row>
    <row r="130" spans="3:22" hidden="1" outlineLevel="1" x14ac:dyDescent="0.35">
      <c r="J130" s="112"/>
      <c r="K130" s="112"/>
      <c r="L130" s="112"/>
      <c r="M130" s="112"/>
      <c r="N130" s="112"/>
      <c r="O130" s="112"/>
      <c r="P130" s="112"/>
      <c r="Q130" s="112"/>
      <c r="R130" s="112"/>
      <c r="S130" s="112"/>
      <c r="T130" s="138"/>
      <c r="U130" s="112"/>
      <c r="V130" s="112"/>
    </row>
    <row r="131" spans="3:22" hidden="1" outlineLevel="1" collapsed="1" x14ac:dyDescent="0.35">
      <c r="C131" s="24" t="str">
        <f>INDEX(InpC!$E$25:$E$42,G131)</f>
        <v>Severn Trent Water</v>
      </c>
      <c r="F131" s="113" t="str">
        <f>INDEX(InpC!$F$25:$F$42,G131,)</f>
        <v>SVE</v>
      </c>
      <c r="G131" s="8">
        <f>G31</f>
        <v>5</v>
      </c>
      <c r="J131" s="112"/>
      <c r="K131" s="112"/>
      <c r="L131" s="112"/>
      <c r="M131" s="112"/>
      <c r="N131" s="112"/>
      <c r="O131" s="112"/>
      <c r="P131" s="112"/>
      <c r="Q131" s="112"/>
      <c r="R131" s="112"/>
      <c r="S131" s="112"/>
      <c r="T131" s="138"/>
      <c r="U131" s="112"/>
      <c r="V131" s="112"/>
    </row>
    <row r="132" spans="3:22" hidden="1" outlineLevel="2" x14ac:dyDescent="0.35">
      <c r="E132" s="183" t="s">
        <v>82</v>
      </c>
      <c r="G132" s="22" t="s">
        <v>83</v>
      </c>
      <c r="J132" s="128"/>
      <c r="K132" s="128"/>
      <c r="L132" s="128"/>
      <c r="M132" s="128"/>
      <c r="N132" s="128"/>
      <c r="O132" s="186">
        <f xml:space="preserve"> SUMIFS('F_Inputs (EC)'!F$8:F$41, 'F_Inputs (EC)'!$A$8:$A$41, 'Analysis (TMA)'!$F$131, 'F_Inputs (EC)'!$B$8:$B$41, 'F_Inputs (EC)'!$B8)</f>
        <v>3.4724658922497778E-2</v>
      </c>
      <c r="P132" s="186">
        <f xml:space="preserve"> SUMIFS('F_Inputs (EC)'!G$8:G$41, 'F_Inputs (EC)'!$A$8:$A$41, 'Analysis (TMA)'!$F$131, 'F_Inputs (EC)'!$B$8:$B$41, 'F_Inputs (EC)'!$B8)</f>
        <v>3.4724658922497778E-2</v>
      </c>
      <c r="Q132" s="186">
        <f xml:space="preserve"> SUMIFS('F_Inputs (EC)'!H$8:H$41, 'F_Inputs (EC)'!$A$8:$A$41, 'Analysis (TMA)'!$F$131, 'F_Inputs (EC)'!$B$8:$B$41, 'F_Inputs (EC)'!$B8)</f>
        <v>3.4724658922497778E-2</v>
      </c>
      <c r="R132" s="186">
        <f xml:space="preserve"> SUMIFS('F_Inputs (EC)'!I$8:I$41, 'F_Inputs (EC)'!$A$8:$A$41, 'Analysis (TMA)'!$F$131, 'F_Inputs (EC)'!$B$8:$B$41, 'F_Inputs (EC)'!$B8)</f>
        <v>3.4724658922497778E-2</v>
      </c>
      <c r="S132" s="186">
        <f xml:space="preserve"> SUMIFS('F_Inputs (EC)'!J$8:J$41, 'F_Inputs (EC)'!$A$8:$A$41, 'Analysis (TMA)'!$F$131, 'F_Inputs (EC)'!$B$8:$B$41, 'F_Inputs (EC)'!$B8)</f>
        <v>3.4724658922497778E-2</v>
      </c>
      <c r="T132" s="138"/>
      <c r="U132" s="112"/>
      <c r="V132" s="112"/>
    </row>
    <row r="133" spans="3:22" hidden="1" outlineLevel="2" x14ac:dyDescent="0.35">
      <c r="E133" s="183" t="s">
        <v>85</v>
      </c>
      <c r="G133" s="22" t="s">
        <v>83</v>
      </c>
      <c r="J133" s="128"/>
      <c r="K133" s="128"/>
      <c r="L133" s="128"/>
      <c r="M133" s="128"/>
      <c r="N133" s="128"/>
      <c r="O133" s="186">
        <f xml:space="preserve"> SUMIFS('F_Inputs (EC)'!F$8:F$41, 'F_Inputs (EC)'!$A$8:$A$41, 'Analysis (TMA)'!$F$131, 'F_Inputs (EC)'!$B$8:$B$41, 'F_Inputs (EC)'!$B9)</f>
        <v>2.2668303493845358E-2</v>
      </c>
      <c r="P133" s="186">
        <f xml:space="preserve"> SUMIFS('F_Inputs (EC)'!G$8:G$41, 'F_Inputs (EC)'!$A$8:$A$41, 'Analysis (TMA)'!$F$131, 'F_Inputs (EC)'!$B$8:$B$41, 'F_Inputs (EC)'!$B9)</f>
        <v>2.2668303493845358E-2</v>
      </c>
      <c r="Q133" s="186">
        <f xml:space="preserve"> SUMIFS('F_Inputs (EC)'!H$8:H$41, 'F_Inputs (EC)'!$A$8:$A$41, 'Analysis (TMA)'!$F$131, 'F_Inputs (EC)'!$B$8:$B$41, 'F_Inputs (EC)'!$B9)</f>
        <v>2.2668303493845358E-2</v>
      </c>
      <c r="R133" s="186">
        <f xml:space="preserve"> SUMIFS('F_Inputs (EC)'!I$8:I$41, 'F_Inputs (EC)'!$A$8:$A$41, 'Analysis (TMA)'!$F$131, 'F_Inputs (EC)'!$B$8:$B$41, 'F_Inputs (EC)'!$B9)</f>
        <v>2.2668303493845358E-2</v>
      </c>
      <c r="S133" s="186">
        <f xml:space="preserve"> SUMIFS('F_Inputs (EC)'!J$8:J$41, 'F_Inputs (EC)'!$A$8:$A$41, 'Analysis (TMA)'!$F$131, 'F_Inputs (EC)'!$B$8:$B$41, 'F_Inputs (EC)'!$B9)</f>
        <v>2.2668303493845358E-2</v>
      </c>
      <c r="T133" s="138"/>
      <c r="U133" s="112"/>
      <c r="V133" s="112"/>
    </row>
    <row r="134" spans="3:22" hidden="1" outlineLevel="2" x14ac:dyDescent="0.35">
      <c r="E134" s="8" t="s">
        <v>205</v>
      </c>
      <c r="G134" s="22" t="s">
        <v>34</v>
      </c>
      <c r="J134" s="112"/>
      <c r="K134" s="112"/>
      <c r="L134" s="112"/>
      <c r="M134" s="112"/>
      <c r="N134" s="112"/>
      <c r="O134" s="112">
        <f t="shared" ref="O134:S135" si="58" xml:space="preserve"> O32 * (1 - O132)</f>
        <v>2.744277794683339</v>
      </c>
      <c r="P134" s="112">
        <f t="shared" si="58"/>
        <v>2.7674444028691987</v>
      </c>
      <c r="Q134" s="112">
        <f t="shared" si="58"/>
        <v>2.7906110110550588</v>
      </c>
      <c r="R134" s="112">
        <f t="shared" si="58"/>
        <v>2.8147428945819963</v>
      </c>
      <c r="S134" s="112">
        <f t="shared" si="58"/>
        <v>2.8379095027678565</v>
      </c>
      <c r="T134" s="138"/>
      <c r="U134" s="112">
        <f t="shared" ref="U134:U135" si="59">IFERROR(AVERAGE(O134:S134),0)</f>
        <v>2.7909971211914901</v>
      </c>
      <c r="V134" s="112">
        <f t="shared" ref="V134:V135" si="60">SUM(O134:S134)</f>
        <v>13.95498560595745</v>
      </c>
    </row>
    <row r="135" spans="3:22" hidden="1" outlineLevel="2" x14ac:dyDescent="0.35">
      <c r="E135" s="8" t="s">
        <v>209</v>
      </c>
      <c r="G135" s="22" t="s">
        <v>34</v>
      </c>
      <c r="J135" s="112"/>
      <c r="K135" s="112"/>
      <c r="L135" s="112"/>
      <c r="M135" s="112"/>
      <c r="N135" s="112"/>
      <c r="O135" s="112">
        <f t="shared" si="58"/>
        <v>0.21676504358233417</v>
      </c>
      <c r="P135" s="112">
        <f t="shared" si="58"/>
        <v>0.21808489192252956</v>
      </c>
      <c r="Q135" s="112">
        <f t="shared" si="58"/>
        <v>0.21941277979326043</v>
      </c>
      <c r="R135" s="112">
        <f t="shared" si="58"/>
        <v>0.2207487501971214</v>
      </c>
      <c r="S135" s="112">
        <f t="shared" si="58"/>
        <v>0.22209285786468747</v>
      </c>
      <c r="T135" s="138"/>
      <c r="U135" s="112">
        <f t="shared" si="59"/>
        <v>0.21942086467198657</v>
      </c>
      <c r="V135" s="112">
        <f t="shared" si="60"/>
        <v>1.0971043233599329</v>
      </c>
    </row>
    <row r="136" spans="3:22" hidden="1" outlineLevel="2" x14ac:dyDescent="0.35">
      <c r="E136" s="8" t="s">
        <v>99</v>
      </c>
      <c r="G136" s="22" t="s">
        <v>34</v>
      </c>
      <c r="J136" s="134">
        <f>SUM(J134:J135)</f>
        <v>0</v>
      </c>
      <c r="K136" s="134">
        <f t="shared" ref="K136" si="61">SUM(K134:K135)</f>
        <v>0</v>
      </c>
      <c r="L136" s="134">
        <f t="shared" ref="L136" si="62">SUM(L134:L135)</f>
        <v>0</v>
      </c>
      <c r="M136" s="134">
        <f t="shared" ref="M136" si="63">SUM(M134:M135)</f>
        <v>0</v>
      </c>
      <c r="N136" s="134">
        <f t="shared" ref="N136" si="64">SUM(N134:N135)</f>
        <v>0</v>
      </c>
      <c r="O136" s="134">
        <f t="shared" ref="O136" si="65">SUM(O134:O135)</f>
        <v>2.9610428382656733</v>
      </c>
      <c r="P136" s="134">
        <f t="shared" ref="P136" si="66">SUM(P134:P135)</f>
        <v>2.9855292947917285</v>
      </c>
      <c r="Q136" s="134">
        <f t="shared" ref="Q136" si="67">SUM(Q134:Q135)</f>
        <v>3.0100237908483192</v>
      </c>
      <c r="R136" s="134">
        <f t="shared" ref="R136" si="68">SUM(R134:R135)</f>
        <v>3.0354916447791176</v>
      </c>
      <c r="S136" s="134">
        <f t="shared" ref="S136" si="69">SUM(S134:S135)</f>
        <v>3.0600023606325442</v>
      </c>
      <c r="T136" s="138"/>
      <c r="U136" s="134">
        <f>SUM(U134:U135)</f>
        <v>3.0104179858634765</v>
      </c>
      <c r="V136" s="134">
        <f>SUM(V134:V135)</f>
        <v>15.052089929317383</v>
      </c>
    </row>
    <row r="137" spans="3:22" hidden="1" outlineLevel="1" x14ac:dyDescent="0.35">
      <c r="J137" s="112"/>
      <c r="K137" s="112"/>
      <c r="L137" s="112"/>
      <c r="M137" s="112"/>
      <c r="N137" s="112"/>
      <c r="O137" s="112"/>
      <c r="P137" s="112"/>
      <c r="Q137" s="112"/>
      <c r="R137" s="112"/>
      <c r="S137" s="112"/>
      <c r="T137" s="138"/>
      <c r="U137" s="112"/>
      <c r="V137" s="112"/>
    </row>
    <row r="138" spans="3:22" hidden="1" outlineLevel="1" collapsed="1" x14ac:dyDescent="0.35">
      <c r="C138" s="24" t="str">
        <f>INDEX(InpC!$E$25:$E$42,G138)</f>
        <v>Southern Water</v>
      </c>
      <c r="F138" s="113" t="str">
        <f>INDEX(InpC!$F$25:$F$42,G138,)</f>
        <v>SRN</v>
      </c>
      <c r="G138" s="8">
        <f>G36</f>
        <v>6</v>
      </c>
      <c r="J138" s="112"/>
      <c r="K138" s="112"/>
      <c r="L138" s="112"/>
      <c r="M138" s="112"/>
      <c r="N138" s="112"/>
      <c r="O138" s="112"/>
      <c r="P138" s="112"/>
      <c r="Q138" s="112"/>
      <c r="R138" s="112"/>
      <c r="S138" s="112"/>
      <c r="T138" s="138"/>
      <c r="U138" s="112"/>
      <c r="V138" s="112"/>
    </row>
    <row r="139" spans="3:22" hidden="1" outlineLevel="2" x14ac:dyDescent="0.35">
      <c r="E139" s="183" t="s">
        <v>82</v>
      </c>
      <c r="G139" s="22" t="s">
        <v>83</v>
      </c>
      <c r="J139" s="128"/>
      <c r="K139" s="128"/>
      <c r="L139" s="128"/>
      <c r="M139" s="128"/>
      <c r="N139" s="128"/>
      <c r="O139" s="186">
        <f xml:space="preserve"> SUMIFS('F_Inputs (EC)'!F$8:F$41, 'F_Inputs (EC)'!$A$8:$A$41, 'Analysis (TMA)'!$F$138, 'F_Inputs (EC)'!$B$8:$B$41, 'F_Inputs (EC)'!$B8)</f>
        <v>6.3629748889080837E-2</v>
      </c>
      <c r="P139" s="186">
        <f xml:space="preserve"> SUMIFS('F_Inputs (EC)'!G$8:G$41, 'F_Inputs (EC)'!$A$8:$A$41, 'Analysis (TMA)'!$F$138, 'F_Inputs (EC)'!$B$8:$B$41, 'F_Inputs (EC)'!$B8)</f>
        <v>6.3629748889080837E-2</v>
      </c>
      <c r="Q139" s="186">
        <f xml:space="preserve"> SUMIFS('F_Inputs (EC)'!H$8:H$41, 'F_Inputs (EC)'!$A$8:$A$41, 'Analysis (TMA)'!$F$138, 'F_Inputs (EC)'!$B$8:$B$41, 'F_Inputs (EC)'!$B8)</f>
        <v>6.3629748889080837E-2</v>
      </c>
      <c r="R139" s="186">
        <f xml:space="preserve"> SUMIFS('F_Inputs (EC)'!I$8:I$41, 'F_Inputs (EC)'!$A$8:$A$41, 'Analysis (TMA)'!$F$138, 'F_Inputs (EC)'!$B$8:$B$41, 'F_Inputs (EC)'!$B8)</f>
        <v>6.3629748889080837E-2</v>
      </c>
      <c r="S139" s="186">
        <f xml:space="preserve"> SUMIFS('F_Inputs (EC)'!J$8:J$41, 'F_Inputs (EC)'!$A$8:$A$41, 'Analysis (TMA)'!$F$138, 'F_Inputs (EC)'!$B$8:$B$41, 'F_Inputs (EC)'!$B8)</f>
        <v>6.3629748889080837E-2</v>
      </c>
      <c r="T139" s="138"/>
      <c r="U139" s="112"/>
      <c r="V139" s="112"/>
    </row>
    <row r="140" spans="3:22" hidden="1" outlineLevel="2" x14ac:dyDescent="0.35">
      <c r="E140" s="183" t="s">
        <v>85</v>
      </c>
      <c r="G140" s="22" t="s">
        <v>83</v>
      </c>
      <c r="J140" s="128"/>
      <c r="K140" s="128"/>
      <c r="L140" s="128"/>
      <c r="M140" s="128"/>
      <c r="N140" s="128"/>
      <c r="O140" s="186">
        <f xml:space="preserve"> SUMIFS('F_Inputs (EC)'!F$8:F$41, 'F_Inputs (EC)'!$A$8:$A$41, 'Analysis (TMA)'!$F$138, 'F_Inputs (EC)'!$B$8:$B$41, 'F_Inputs (EC)'!$B9)</f>
        <v>0</v>
      </c>
      <c r="P140" s="186">
        <f xml:space="preserve"> SUMIFS('F_Inputs (EC)'!G$8:G$41, 'F_Inputs (EC)'!$A$8:$A$41, 'Analysis (TMA)'!$F$138, 'F_Inputs (EC)'!$B$8:$B$41, 'F_Inputs (EC)'!$B9)</f>
        <v>0</v>
      </c>
      <c r="Q140" s="186">
        <f xml:space="preserve"> SUMIFS('F_Inputs (EC)'!H$8:H$41, 'F_Inputs (EC)'!$A$8:$A$41, 'Analysis (TMA)'!$F$138, 'F_Inputs (EC)'!$B$8:$B$41, 'F_Inputs (EC)'!$B9)</f>
        <v>0</v>
      </c>
      <c r="R140" s="186">
        <f xml:space="preserve"> SUMIFS('F_Inputs (EC)'!I$8:I$41, 'F_Inputs (EC)'!$A$8:$A$41, 'Analysis (TMA)'!$F$138, 'F_Inputs (EC)'!$B$8:$B$41, 'F_Inputs (EC)'!$B9)</f>
        <v>0</v>
      </c>
      <c r="S140" s="186">
        <f xml:space="preserve"> SUMIFS('F_Inputs (EC)'!J$8:J$41, 'F_Inputs (EC)'!$A$8:$A$41, 'Analysis (TMA)'!$F$138, 'F_Inputs (EC)'!$B$8:$B$41, 'F_Inputs (EC)'!$B9)</f>
        <v>0</v>
      </c>
      <c r="T140" s="138"/>
      <c r="U140" s="112"/>
      <c r="V140" s="112"/>
    </row>
    <row r="141" spans="3:22" hidden="1" outlineLevel="2" x14ac:dyDescent="0.35">
      <c r="E141" s="8" t="s">
        <v>205</v>
      </c>
      <c r="G141" s="22" t="s">
        <v>34</v>
      </c>
      <c r="J141" s="112"/>
      <c r="K141" s="112"/>
      <c r="L141" s="112"/>
      <c r="M141" s="112"/>
      <c r="N141" s="112"/>
      <c r="O141" s="112">
        <f t="shared" ref="O141:S142" si="70" xml:space="preserve"> O37 * (1 - O139)</f>
        <v>2.1864245363439965</v>
      </c>
      <c r="P141" s="112">
        <f t="shared" si="70"/>
        <v>2.1864245363439965</v>
      </c>
      <c r="Q141" s="112">
        <f t="shared" si="70"/>
        <v>2.1864245363439965</v>
      </c>
      <c r="R141" s="112">
        <f t="shared" si="70"/>
        <v>2.1864245363439965</v>
      </c>
      <c r="S141" s="112">
        <f t="shared" si="70"/>
        <v>2.1864245363439965</v>
      </c>
      <c r="T141" s="138"/>
      <c r="U141" s="112">
        <f t="shared" ref="U141:U142" si="71">IFERROR(AVERAGE(O141:S141),0)</f>
        <v>2.1864245363439965</v>
      </c>
      <c r="V141" s="112">
        <f t="shared" ref="V141:V142" si="72">SUM(O141:S141)</f>
        <v>10.932122681719981</v>
      </c>
    </row>
    <row r="142" spans="3:22" hidden="1" outlineLevel="2" x14ac:dyDescent="0.35">
      <c r="E142" s="8" t="s">
        <v>209</v>
      </c>
      <c r="G142" s="22" t="s">
        <v>34</v>
      </c>
      <c r="J142" s="112"/>
      <c r="K142" s="112"/>
      <c r="L142" s="112"/>
      <c r="M142" s="112"/>
      <c r="N142" s="112"/>
      <c r="O142" s="112">
        <f t="shared" si="70"/>
        <v>0.25952052086028288</v>
      </c>
      <c r="P142" s="112">
        <f t="shared" si="70"/>
        <v>0.25952052086028288</v>
      </c>
      <c r="Q142" s="112">
        <f t="shared" si="70"/>
        <v>0.25952052086028288</v>
      </c>
      <c r="R142" s="112">
        <f t="shared" si="70"/>
        <v>0.25952052086028288</v>
      </c>
      <c r="S142" s="112">
        <f t="shared" si="70"/>
        <v>0.25952052086028288</v>
      </c>
      <c r="T142" s="138"/>
      <c r="U142" s="112">
        <f t="shared" si="71"/>
        <v>0.25952052086028288</v>
      </c>
      <c r="V142" s="112">
        <f t="shared" si="72"/>
        <v>1.2976026043014144</v>
      </c>
    </row>
    <row r="143" spans="3:22" hidden="1" outlineLevel="2" x14ac:dyDescent="0.35">
      <c r="E143" s="8" t="s">
        <v>99</v>
      </c>
      <c r="G143" s="22" t="s">
        <v>34</v>
      </c>
      <c r="J143" s="134">
        <f>SUM(J141:J142)</f>
        <v>0</v>
      </c>
      <c r="K143" s="134">
        <f t="shared" ref="K143" si="73">SUM(K141:K142)</f>
        <v>0</v>
      </c>
      <c r="L143" s="134">
        <f t="shared" ref="L143" si="74">SUM(L141:L142)</f>
        <v>0</v>
      </c>
      <c r="M143" s="134">
        <f t="shared" ref="M143" si="75">SUM(M141:M142)</f>
        <v>0</v>
      </c>
      <c r="N143" s="134">
        <f t="shared" ref="N143" si="76">SUM(N141:N142)</f>
        <v>0</v>
      </c>
      <c r="O143" s="134">
        <f t="shared" ref="O143" si="77">SUM(O141:O142)</f>
        <v>2.4459450572042796</v>
      </c>
      <c r="P143" s="134">
        <f t="shared" ref="P143" si="78">SUM(P141:P142)</f>
        <v>2.4459450572042796</v>
      </c>
      <c r="Q143" s="134">
        <f t="shared" ref="Q143" si="79">SUM(Q141:Q142)</f>
        <v>2.4459450572042796</v>
      </c>
      <c r="R143" s="134">
        <f t="shared" ref="R143" si="80">SUM(R141:R142)</f>
        <v>2.4459450572042796</v>
      </c>
      <c r="S143" s="134">
        <f t="shared" ref="S143" si="81">SUM(S141:S142)</f>
        <v>2.4459450572042796</v>
      </c>
      <c r="T143" s="138"/>
      <c r="U143" s="134">
        <f>SUM(U141:U142)</f>
        <v>2.4459450572042796</v>
      </c>
      <c r="V143" s="134">
        <f>SUM(V141:V142)</f>
        <v>12.229725286021395</v>
      </c>
    </row>
    <row r="144" spans="3:22" hidden="1" outlineLevel="1" x14ac:dyDescent="0.35">
      <c r="J144" s="112"/>
      <c r="K144" s="112"/>
      <c r="L144" s="112"/>
      <c r="M144" s="112"/>
      <c r="N144" s="112"/>
      <c r="O144" s="112"/>
      <c r="P144" s="112"/>
      <c r="Q144" s="112"/>
      <c r="R144" s="112"/>
      <c r="S144" s="112"/>
      <c r="T144" s="138"/>
      <c r="U144" s="112"/>
      <c r="V144" s="112"/>
    </row>
    <row r="145" spans="3:22" hidden="1" outlineLevel="1" collapsed="1" x14ac:dyDescent="0.35">
      <c r="C145" s="24" t="str">
        <f>INDEX(InpC!$E$25:$E$42,G145)</f>
        <v>Thames Water</v>
      </c>
      <c r="F145" s="113" t="str">
        <f>INDEX(InpC!$F$25:$F$42,G145,)</f>
        <v>TMS</v>
      </c>
      <c r="G145" s="8">
        <f>G41</f>
        <v>7</v>
      </c>
      <c r="J145" s="112"/>
      <c r="K145" s="112"/>
      <c r="L145" s="112"/>
      <c r="M145" s="112"/>
      <c r="N145" s="112"/>
      <c r="O145" s="112"/>
      <c r="P145" s="112"/>
      <c r="Q145" s="112"/>
      <c r="R145" s="112"/>
      <c r="S145" s="112"/>
      <c r="T145" s="138"/>
      <c r="U145" s="112"/>
      <c r="V145" s="112"/>
    </row>
    <row r="146" spans="3:22" hidden="1" outlineLevel="2" x14ac:dyDescent="0.35">
      <c r="E146" s="183" t="s">
        <v>82</v>
      </c>
      <c r="G146" s="22" t="s">
        <v>83</v>
      </c>
      <c r="J146" s="128"/>
      <c r="K146" s="128"/>
      <c r="L146" s="128"/>
      <c r="M146" s="128"/>
      <c r="N146" s="128"/>
      <c r="O146" s="186">
        <f xml:space="preserve"> SUMIFS('F_Inputs (EC)'!F$8:F$41, 'F_Inputs (EC)'!$A$8:$A$41, 'Analysis (TMA)'!$F$145, 'F_Inputs (EC)'!$B$8:$B$41, 'F_Inputs (EC)'!$B8)</f>
        <v>8.9419337322239126E-2</v>
      </c>
      <c r="P146" s="186">
        <f xml:space="preserve"> SUMIFS('F_Inputs (EC)'!G$8:G$41, 'F_Inputs (EC)'!$A$8:$A$41, 'Analysis (TMA)'!$F$145, 'F_Inputs (EC)'!$B$8:$B$41, 'F_Inputs (EC)'!$B8)</f>
        <v>8.9419337322239126E-2</v>
      </c>
      <c r="Q146" s="186">
        <f xml:space="preserve"> SUMIFS('F_Inputs (EC)'!H$8:H$41, 'F_Inputs (EC)'!$A$8:$A$41, 'Analysis (TMA)'!$F$145, 'F_Inputs (EC)'!$B$8:$B$41, 'F_Inputs (EC)'!$B8)</f>
        <v>8.9419337322239126E-2</v>
      </c>
      <c r="R146" s="186">
        <f xml:space="preserve"> SUMIFS('F_Inputs (EC)'!I$8:I$41, 'F_Inputs (EC)'!$A$8:$A$41, 'Analysis (TMA)'!$F$145, 'F_Inputs (EC)'!$B$8:$B$41, 'F_Inputs (EC)'!$B8)</f>
        <v>8.9419337322239126E-2</v>
      </c>
      <c r="S146" s="186">
        <f xml:space="preserve"> SUMIFS('F_Inputs (EC)'!J$8:J$41, 'F_Inputs (EC)'!$A$8:$A$41, 'Analysis (TMA)'!$F$145, 'F_Inputs (EC)'!$B$8:$B$41, 'F_Inputs (EC)'!$B8)</f>
        <v>8.9419337322239126E-2</v>
      </c>
      <c r="T146" s="138"/>
      <c r="U146" s="112"/>
      <c r="V146" s="112"/>
    </row>
    <row r="147" spans="3:22" hidden="1" outlineLevel="2" x14ac:dyDescent="0.35">
      <c r="E147" s="183" t="s">
        <v>85</v>
      </c>
      <c r="G147" s="22" t="s">
        <v>83</v>
      </c>
      <c r="J147" s="128"/>
      <c r="K147" s="128"/>
      <c r="L147" s="128"/>
      <c r="M147" s="128"/>
      <c r="N147" s="128"/>
      <c r="O147" s="186">
        <f xml:space="preserve"> SUMIFS('F_Inputs (EC)'!F$8:F$41, 'F_Inputs (EC)'!$A$8:$A$41, 'Analysis (TMA)'!$F$145, 'F_Inputs (EC)'!$B$8:$B$41, 'F_Inputs (EC)'!$B9)</f>
        <v>0.1</v>
      </c>
      <c r="P147" s="186">
        <f xml:space="preserve"> SUMIFS('F_Inputs (EC)'!G$8:G$41, 'F_Inputs (EC)'!$A$8:$A$41, 'Analysis (TMA)'!$F$145, 'F_Inputs (EC)'!$B$8:$B$41, 'F_Inputs (EC)'!$B9)</f>
        <v>0.1</v>
      </c>
      <c r="Q147" s="186">
        <f xml:space="preserve"> SUMIFS('F_Inputs (EC)'!H$8:H$41, 'F_Inputs (EC)'!$A$8:$A$41, 'Analysis (TMA)'!$F$145, 'F_Inputs (EC)'!$B$8:$B$41, 'F_Inputs (EC)'!$B9)</f>
        <v>0.1</v>
      </c>
      <c r="R147" s="186">
        <f xml:space="preserve"> SUMIFS('F_Inputs (EC)'!I$8:I$41, 'F_Inputs (EC)'!$A$8:$A$41, 'Analysis (TMA)'!$F$145, 'F_Inputs (EC)'!$B$8:$B$41, 'F_Inputs (EC)'!$B9)</f>
        <v>0.1</v>
      </c>
      <c r="S147" s="186">
        <f xml:space="preserve"> SUMIFS('F_Inputs (EC)'!J$8:J$41, 'F_Inputs (EC)'!$A$8:$A$41, 'Analysis (TMA)'!$F$145, 'F_Inputs (EC)'!$B$8:$B$41, 'F_Inputs (EC)'!$B9)</f>
        <v>0.1</v>
      </c>
      <c r="T147" s="138"/>
      <c r="U147" s="112"/>
      <c r="V147" s="112"/>
    </row>
    <row r="148" spans="3:22" hidden="1" outlineLevel="2" x14ac:dyDescent="0.35">
      <c r="E148" s="8" t="s">
        <v>205</v>
      </c>
      <c r="G148" s="22" t="s">
        <v>34</v>
      </c>
      <c r="J148" s="112"/>
      <c r="K148" s="112"/>
      <c r="L148" s="112"/>
      <c r="M148" s="112"/>
      <c r="N148" s="112"/>
      <c r="O148" s="112">
        <f t="shared" ref="O148:S149" si="82" xml:space="preserve"> O42 * (1 - O146)</f>
        <v>31.282088085631795</v>
      </c>
      <c r="P148" s="112">
        <f t="shared" si="82"/>
        <v>31.282088085631795</v>
      </c>
      <c r="Q148" s="112">
        <f t="shared" si="82"/>
        <v>31.282088085631795</v>
      </c>
      <c r="R148" s="112">
        <f t="shared" si="82"/>
        <v>31.282088085631795</v>
      </c>
      <c r="S148" s="112">
        <f t="shared" si="82"/>
        <v>31.282088085631795</v>
      </c>
      <c r="T148" s="138"/>
      <c r="U148" s="112">
        <f t="shared" ref="U148:U149" si="83">IFERROR(AVERAGE(O148:S148),0)</f>
        <v>31.282088085631795</v>
      </c>
      <c r="V148" s="112">
        <f t="shared" ref="V148:V149" si="84">SUM(O148:S148)</f>
        <v>156.41044042815898</v>
      </c>
    </row>
    <row r="149" spans="3:22" hidden="1" outlineLevel="2" x14ac:dyDescent="0.35">
      <c r="E149" s="8" t="s">
        <v>209</v>
      </c>
      <c r="G149" s="22" t="s">
        <v>34</v>
      </c>
      <c r="J149" s="112"/>
      <c r="K149" s="112"/>
      <c r="L149" s="112"/>
      <c r="M149" s="112"/>
      <c r="N149" s="112"/>
      <c r="O149" s="112">
        <f t="shared" si="82"/>
        <v>0.50760000000000005</v>
      </c>
      <c r="P149" s="112">
        <f t="shared" si="82"/>
        <v>0.50760000000000005</v>
      </c>
      <c r="Q149" s="112">
        <f t="shared" si="82"/>
        <v>0.50760000000000005</v>
      </c>
      <c r="R149" s="112">
        <f t="shared" si="82"/>
        <v>0.49590000000000006</v>
      </c>
      <c r="S149" s="112">
        <f t="shared" si="82"/>
        <v>0.49590000000000006</v>
      </c>
      <c r="T149" s="138"/>
      <c r="U149" s="112">
        <f t="shared" si="83"/>
        <v>0.50292000000000014</v>
      </c>
      <c r="V149" s="112">
        <f t="shared" si="84"/>
        <v>2.5146000000000006</v>
      </c>
    </row>
    <row r="150" spans="3:22" hidden="1" outlineLevel="2" x14ac:dyDescent="0.35">
      <c r="E150" s="8" t="s">
        <v>99</v>
      </c>
      <c r="G150" s="22" t="s">
        <v>34</v>
      </c>
      <c r="J150" s="134">
        <f>SUM(J148:J149)</f>
        <v>0</v>
      </c>
      <c r="K150" s="134">
        <f t="shared" ref="K150" si="85">SUM(K148:K149)</f>
        <v>0</v>
      </c>
      <c r="L150" s="134">
        <f t="shared" ref="L150" si="86">SUM(L148:L149)</f>
        <v>0</v>
      </c>
      <c r="M150" s="134">
        <f t="shared" ref="M150" si="87">SUM(M148:M149)</f>
        <v>0</v>
      </c>
      <c r="N150" s="134">
        <f t="shared" ref="N150" si="88">SUM(N148:N149)</f>
        <v>0</v>
      </c>
      <c r="O150" s="134">
        <f t="shared" ref="O150" si="89">SUM(O148:O149)</f>
        <v>31.789688085631795</v>
      </c>
      <c r="P150" s="134">
        <f t="shared" ref="P150" si="90">SUM(P148:P149)</f>
        <v>31.789688085631795</v>
      </c>
      <c r="Q150" s="134">
        <f t="shared" ref="Q150" si="91">SUM(Q148:Q149)</f>
        <v>31.789688085631795</v>
      </c>
      <c r="R150" s="134">
        <f t="shared" ref="R150" si="92">SUM(R148:R149)</f>
        <v>31.777988085631794</v>
      </c>
      <c r="S150" s="134">
        <f t="shared" ref="S150" si="93">SUM(S148:S149)</f>
        <v>31.777988085631794</v>
      </c>
      <c r="T150" s="138"/>
      <c r="U150" s="134">
        <f>SUM(U148:U149)</f>
        <v>31.785008085631794</v>
      </c>
      <c r="V150" s="134">
        <f>SUM(V148:V149)</f>
        <v>158.92504042815898</v>
      </c>
    </row>
    <row r="151" spans="3:22" hidden="1" outlineLevel="1" x14ac:dyDescent="0.35">
      <c r="J151" s="112"/>
      <c r="K151" s="112"/>
      <c r="L151" s="112"/>
      <c r="M151" s="112"/>
      <c r="N151" s="112"/>
      <c r="O151" s="112"/>
      <c r="P151" s="112"/>
      <c r="Q151" s="112"/>
      <c r="R151" s="112"/>
      <c r="S151" s="112"/>
      <c r="T151" s="138"/>
      <c r="U151" s="112"/>
      <c r="V151" s="112"/>
    </row>
    <row r="152" spans="3:22" hidden="1" outlineLevel="1" collapsed="1" x14ac:dyDescent="0.35">
      <c r="C152" s="24" t="str">
        <f>INDEX(InpC!$E$25:$E$42,G152)</f>
        <v>United Utilities</v>
      </c>
      <c r="F152" s="113" t="str">
        <f>INDEX(InpC!$F$25:$F$42,G152,)</f>
        <v>NWT</v>
      </c>
      <c r="G152" s="8">
        <f>G46</f>
        <v>8</v>
      </c>
      <c r="J152" s="112"/>
      <c r="K152" s="112"/>
      <c r="L152" s="112"/>
      <c r="M152" s="112"/>
      <c r="N152" s="112"/>
      <c r="O152" s="112"/>
      <c r="P152" s="112"/>
      <c r="Q152" s="112"/>
      <c r="R152" s="112"/>
      <c r="S152" s="112"/>
      <c r="T152" s="138"/>
      <c r="U152" s="112"/>
      <c r="V152" s="112"/>
    </row>
    <row r="153" spans="3:22" hidden="1" outlineLevel="2" x14ac:dyDescent="0.35">
      <c r="E153" s="183" t="s">
        <v>82</v>
      </c>
      <c r="G153" s="22" t="s">
        <v>83</v>
      </c>
      <c r="J153" s="128"/>
      <c r="K153" s="128"/>
      <c r="L153" s="128"/>
      <c r="M153" s="128"/>
      <c r="N153" s="128"/>
      <c r="O153" s="186">
        <f xml:space="preserve"> SUMIFS('F_Inputs (EC)'!F$8:F$41, 'F_Inputs (EC)'!$A$8:$A$41, 'Analysis (TMA)'!$F$152, 'F_Inputs (EC)'!$B$8:$B$41, 'F_Inputs (EC)'!$B8)</f>
        <v>0</v>
      </c>
      <c r="P153" s="186">
        <f xml:space="preserve"> SUMIFS('F_Inputs (EC)'!G$8:G$41, 'F_Inputs (EC)'!$A$8:$A$41, 'Analysis (TMA)'!$F$152, 'F_Inputs (EC)'!$B$8:$B$41, 'F_Inputs (EC)'!$B8)</f>
        <v>0</v>
      </c>
      <c r="Q153" s="186">
        <f xml:space="preserve"> SUMIFS('F_Inputs (EC)'!H$8:H$41, 'F_Inputs (EC)'!$A$8:$A$41, 'Analysis (TMA)'!$F$152, 'F_Inputs (EC)'!$B$8:$B$41, 'F_Inputs (EC)'!$B8)</f>
        <v>0</v>
      </c>
      <c r="R153" s="186">
        <f xml:space="preserve"> SUMIFS('F_Inputs (EC)'!I$8:I$41, 'F_Inputs (EC)'!$A$8:$A$41, 'Analysis (TMA)'!$F$152, 'F_Inputs (EC)'!$B$8:$B$41, 'F_Inputs (EC)'!$B8)</f>
        <v>0</v>
      </c>
      <c r="S153" s="186">
        <f xml:space="preserve"> SUMIFS('F_Inputs (EC)'!J$8:J$41, 'F_Inputs (EC)'!$A$8:$A$41, 'Analysis (TMA)'!$F$152, 'F_Inputs (EC)'!$B$8:$B$41, 'F_Inputs (EC)'!$B8)</f>
        <v>0</v>
      </c>
      <c r="T153" s="138"/>
      <c r="U153" s="112"/>
      <c r="V153" s="112"/>
    </row>
    <row r="154" spans="3:22" hidden="1" outlineLevel="2" x14ac:dyDescent="0.35">
      <c r="E154" s="183" t="s">
        <v>85</v>
      </c>
      <c r="G154" s="22" t="s">
        <v>83</v>
      </c>
      <c r="J154" s="128"/>
      <c r="K154" s="128"/>
      <c r="L154" s="128"/>
      <c r="M154" s="128"/>
      <c r="N154" s="128"/>
      <c r="O154" s="186">
        <f xml:space="preserve"> SUMIFS('F_Inputs (EC)'!F$8:F$41, 'F_Inputs (EC)'!$A$8:$A$41, 'Analysis (TMA)'!$F$152, 'F_Inputs (EC)'!$B$8:$B$41, 'F_Inputs (EC)'!$B9)</f>
        <v>0</v>
      </c>
      <c r="P154" s="186">
        <f xml:space="preserve"> SUMIFS('F_Inputs (EC)'!G$8:G$41, 'F_Inputs (EC)'!$A$8:$A$41, 'Analysis (TMA)'!$F$152, 'F_Inputs (EC)'!$B$8:$B$41, 'F_Inputs (EC)'!$B9)</f>
        <v>0</v>
      </c>
      <c r="Q154" s="186">
        <f xml:space="preserve"> SUMIFS('F_Inputs (EC)'!H$8:H$41, 'F_Inputs (EC)'!$A$8:$A$41, 'Analysis (TMA)'!$F$152, 'F_Inputs (EC)'!$B$8:$B$41, 'F_Inputs (EC)'!$B9)</f>
        <v>0</v>
      </c>
      <c r="R154" s="186">
        <f xml:space="preserve"> SUMIFS('F_Inputs (EC)'!I$8:I$41, 'F_Inputs (EC)'!$A$8:$A$41, 'Analysis (TMA)'!$F$152, 'F_Inputs (EC)'!$B$8:$B$41, 'F_Inputs (EC)'!$B9)</f>
        <v>0</v>
      </c>
      <c r="S154" s="186">
        <f xml:space="preserve"> SUMIFS('F_Inputs (EC)'!J$8:J$41, 'F_Inputs (EC)'!$A$8:$A$41, 'Analysis (TMA)'!$F$152, 'F_Inputs (EC)'!$B$8:$B$41, 'F_Inputs (EC)'!$B9)</f>
        <v>0</v>
      </c>
      <c r="T154" s="138"/>
      <c r="U154" s="112"/>
      <c r="V154" s="112"/>
    </row>
    <row r="155" spans="3:22" hidden="1" outlineLevel="2" x14ac:dyDescent="0.35">
      <c r="E155" s="8" t="s">
        <v>205</v>
      </c>
      <c r="G155" s="22" t="s">
        <v>34</v>
      </c>
      <c r="J155" s="112"/>
      <c r="K155" s="112"/>
      <c r="L155" s="112"/>
      <c r="M155" s="112"/>
      <c r="N155" s="112"/>
      <c r="O155" s="112">
        <f t="shared" ref="O155:S156" si="94" xml:space="preserve"> O47 * (1 - O153)</f>
        <v>1.864022610627089</v>
      </c>
      <c r="P155" s="112">
        <f t="shared" si="94"/>
        <v>1.864022610627089</v>
      </c>
      <c r="Q155" s="112">
        <f t="shared" si="94"/>
        <v>1.8640226106270901</v>
      </c>
      <c r="R155" s="112">
        <f t="shared" si="94"/>
        <v>1.8640226106270901</v>
      </c>
      <c r="S155" s="112">
        <f t="shared" si="94"/>
        <v>1.8640226106270901</v>
      </c>
      <c r="T155" s="138"/>
      <c r="U155" s="112">
        <f t="shared" ref="U155:U156" si="95">IFERROR(AVERAGE(O155:S155),0)</f>
        <v>1.8640226106270898</v>
      </c>
      <c r="V155" s="112">
        <f t="shared" ref="V155:V156" si="96">SUM(O155:S155)</f>
        <v>9.320113053135449</v>
      </c>
    </row>
    <row r="156" spans="3:22" hidden="1" outlineLevel="2" x14ac:dyDescent="0.35">
      <c r="E156" s="8" t="s">
        <v>209</v>
      </c>
      <c r="G156" s="22" t="s">
        <v>34</v>
      </c>
      <c r="J156" s="112"/>
      <c r="K156" s="112"/>
      <c r="L156" s="112"/>
      <c r="M156" s="112"/>
      <c r="N156" s="112"/>
      <c r="O156" s="112">
        <f t="shared" si="94"/>
        <v>0.36827090730579631</v>
      </c>
      <c r="P156" s="112">
        <f t="shared" si="94"/>
        <v>0.36827090730579631</v>
      </c>
      <c r="Q156" s="112">
        <f t="shared" si="94"/>
        <v>0.36827090730579631</v>
      </c>
      <c r="R156" s="112">
        <f t="shared" si="94"/>
        <v>0.36827090730579631</v>
      </c>
      <c r="S156" s="112">
        <f t="shared" si="94"/>
        <v>0.36827090730579631</v>
      </c>
      <c r="T156" s="138"/>
      <c r="U156" s="112">
        <f t="shared" si="95"/>
        <v>0.36827090730579631</v>
      </c>
      <c r="V156" s="112">
        <f t="shared" si="96"/>
        <v>1.8413545365289816</v>
      </c>
    </row>
    <row r="157" spans="3:22" hidden="1" outlineLevel="2" x14ac:dyDescent="0.35">
      <c r="E157" s="8" t="s">
        <v>99</v>
      </c>
      <c r="G157" s="22" t="s">
        <v>34</v>
      </c>
      <c r="J157" s="134">
        <f>SUM(J155:J156)</f>
        <v>0</v>
      </c>
      <c r="K157" s="134">
        <f t="shared" ref="K157" si="97">SUM(K155:K156)</f>
        <v>0</v>
      </c>
      <c r="L157" s="134">
        <f t="shared" ref="L157" si="98">SUM(L155:L156)</f>
        <v>0</v>
      </c>
      <c r="M157" s="134">
        <f t="shared" ref="M157" si="99">SUM(M155:M156)</f>
        <v>0</v>
      </c>
      <c r="N157" s="134">
        <f t="shared" ref="N157" si="100">SUM(N155:N156)</f>
        <v>0</v>
      </c>
      <c r="O157" s="134">
        <f t="shared" ref="O157" si="101">SUM(O155:O156)</f>
        <v>2.2322935179328853</v>
      </c>
      <c r="P157" s="134">
        <f t="shared" ref="P157" si="102">SUM(P155:P156)</f>
        <v>2.2322935179328853</v>
      </c>
      <c r="Q157" s="134">
        <f t="shared" ref="Q157" si="103">SUM(Q155:Q156)</f>
        <v>2.2322935179328862</v>
      </c>
      <c r="R157" s="134">
        <f t="shared" ref="R157" si="104">SUM(R155:R156)</f>
        <v>2.2322935179328862</v>
      </c>
      <c r="S157" s="134">
        <f t="shared" ref="S157" si="105">SUM(S155:S156)</f>
        <v>2.2322935179328862</v>
      </c>
      <c r="T157" s="138"/>
      <c r="U157" s="134">
        <f>SUM(U155:U156)</f>
        <v>2.2322935179328862</v>
      </c>
      <c r="V157" s="134">
        <f>SUM(V155:V156)</f>
        <v>11.161467589664431</v>
      </c>
    </row>
    <row r="158" spans="3:22" hidden="1" outlineLevel="1" x14ac:dyDescent="0.35">
      <c r="J158" s="112"/>
      <c r="K158" s="112"/>
      <c r="L158" s="112"/>
      <c r="M158" s="112"/>
      <c r="N158" s="112"/>
      <c r="O158" s="112"/>
      <c r="P158" s="112"/>
      <c r="Q158" s="112"/>
      <c r="R158" s="112"/>
      <c r="S158" s="112"/>
      <c r="T158" s="138"/>
      <c r="U158" s="112"/>
      <c r="V158" s="112"/>
    </row>
    <row r="159" spans="3:22" hidden="1" outlineLevel="1" collapsed="1" x14ac:dyDescent="0.35">
      <c r="C159" s="24" t="str">
        <f>INDEX(InpC!$E$25:$E$42,G159)</f>
        <v>Wessex Water</v>
      </c>
      <c r="F159" s="113" t="str">
        <f>INDEX(InpC!$F$25:$F$42,G159,)</f>
        <v>WSX</v>
      </c>
      <c r="G159" s="8">
        <f>G51</f>
        <v>9</v>
      </c>
      <c r="J159" s="112"/>
      <c r="K159" s="112"/>
      <c r="L159" s="112"/>
      <c r="M159" s="112"/>
      <c r="N159" s="112"/>
      <c r="O159" s="112"/>
      <c r="P159" s="112"/>
      <c r="Q159" s="112"/>
      <c r="R159" s="112"/>
      <c r="S159" s="112"/>
      <c r="T159" s="138"/>
      <c r="U159" s="112"/>
      <c r="V159" s="112"/>
    </row>
    <row r="160" spans="3:22" hidden="1" outlineLevel="2" x14ac:dyDescent="0.35">
      <c r="E160" s="183" t="s">
        <v>82</v>
      </c>
      <c r="G160" s="22" t="s">
        <v>83</v>
      </c>
      <c r="J160" s="128"/>
      <c r="K160" s="128"/>
      <c r="L160" s="128"/>
      <c r="M160" s="128"/>
      <c r="N160" s="128"/>
      <c r="O160" s="186">
        <f xml:space="preserve"> SUMIFS('F_Inputs (EC)'!F$8:F$41, 'F_Inputs (EC)'!$A$8:$A$41, 'Analysis (TMA)'!$F$159, 'F_Inputs (EC)'!$B$8:$B$41, 'F_Inputs (EC)'!$B8)</f>
        <v>0.1</v>
      </c>
      <c r="P160" s="186">
        <f xml:space="preserve"> SUMIFS('F_Inputs (EC)'!G$8:G$41, 'F_Inputs (EC)'!$A$8:$A$41, 'Analysis (TMA)'!$F$159, 'F_Inputs (EC)'!$B$8:$B$41, 'F_Inputs (EC)'!$B8)</f>
        <v>0.1</v>
      </c>
      <c r="Q160" s="186">
        <f xml:space="preserve"> SUMIFS('F_Inputs (EC)'!H$8:H$41, 'F_Inputs (EC)'!$A$8:$A$41, 'Analysis (TMA)'!$F$159, 'F_Inputs (EC)'!$B$8:$B$41, 'F_Inputs (EC)'!$B8)</f>
        <v>0.1</v>
      </c>
      <c r="R160" s="186">
        <f xml:space="preserve"> SUMIFS('F_Inputs (EC)'!I$8:I$41, 'F_Inputs (EC)'!$A$8:$A$41, 'Analysis (TMA)'!$F$159, 'F_Inputs (EC)'!$B$8:$B$41, 'F_Inputs (EC)'!$B8)</f>
        <v>0.1</v>
      </c>
      <c r="S160" s="186">
        <f xml:space="preserve"> SUMIFS('F_Inputs (EC)'!J$8:J$41, 'F_Inputs (EC)'!$A$8:$A$41, 'Analysis (TMA)'!$F$159, 'F_Inputs (EC)'!$B$8:$B$41, 'F_Inputs (EC)'!$B8)</f>
        <v>0.1</v>
      </c>
      <c r="T160" s="138"/>
      <c r="U160" s="112"/>
      <c r="V160" s="112"/>
    </row>
    <row r="161" spans="3:22" hidden="1" outlineLevel="2" x14ac:dyDescent="0.35">
      <c r="E161" s="183" t="s">
        <v>85</v>
      </c>
      <c r="G161" s="22" t="s">
        <v>83</v>
      </c>
      <c r="J161" s="128"/>
      <c r="K161" s="128"/>
      <c r="L161" s="128"/>
      <c r="M161" s="128"/>
      <c r="N161" s="128"/>
      <c r="O161" s="186">
        <f xml:space="preserve"> SUMIFS('F_Inputs (EC)'!F$8:F$41, 'F_Inputs (EC)'!$A$8:$A$41, 'Analysis (TMA)'!$F$159, 'F_Inputs (EC)'!$B$8:$B$41, 'F_Inputs (EC)'!$B9)</f>
        <v>0.1</v>
      </c>
      <c r="P161" s="186">
        <f xml:space="preserve"> SUMIFS('F_Inputs (EC)'!G$8:G$41, 'F_Inputs (EC)'!$A$8:$A$41, 'Analysis (TMA)'!$F$159, 'F_Inputs (EC)'!$B$8:$B$41, 'F_Inputs (EC)'!$B9)</f>
        <v>0.1</v>
      </c>
      <c r="Q161" s="186">
        <f xml:space="preserve"> SUMIFS('F_Inputs (EC)'!H$8:H$41, 'F_Inputs (EC)'!$A$8:$A$41, 'Analysis (TMA)'!$F$159, 'F_Inputs (EC)'!$B$8:$B$41, 'F_Inputs (EC)'!$B9)</f>
        <v>0.1</v>
      </c>
      <c r="R161" s="186">
        <f xml:space="preserve"> SUMIFS('F_Inputs (EC)'!I$8:I$41, 'F_Inputs (EC)'!$A$8:$A$41, 'Analysis (TMA)'!$F$159, 'F_Inputs (EC)'!$B$8:$B$41, 'F_Inputs (EC)'!$B9)</f>
        <v>0.1</v>
      </c>
      <c r="S161" s="186">
        <f xml:space="preserve"> SUMIFS('F_Inputs (EC)'!J$8:J$41, 'F_Inputs (EC)'!$A$8:$A$41, 'Analysis (TMA)'!$F$159, 'F_Inputs (EC)'!$B$8:$B$41, 'F_Inputs (EC)'!$B9)</f>
        <v>0.1</v>
      </c>
      <c r="T161" s="138"/>
      <c r="U161" s="112"/>
      <c r="V161" s="112"/>
    </row>
    <row r="162" spans="3:22" hidden="1" outlineLevel="2" x14ac:dyDescent="0.35">
      <c r="E162" s="8" t="s">
        <v>205</v>
      </c>
      <c r="G162" s="22" t="s">
        <v>34</v>
      </c>
      <c r="J162" s="112"/>
      <c r="K162" s="112"/>
      <c r="L162" s="112"/>
      <c r="M162" s="112"/>
      <c r="N162" s="112"/>
      <c r="O162" s="112">
        <f t="shared" ref="O162:S163" si="106" xml:space="preserve"> O52 * (1 - O160)</f>
        <v>8.2142424463669414E-2</v>
      </c>
      <c r="P162" s="112">
        <f t="shared" si="106"/>
        <v>8.7153848961745148E-2</v>
      </c>
      <c r="Q162" s="112">
        <f t="shared" si="106"/>
        <v>8.6519601568210008E-2</v>
      </c>
      <c r="R162" s="112">
        <f t="shared" si="106"/>
        <v>8.6094685385458503E-2</v>
      </c>
      <c r="S162" s="112">
        <f t="shared" si="106"/>
        <v>9.0237923933368505E-2</v>
      </c>
      <c r="T162" s="138"/>
      <c r="U162" s="112">
        <f t="shared" ref="U162:U163" si="107">IFERROR(AVERAGE(O162:S162),0)</f>
        <v>8.6429696862490316E-2</v>
      </c>
      <c r="V162" s="112">
        <f t="shared" ref="V162:V163" si="108">SUM(O162:S162)</f>
        <v>0.43214848431245156</v>
      </c>
    </row>
    <row r="163" spans="3:22" hidden="1" outlineLevel="2" x14ac:dyDescent="0.35">
      <c r="E163" s="8" t="s">
        <v>209</v>
      </c>
      <c r="G163" s="22" t="s">
        <v>34</v>
      </c>
      <c r="J163" s="112"/>
      <c r="K163" s="112"/>
      <c r="L163" s="112"/>
      <c r="M163" s="112"/>
      <c r="N163" s="112"/>
      <c r="O163" s="112">
        <f t="shared" si="106"/>
        <v>2.3400000000000001E-2</v>
      </c>
      <c r="P163" s="112">
        <f t="shared" si="106"/>
        <v>2.3400000000000001E-2</v>
      </c>
      <c r="Q163" s="112">
        <f t="shared" si="106"/>
        <v>2.3400000000000001E-2</v>
      </c>
      <c r="R163" s="112">
        <f t="shared" si="106"/>
        <v>2.3400000000000001E-2</v>
      </c>
      <c r="S163" s="112">
        <f t="shared" si="106"/>
        <v>2.3400000000000001E-2</v>
      </c>
      <c r="T163" s="138"/>
      <c r="U163" s="112">
        <f t="shared" si="107"/>
        <v>2.3400000000000001E-2</v>
      </c>
      <c r="V163" s="112">
        <f t="shared" si="108"/>
        <v>0.11700000000000001</v>
      </c>
    </row>
    <row r="164" spans="3:22" hidden="1" outlineLevel="2" x14ac:dyDescent="0.35">
      <c r="E164" s="8" t="s">
        <v>99</v>
      </c>
      <c r="G164" s="22" t="s">
        <v>34</v>
      </c>
      <c r="J164" s="134">
        <f>SUM(J162:J163)</f>
        <v>0</v>
      </c>
      <c r="K164" s="134">
        <f t="shared" ref="K164" si="109">SUM(K162:K163)</f>
        <v>0</v>
      </c>
      <c r="L164" s="134">
        <f t="shared" ref="L164" si="110">SUM(L162:L163)</f>
        <v>0</v>
      </c>
      <c r="M164" s="134">
        <f t="shared" ref="M164" si="111">SUM(M162:M163)</f>
        <v>0</v>
      </c>
      <c r="N164" s="134">
        <f t="shared" ref="N164" si="112">SUM(N162:N163)</f>
        <v>0</v>
      </c>
      <c r="O164" s="134">
        <f t="shared" ref="O164" si="113">SUM(O162:O163)</f>
        <v>0.10554242446366942</v>
      </c>
      <c r="P164" s="134">
        <f t="shared" ref="P164" si="114">SUM(P162:P163)</f>
        <v>0.11055384896174515</v>
      </c>
      <c r="Q164" s="134">
        <f t="shared" ref="Q164" si="115">SUM(Q162:Q163)</f>
        <v>0.10991960156821001</v>
      </c>
      <c r="R164" s="134">
        <f t="shared" ref="R164" si="116">SUM(R162:R163)</f>
        <v>0.10949468538545851</v>
      </c>
      <c r="S164" s="134">
        <f t="shared" ref="S164" si="117">SUM(S162:S163)</f>
        <v>0.11363792393336851</v>
      </c>
      <c r="T164" s="138"/>
      <c r="U164" s="134">
        <f>SUM(U162:U163)</f>
        <v>0.10982969686249032</v>
      </c>
      <c r="V164" s="134">
        <f>SUM(V162:V163)</f>
        <v>0.54914848431245156</v>
      </c>
    </row>
    <row r="165" spans="3:22" hidden="1" outlineLevel="1" x14ac:dyDescent="0.35">
      <c r="J165" s="112"/>
      <c r="K165" s="112"/>
      <c r="L165" s="112"/>
      <c r="M165" s="112"/>
      <c r="N165" s="112"/>
      <c r="O165" s="112"/>
      <c r="P165" s="112"/>
      <c r="Q165" s="112"/>
      <c r="R165" s="112"/>
      <c r="S165" s="112"/>
      <c r="T165" s="138"/>
      <c r="U165" s="112"/>
      <c r="V165" s="112"/>
    </row>
    <row r="166" spans="3:22" hidden="1" outlineLevel="1" collapsed="1" x14ac:dyDescent="0.35">
      <c r="C166" s="24" t="str">
        <f>INDEX(InpC!$E$25:$E$42,G166)</f>
        <v>Yorkshire Water</v>
      </c>
      <c r="F166" s="113" t="str">
        <f>INDEX(InpC!$F$25:$F$42,G166,)</f>
        <v>YKY</v>
      </c>
      <c r="G166" s="8">
        <f>G56</f>
        <v>10</v>
      </c>
      <c r="J166" s="112"/>
      <c r="K166" s="112"/>
      <c r="L166" s="112"/>
      <c r="M166" s="112"/>
      <c r="N166" s="112"/>
      <c r="O166" s="112"/>
      <c r="P166" s="112"/>
      <c r="Q166" s="112"/>
      <c r="R166" s="112"/>
      <c r="S166" s="112"/>
      <c r="T166" s="138"/>
      <c r="U166" s="112"/>
      <c r="V166" s="112"/>
    </row>
    <row r="167" spans="3:22" hidden="1" outlineLevel="2" x14ac:dyDescent="0.35">
      <c r="E167" s="183" t="s">
        <v>82</v>
      </c>
      <c r="G167" s="22" t="s">
        <v>83</v>
      </c>
      <c r="J167" s="128"/>
      <c r="K167" s="128"/>
      <c r="L167" s="128"/>
      <c r="M167" s="128"/>
      <c r="N167" s="128"/>
      <c r="O167" s="186">
        <f xml:space="preserve"> SUMIFS('F_Inputs (EC)'!F$8:F$41, 'F_Inputs (EC)'!$A$8:$A$41, 'Analysis (TMA)'!$F$166, 'F_Inputs (EC)'!$B$8:$B$41, 'F_Inputs (EC)'!$B8)</f>
        <v>0.1</v>
      </c>
      <c r="P167" s="186">
        <f xml:space="preserve"> SUMIFS('F_Inputs (EC)'!G$8:G$41, 'F_Inputs (EC)'!$A$8:$A$41, 'Analysis (TMA)'!$F$166, 'F_Inputs (EC)'!$B$8:$B$41, 'F_Inputs (EC)'!$B8)</f>
        <v>0.1</v>
      </c>
      <c r="Q167" s="186">
        <f xml:space="preserve"> SUMIFS('F_Inputs (EC)'!H$8:H$41, 'F_Inputs (EC)'!$A$8:$A$41, 'Analysis (TMA)'!$F$166, 'F_Inputs (EC)'!$B$8:$B$41, 'F_Inputs (EC)'!$B8)</f>
        <v>0.1</v>
      </c>
      <c r="R167" s="186">
        <f xml:space="preserve"> SUMIFS('F_Inputs (EC)'!I$8:I$41, 'F_Inputs (EC)'!$A$8:$A$41, 'Analysis (TMA)'!$F$166, 'F_Inputs (EC)'!$B$8:$B$41, 'F_Inputs (EC)'!$B8)</f>
        <v>0.1</v>
      </c>
      <c r="S167" s="186">
        <f xml:space="preserve"> SUMIFS('F_Inputs (EC)'!J$8:J$41, 'F_Inputs (EC)'!$A$8:$A$41, 'Analysis (TMA)'!$F$166, 'F_Inputs (EC)'!$B$8:$B$41, 'F_Inputs (EC)'!$B8)</f>
        <v>0.1</v>
      </c>
      <c r="T167" s="138"/>
      <c r="U167" s="112"/>
      <c r="V167" s="112"/>
    </row>
    <row r="168" spans="3:22" hidden="1" outlineLevel="2" x14ac:dyDescent="0.35">
      <c r="E168" s="183" t="s">
        <v>85</v>
      </c>
      <c r="G168" s="22" t="s">
        <v>83</v>
      </c>
      <c r="J168" s="128"/>
      <c r="K168" s="128"/>
      <c r="L168" s="128"/>
      <c r="M168" s="128"/>
      <c r="N168" s="128"/>
      <c r="O168" s="186">
        <f xml:space="preserve"> SUMIFS('F_Inputs (EC)'!F$8:F$41, 'F_Inputs (EC)'!$A$8:$A$41, 'Analysis (TMA)'!$F$166, 'F_Inputs (EC)'!$B$8:$B$41, 'F_Inputs (EC)'!$B9)</f>
        <v>0</v>
      </c>
      <c r="P168" s="186">
        <f xml:space="preserve"> SUMIFS('F_Inputs (EC)'!G$8:G$41, 'F_Inputs (EC)'!$A$8:$A$41, 'Analysis (TMA)'!$F$166, 'F_Inputs (EC)'!$B$8:$B$41, 'F_Inputs (EC)'!$B9)</f>
        <v>0</v>
      </c>
      <c r="Q168" s="186">
        <f xml:space="preserve"> SUMIFS('F_Inputs (EC)'!H$8:H$41, 'F_Inputs (EC)'!$A$8:$A$41, 'Analysis (TMA)'!$F$166, 'F_Inputs (EC)'!$B$8:$B$41, 'F_Inputs (EC)'!$B9)</f>
        <v>0</v>
      </c>
      <c r="R168" s="186">
        <f xml:space="preserve"> SUMIFS('F_Inputs (EC)'!I$8:I$41, 'F_Inputs (EC)'!$A$8:$A$41, 'Analysis (TMA)'!$F$166, 'F_Inputs (EC)'!$B$8:$B$41, 'F_Inputs (EC)'!$B9)</f>
        <v>0</v>
      </c>
      <c r="S168" s="186">
        <f xml:space="preserve"> SUMIFS('F_Inputs (EC)'!J$8:J$41, 'F_Inputs (EC)'!$A$8:$A$41, 'Analysis (TMA)'!$F$166, 'F_Inputs (EC)'!$B$8:$B$41, 'F_Inputs (EC)'!$B9)</f>
        <v>0</v>
      </c>
      <c r="T168" s="138"/>
      <c r="U168" s="112"/>
      <c r="V168" s="112"/>
    </row>
    <row r="169" spans="3:22" hidden="1" outlineLevel="2" x14ac:dyDescent="0.35">
      <c r="E169" s="8" t="s">
        <v>205</v>
      </c>
      <c r="G169" s="22" t="s">
        <v>34</v>
      </c>
      <c r="J169" s="112"/>
      <c r="K169" s="112"/>
      <c r="L169" s="112"/>
      <c r="M169" s="112"/>
      <c r="N169" s="112"/>
      <c r="O169" s="112">
        <f t="shared" ref="O169:S170" si="118" xml:space="preserve"> O57 * (1 - O167)</f>
        <v>3.6230637970791704</v>
      </c>
      <c r="P169" s="112">
        <f t="shared" si="118"/>
        <v>3.6230637970791704</v>
      </c>
      <c r="Q169" s="112">
        <f t="shared" si="118"/>
        <v>3.6230637970791704</v>
      </c>
      <c r="R169" s="112">
        <f t="shared" si="118"/>
        <v>3.6230637970791704</v>
      </c>
      <c r="S169" s="112">
        <f t="shared" si="118"/>
        <v>3.6230637970791704</v>
      </c>
      <c r="T169" s="138"/>
      <c r="U169" s="112">
        <f t="shared" ref="U169:U170" si="119">IFERROR(AVERAGE(O169:S169),0)</f>
        <v>3.6230637970791704</v>
      </c>
      <c r="V169" s="112">
        <f t="shared" ref="V169:V170" si="120">SUM(O169:S169)</f>
        <v>18.115318985395852</v>
      </c>
    </row>
    <row r="170" spans="3:22" hidden="1" outlineLevel="2" x14ac:dyDescent="0.35">
      <c r="E170" s="8" t="s">
        <v>209</v>
      </c>
      <c r="G170" s="22" t="s">
        <v>34</v>
      </c>
      <c r="J170" s="112"/>
      <c r="K170" s="112"/>
      <c r="L170" s="112"/>
      <c r="M170" s="112"/>
      <c r="N170" s="112"/>
      <c r="O170" s="112">
        <f t="shared" si="118"/>
        <v>0.1437048424289008</v>
      </c>
      <c r="P170" s="112">
        <f t="shared" si="118"/>
        <v>0.1437048424289008</v>
      </c>
      <c r="Q170" s="112">
        <f t="shared" si="118"/>
        <v>0.1437048424289008</v>
      </c>
      <c r="R170" s="112">
        <f t="shared" si="118"/>
        <v>0.1437048424289008</v>
      </c>
      <c r="S170" s="112">
        <f t="shared" si="118"/>
        <v>0.1437048424289008</v>
      </c>
      <c r="T170" s="138"/>
      <c r="U170" s="112">
        <f t="shared" si="119"/>
        <v>0.1437048424289008</v>
      </c>
      <c r="V170" s="112">
        <f t="shared" si="120"/>
        <v>0.71852421214450402</v>
      </c>
    </row>
    <row r="171" spans="3:22" hidden="1" outlineLevel="2" x14ac:dyDescent="0.35">
      <c r="E171" s="8" t="s">
        <v>99</v>
      </c>
      <c r="G171" s="22" t="s">
        <v>34</v>
      </c>
      <c r="J171" s="134">
        <f>SUM(J169:J170)</f>
        <v>0</v>
      </c>
      <c r="K171" s="134">
        <f t="shared" ref="K171" si="121">SUM(K169:K170)</f>
        <v>0</v>
      </c>
      <c r="L171" s="134">
        <f t="shared" ref="L171" si="122">SUM(L169:L170)</f>
        <v>0</v>
      </c>
      <c r="M171" s="134">
        <f t="shared" ref="M171" si="123">SUM(M169:M170)</f>
        <v>0</v>
      </c>
      <c r="N171" s="134">
        <f t="shared" ref="N171" si="124">SUM(N169:N170)</f>
        <v>0</v>
      </c>
      <c r="O171" s="134">
        <f t="shared" ref="O171" si="125">SUM(O169:O170)</f>
        <v>3.7667686395080713</v>
      </c>
      <c r="P171" s="134">
        <f t="shared" ref="P171" si="126">SUM(P169:P170)</f>
        <v>3.7667686395080713</v>
      </c>
      <c r="Q171" s="134">
        <f t="shared" ref="Q171" si="127">SUM(Q169:Q170)</f>
        <v>3.7667686395080713</v>
      </c>
      <c r="R171" s="134">
        <f t="shared" ref="R171" si="128">SUM(R169:R170)</f>
        <v>3.7667686395080713</v>
      </c>
      <c r="S171" s="134">
        <f t="shared" ref="S171" si="129">SUM(S169:S170)</f>
        <v>3.7667686395080713</v>
      </c>
      <c r="T171" s="138"/>
      <c r="U171" s="134">
        <f>SUM(U169:U170)</f>
        <v>3.7667686395080713</v>
      </c>
      <c r="V171" s="134">
        <f>SUM(V169:V170)</f>
        <v>18.833843197540357</v>
      </c>
    </row>
    <row r="172" spans="3:22" hidden="1" outlineLevel="1" x14ac:dyDescent="0.35">
      <c r="J172" s="112"/>
      <c r="K172" s="112"/>
      <c r="L172" s="112"/>
      <c r="M172" s="112"/>
      <c r="N172" s="112"/>
      <c r="O172" s="112"/>
      <c r="P172" s="112"/>
      <c r="Q172" s="112"/>
      <c r="R172" s="112"/>
      <c r="S172" s="112"/>
      <c r="T172" s="138"/>
      <c r="U172" s="112"/>
      <c r="V172" s="112"/>
    </row>
    <row r="173" spans="3:22" hidden="1" outlineLevel="1" collapsed="1" x14ac:dyDescent="0.35">
      <c r="C173" s="24" t="str">
        <f>INDEX(InpC!$E$25:$E$42,G173)</f>
        <v>Affinity Water</v>
      </c>
      <c r="F173" s="113" t="str">
        <f>INDEX(InpC!$F$25:$F$42,G173,)</f>
        <v>AFW</v>
      </c>
      <c r="G173" s="8">
        <f>G61</f>
        <v>11</v>
      </c>
      <c r="J173" s="112"/>
      <c r="K173" s="112"/>
      <c r="L173" s="112"/>
      <c r="M173" s="112"/>
      <c r="N173" s="112"/>
      <c r="O173" s="112"/>
      <c r="P173" s="112"/>
      <c r="Q173" s="112"/>
      <c r="R173" s="112"/>
      <c r="S173" s="112"/>
      <c r="T173" s="138"/>
      <c r="U173" s="112"/>
      <c r="V173" s="112"/>
    </row>
    <row r="174" spans="3:22" hidden="1" outlineLevel="2" x14ac:dyDescent="0.35">
      <c r="E174" s="183" t="s">
        <v>82</v>
      </c>
      <c r="G174" s="22" t="s">
        <v>83</v>
      </c>
      <c r="J174" s="128"/>
      <c r="K174" s="128"/>
      <c r="L174" s="128"/>
      <c r="M174" s="128"/>
      <c r="N174" s="128"/>
      <c r="O174" s="186">
        <f xml:space="preserve"> SUMIFS('F_Inputs (EC)'!F$8:F$41, 'F_Inputs (EC)'!$A$8:$A$41, 'Analysis (TMA)'!$F$173, 'F_Inputs (EC)'!$B$8:$B$41, 'F_Inputs (EC)'!$B$8)</f>
        <v>7.779658401263643E-3</v>
      </c>
      <c r="P174" s="186">
        <f xml:space="preserve"> SUMIFS('F_Inputs (EC)'!G$8:G$41, 'F_Inputs (EC)'!$A$8:$A$41, 'Analysis (TMA)'!$F$173, 'F_Inputs (EC)'!$B$8:$B$41, 'F_Inputs (EC)'!$B$8)</f>
        <v>7.779658401263643E-3</v>
      </c>
      <c r="Q174" s="186">
        <f xml:space="preserve"> SUMIFS('F_Inputs (EC)'!H$8:H$41, 'F_Inputs (EC)'!$A$8:$A$41, 'Analysis (TMA)'!$F$173, 'F_Inputs (EC)'!$B$8:$B$41, 'F_Inputs (EC)'!$B$8)</f>
        <v>7.779658401263643E-3</v>
      </c>
      <c r="R174" s="186">
        <f xml:space="preserve"> SUMIFS('F_Inputs (EC)'!I$8:I$41, 'F_Inputs (EC)'!$A$8:$A$41, 'Analysis (TMA)'!$F$173, 'F_Inputs (EC)'!$B$8:$B$41, 'F_Inputs (EC)'!$B$8)</f>
        <v>7.779658401263643E-3</v>
      </c>
      <c r="S174" s="186">
        <f xml:space="preserve"> SUMIFS('F_Inputs (EC)'!J$8:J$41, 'F_Inputs (EC)'!$A$8:$A$41, 'Analysis (TMA)'!$F$173, 'F_Inputs (EC)'!$B$8:$B$41, 'F_Inputs (EC)'!$B$8)</f>
        <v>7.779658401263643E-3</v>
      </c>
      <c r="T174" s="138"/>
      <c r="U174" s="112"/>
      <c r="V174" s="112"/>
    </row>
    <row r="175" spans="3:22" hidden="1" outlineLevel="2" x14ac:dyDescent="0.35">
      <c r="E175" s="183" t="s">
        <v>85</v>
      </c>
      <c r="G175" s="22" t="s">
        <v>83</v>
      </c>
      <c r="J175" s="128"/>
      <c r="K175" s="128"/>
      <c r="L175" s="128"/>
      <c r="M175" s="128"/>
      <c r="N175" s="128"/>
      <c r="O175" s="128"/>
      <c r="P175" s="128"/>
      <c r="Q175" s="128"/>
      <c r="R175" s="128"/>
      <c r="S175" s="128"/>
      <c r="T175" s="138"/>
      <c r="U175" s="112"/>
      <c r="V175" s="112"/>
    </row>
    <row r="176" spans="3:22" hidden="1" outlineLevel="2" x14ac:dyDescent="0.35">
      <c r="E176" s="8" t="s">
        <v>205</v>
      </c>
      <c r="G176" s="22" t="s">
        <v>34</v>
      </c>
      <c r="J176" s="112"/>
      <c r="K176" s="112"/>
      <c r="L176" s="112"/>
      <c r="M176" s="112"/>
      <c r="N176" s="112"/>
      <c r="O176" s="112">
        <f xml:space="preserve"> O62 * (1 - O174)</f>
        <v>0.64494322203917864</v>
      </c>
      <c r="P176" s="112">
        <f xml:space="preserve"> P62 * (1 - P174)</f>
        <v>0.64494322203917864</v>
      </c>
      <c r="Q176" s="112">
        <f xml:space="preserve"> Q62 * (1 - Q174)</f>
        <v>0.64593544238077738</v>
      </c>
      <c r="R176" s="112">
        <f xml:space="preserve"> R62 * (1 - R174)</f>
        <v>0.64593544238077738</v>
      </c>
      <c r="S176" s="112">
        <f xml:space="preserve"> S62 * (1 - S174)</f>
        <v>0.64593544238077738</v>
      </c>
      <c r="T176" s="138"/>
      <c r="U176" s="112">
        <f t="shared" ref="U176:U177" si="130">IFERROR(AVERAGE(O176:S176),0)</f>
        <v>0.64553855424413797</v>
      </c>
      <c r="V176" s="112">
        <f t="shared" ref="V176:V177" si="131">SUM(O176:S176)</f>
        <v>3.2276927712206898</v>
      </c>
    </row>
    <row r="177" spans="3:22" hidden="1" outlineLevel="2" x14ac:dyDescent="0.35">
      <c r="E177" s="8" t="s">
        <v>209</v>
      </c>
      <c r="G177" s="22" t="s">
        <v>34</v>
      </c>
      <c r="J177" s="112"/>
      <c r="K177" s="112"/>
      <c r="L177" s="112"/>
      <c r="M177" s="112"/>
      <c r="N177" s="112"/>
      <c r="O177" s="112"/>
      <c r="P177" s="112"/>
      <c r="Q177" s="112"/>
      <c r="R177" s="112"/>
      <c r="S177" s="112"/>
      <c r="T177" s="138"/>
      <c r="U177" s="112">
        <f t="shared" si="130"/>
        <v>0</v>
      </c>
      <c r="V177" s="112">
        <f t="shared" si="131"/>
        <v>0</v>
      </c>
    </row>
    <row r="178" spans="3:22" hidden="1" outlineLevel="2" x14ac:dyDescent="0.35">
      <c r="E178" s="8" t="s">
        <v>99</v>
      </c>
      <c r="G178" s="22" t="s">
        <v>34</v>
      </c>
      <c r="J178" s="134">
        <f>SUM(J176:J177)</f>
        <v>0</v>
      </c>
      <c r="K178" s="134">
        <f t="shared" ref="K178" si="132">SUM(K176:K177)</f>
        <v>0</v>
      </c>
      <c r="L178" s="134">
        <f t="shared" ref="L178" si="133">SUM(L176:L177)</f>
        <v>0</v>
      </c>
      <c r="M178" s="134">
        <f t="shared" ref="M178" si="134">SUM(M176:M177)</f>
        <v>0</v>
      </c>
      <c r="N178" s="134">
        <f t="shared" ref="N178" si="135">SUM(N176:N177)</f>
        <v>0</v>
      </c>
      <c r="O178" s="134">
        <f t="shared" ref="O178" si="136">SUM(O176:O177)</f>
        <v>0.64494322203917864</v>
      </c>
      <c r="P178" s="134">
        <f t="shared" ref="P178" si="137">SUM(P176:P177)</f>
        <v>0.64494322203917864</v>
      </c>
      <c r="Q178" s="134">
        <f t="shared" ref="Q178" si="138">SUM(Q176:Q177)</f>
        <v>0.64593544238077738</v>
      </c>
      <c r="R178" s="134">
        <f t="shared" ref="R178" si="139">SUM(R176:R177)</f>
        <v>0.64593544238077738</v>
      </c>
      <c r="S178" s="134">
        <f t="shared" ref="S178" si="140">SUM(S176:S177)</f>
        <v>0.64593544238077738</v>
      </c>
      <c r="T178" s="138"/>
      <c r="U178" s="134">
        <f>SUM(U176:U177)</f>
        <v>0.64553855424413797</v>
      </c>
      <c r="V178" s="134">
        <f>SUM(V176:V177)</f>
        <v>3.2276927712206898</v>
      </c>
    </row>
    <row r="179" spans="3:22" hidden="1" outlineLevel="1" x14ac:dyDescent="0.35">
      <c r="J179" s="112"/>
      <c r="K179" s="112"/>
      <c r="L179" s="112"/>
      <c r="M179" s="112"/>
      <c r="N179" s="112"/>
      <c r="O179" s="112"/>
      <c r="P179" s="112"/>
      <c r="Q179" s="112"/>
      <c r="R179" s="112"/>
      <c r="S179" s="112"/>
      <c r="T179" s="138"/>
      <c r="U179" s="112"/>
      <c r="V179" s="112"/>
    </row>
    <row r="180" spans="3:22" hidden="1" outlineLevel="1" collapsed="1" x14ac:dyDescent="0.35">
      <c r="C180" s="24" t="str">
        <f>INDEX(InpC!$E$25:$E$42,G180)</f>
        <v>Portsmouth Water</v>
      </c>
      <c r="F180" s="113" t="str">
        <f>INDEX(InpC!$F$25:$F$42,G180,)</f>
        <v>PRT</v>
      </c>
      <c r="G180" s="8">
        <f>G66</f>
        <v>12</v>
      </c>
      <c r="J180" s="112"/>
      <c r="K180" s="112"/>
      <c r="L180" s="112"/>
      <c r="M180" s="112"/>
      <c r="N180" s="112"/>
      <c r="O180" s="112"/>
      <c r="P180" s="112"/>
      <c r="Q180" s="112"/>
      <c r="R180" s="112"/>
      <c r="S180" s="112"/>
      <c r="T180" s="138"/>
      <c r="U180" s="112"/>
      <c r="V180" s="112"/>
    </row>
    <row r="181" spans="3:22" hidden="1" outlineLevel="2" x14ac:dyDescent="0.35">
      <c r="E181" s="183" t="s">
        <v>82</v>
      </c>
      <c r="G181" s="22" t="s">
        <v>83</v>
      </c>
      <c r="J181" s="128"/>
      <c r="K181" s="128"/>
      <c r="L181" s="128"/>
      <c r="M181" s="128"/>
      <c r="N181" s="128"/>
      <c r="O181" s="186">
        <f xml:space="preserve"> SUMIFS('F_Inputs (EC)'!F$8:F$41, 'F_Inputs (EC)'!$A$8:$A$41, 'Analysis (TMA)'!$F$180, 'F_Inputs (EC)'!$B$8:$B$41, 'F_Inputs (EC)'!$B$8)</f>
        <v>0</v>
      </c>
      <c r="P181" s="186">
        <f xml:space="preserve"> SUMIFS('F_Inputs (EC)'!G$8:G$41, 'F_Inputs (EC)'!$A$8:$A$41, 'Analysis (TMA)'!$F$180, 'F_Inputs (EC)'!$B$8:$B$41, 'F_Inputs (EC)'!$B$8)</f>
        <v>0</v>
      </c>
      <c r="Q181" s="186">
        <f xml:space="preserve"> SUMIFS('F_Inputs (EC)'!H$8:H$41, 'F_Inputs (EC)'!$A$8:$A$41, 'Analysis (TMA)'!$F$180, 'F_Inputs (EC)'!$B$8:$B$41, 'F_Inputs (EC)'!$B$8)</f>
        <v>0</v>
      </c>
      <c r="R181" s="186">
        <f xml:space="preserve"> SUMIFS('F_Inputs (EC)'!I$8:I$41, 'F_Inputs (EC)'!$A$8:$A$41, 'Analysis (TMA)'!$F$180, 'F_Inputs (EC)'!$B$8:$B$41, 'F_Inputs (EC)'!$B$8)</f>
        <v>0</v>
      </c>
      <c r="S181" s="186">
        <f xml:space="preserve"> SUMIFS('F_Inputs (EC)'!J$8:J$41, 'F_Inputs (EC)'!$A$8:$A$41, 'Analysis (TMA)'!$F$180, 'F_Inputs (EC)'!$B$8:$B$41, 'F_Inputs (EC)'!$B$8)</f>
        <v>0</v>
      </c>
      <c r="T181" s="138"/>
      <c r="U181" s="112"/>
      <c r="V181" s="112"/>
    </row>
    <row r="182" spans="3:22" hidden="1" outlineLevel="2" x14ac:dyDescent="0.35">
      <c r="E182" s="183" t="s">
        <v>85</v>
      </c>
      <c r="G182" s="22" t="s">
        <v>83</v>
      </c>
      <c r="J182" s="128"/>
      <c r="K182" s="128"/>
      <c r="L182" s="128"/>
      <c r="M182" s="128"/>
      <c r="N182" s="128"/>
      <c r="O182" s="128"/>
      <c r="P182" s="128"/>
      <c r="Q182" s="128"/>
      <c r="R182" s="128"/>
      <c r="S182" s="128"/>
      <c r="T182" s="138"/>
      <c r="U182" s="112"/>
      <c r="V182" s="112"/>
    </row>
    <row r="183" spans="3:22" hidden="1" outlineLevel="2" x14ac:dyDescent="0.35">
      <c r="E183" s="8" t="s">
        <v>205</v>
      </c>
      <c r="G183" s="22" t="s">
        <v>34</v>
      </c>
      <c r="J183" s="112"/>
      <c r="K183" s="112"/>
      <c r="L183" s="112"/>
      <c r="M183" s="112"/>
      <c r="N183" s="112"/>
      <c r="O183" s="112">
        <f xml:space="preserve"> O67 * (1 - O181)</f>
        <v>0.48699999999999999</v>
      </c>
      <c r="P183" s="112">
        <f xml:space="preserve"> P67 * (1 - P181)</f>
        <v>0.49164000000000002</v>
      </c>
      <c r="Q183" s="112">
        <f xml:space="preserve"> Q67 * (1 - Q181)</f>
        <v>0.48681999999999997</v>
      </c>
      <c r="R183" s="112">
        <f xml:space="preserve"> R67 * (1 - R181)</f>
        <v>0.48681999999999997</v>
      </c>
      <c r="S183" s="112">
        <f xml:space="preserve"> S67 * (1 - S181)</f>
        <v>0.48681999999999997</v>
      </c>
      <c r="T183" s="138"/>
      <c r="U183" s="112">
        <f t="shared" ref="U183:U184" si="141">IFERROR(AVERAGE(O183:S183),0)</f>
        <v>0.48781999999999998</v>
      </c>
      <c r="V183" s="112">
        <f t="shared" ref="V183:V184" si="142">SUM(O183:S183)</f>
        <v>2.4390999999999998</v>
      </c>
    </row>
    <row r="184" spans="3:22" hidden="1" outlineLevel="2" x14ac:dyDescent="0.35">
      <c r="E184" s="8" t="s">
        <v>209</v>
      </c>
      <c r="G184" s="22" t="s">
        <v>34</v>
      </c>
      <c r="J184" s="112"/>
      <c r="K184" s="112"/>
      <c r="L184" s="112"/>
      <c r="M184" s="112"/>
      <c r="N184" s="112"/>
      <c r="O184" s="112"/>
      <c r="P184" s="112"/>
      <c r="Q184" s="112"/>
      <c r="R184" s="112"/>
      <c r="S184" s="112"/>
      <c r="T184" s="138"/>
      <c r="U184" s="112">
        <f t="shared" si="141"/>
        <v>0</v>
      </c>
      <c r="V184" s="112">
        <f t="shared" si="142"/>
        <v>0</v>
      </c>
    </row>
    <row r="185" spans="3:22" hidden="1" outlineLevel="2" x14ac:dyDescent="0.35">
      <c r="E185" s="8" t="s">
        <v>99</v>
      </c>
      <c r="G185" s="22" t="s">
        <v>34</v>
      </c>
      <c r="J185" s="134">
        <f>SUM(J183:J184)</f>
        <v>0</v>
      </c>
      <c r="K185" s="134">
        <f t="shared" ref="K185" si="143">SUM(K183:K184)</f>
        <v>0</v>
      </c>
      <c r="L185" s="134">
        <f t="shared" ref="L185" si="144">SUM(L183:L184)</f>
        <v>0</v>
      </c>
      <c r="M185" s="134">
        <f t="shared" ref="M185" si="145">SUM(M183:M184)</f>
        <v>0</v>
      </c>
      <c r="N185" s="134">
        <f t="shared" ref="N185" si="146">SUM(N183:N184)</f>
        <v>0</v>
      </c>
      <c r="O185" s="134">
        <f t="shared" ref="O185" si="147">SUM(O183:O184)</f>
        <v>0.48699999999999999</v>
      </c>
      <c r="P185" s="134">
        <f t="shared" ref="P185" si="148">SUM(P183:P184)</f>
        <v>0.49164000000000002</v>
      </c>
      <c r="Q185" s="134">
        <f t="shared" ref="Q185" si="149">SUM(Q183:Q184)</f>
        <v>0.48681999999999997</v>
      </c>
      <c r="R185" s="134">
        <f t="shared" ref="R185" si="150">SUM(R183:R184)</f>
        <v>0.48681999999999997</v>
      </c>
      <c r="S185" s="134">
        <f t="shared" ref="S185" si="151">SUM(S183:S184)</f>
        <v>0.48681999999999997</v>
      </c>
      <c r="T185" s="138"/>
      <c r="U185" s="134">
        <f>SUM(U183:U184)</f>
        <v>0.48781999999999998</v>
      </c>
      <c r="V185" s="134">
        <f>SUM(V183:V184)</f>
        <v>2.4390999999999998</v>
      </c>
    </row>
    <row r="186" spans="3:22" hidden="1" outlineLevel="1" x14ac:dyDescent="0.35">
      <c r="J186" s="112"/>
      <c r="K186" s="112"/>
      <c r="L186" s="112"/>
      <c r="M186" s="112"/>
      <c r="N186" s="112"/>
      <c r="O186" s="112"/>
      <c r="P186" s="112"/>
      <c r="Q186" s="112"/>
      <c r="R186" s="112"/>
      <c r="S186" s="112"/>
      <c r="T186" s="138"/>
      <c r="U186" s="112"/>
      <c r="V186" s="112"/>
    </row>
    <row r="187" spans="3:22" hidden="1" outlineLevel="1" collapsed="1" x14ac:dyDescent="0.35">
      <c r="C187" s="24" t="str">
        <f>INDEX(InpC!$E$25:$E$42,G187)</f>
        <v>South East Water</v>
      </c>
      <c r="F187" s="113" t="str">
        <f>INDEX(InpC!$F$25:$F$42,G187,)</f>
        <v>SEW</v>
      </c>
      <c r="G187" s="8">
        <f>G71</f>
        <v>13</v>
      </c>
      <c r="J187" s="112"/>
      <c r="K187" s="112"/>
      <c r="L187" s="112"/>
      <c r="M187" s="112"/>
      <c r="N187" s="112"/>
      <c r="O187" s="112"/>
      <c r="P187" s="112"/>
      <c r="Q187" s="112"/>
      <c r="R187" s="112"/>
      <c r="S187" s="112"/>
      <c r="T187" s="138"/>
      <c r="U187" s="112"/>
      <c r="V187" s="112"/>
    </row>
    <row r="188" spans="3:22" hidden="1" outlineLevel="2" x14ac:dyDescent="0.35">
      <c r="E188" s="183" t="s">
        <v>82</v>
      </c>
      <c r="G188" s="22" t="s">
        <v>83</v>
      </c>
      <c r="J188" s="128"/>
      <c r="K188" s="128"/>
      <c r="L188" s="128"/>
      <c r="M188" s="128"/>
      <c r="N188" s="128"/>
      <c r="O188" s="186">
        <f xml:space="preserve"> SUMIFS('F_Inputs (EC)'!F$8:F$41, 'F_Inputs (EC)'!$A$8:$A$41, 'Analysis (TMA)'!$F$187, 'F_Inputs (EC)'!$B$8:$B$41, 'F_Inputs (EC)'!$B$8)</f>
        <v>6.5886387183802922E-2</v>
      </c>
      <c r="P188" s="186">
        <f xml:space="preserve"> SUMIFS('F_Inputs (EC)'!G$8:G$41, 'F_Inputs (EC)'!$A$8:$A$41, 'Analysis (TMA)'!$F$187, 'F_Inputs (EC)'!$B$8:$B$41, 'F_Inputs (EC)'!$B$8)</f>
        <v>6.5886387183802922E-2</v>
      </c>
      <c r="Q188" s="186">
        <f xml:space="preserve"> SUMIFS('F_Inputs (EC)'!H$8:H$41, 'F_Inputs (EC)'!$A$8:$A$41, 'Analysis (TMA)'!$F$187, 'F_Inputs (EC)'!$B$8:$B$41, 'F_Inputs (EC)'!$B$8)</f>
        <v>6.5886387183802922E-2</v>
      </c>
      <c r="R188" s="186">
        <f xml:space="preserve"> SUMIFS('F_Inputs (EC)'!I$8:I$41, 'F_Inputs (EC)'!$A$8:$A$41, 'Analysis (TMA)'!$F$187, 'F_Inputs (EC)'!$B$8:$B$41, 'F_Inputs (EC)'!$B$8)</f>
        <v>6.5886387183802922E-2</v>
      </c>
      <c r="S188" s="186">
        <f xml:space="preserve"> SUMIFS('F_Inputs (EC)'!J$8:J$41, 'F_Inputs (EC)'!$A$8:$A$41, 'Analysis (TMA)'!$F$187, 'F_Inputs (EC)'!$B$8:$B$41, 'F_Inputs (EC)'!$B$8)</f>
        <v>6.5886387183802922E-2</v>
      </c>
      <c r="T188" s="138"/>
      <c r="U188" s="112"/>
      <c r="V188" s="112"/>
    </row>
    <row r="189" spans="3:22" hidden="1" outlineLevel="2" x14ac:dyDescent="0.35">
      <c r="E189" s="183" t="s">
        <v>85</v>
      </c>
      <c r="G189" s="22" t="s">
        <v>83</v>
      </c>
      <c r="J189" s="128"/>
      <c r="K189" s="128"/>
      <c r="L189" s="128"/>
      <c r="M189" s="128"/>
      <c r="N189" s="128"/>
      <c r="O189" s="128"/>
      <c r="P189" s="128"/>
      <c r="Q189" s="128"/>
      <c r="R189" s="128"/>
      <c r="S189" s="128"/>
      <c r="T189" s="138"/>
      <c r="U189" s="112"/>
      <c r="V189" s="112"/>
    </row>
    <row r="190" spans="3:22" hidden="1" outlineLevel="2" x14ac:dyDescent="0.35">
      <c r="E190" s="8" t="s">
        <v>205</v>
      </c>
      <c r="G190" s="22" t="s">
        <v>34</v>
      </c>
      <c r="J190" s="112"/>
      <c r="K190" s="112"/>
      <c r="L190" s="112"/>
      <c r="M190" s="112"/>
      <c r="N190" s="112"/>
      <c r="O190" s="112">
        <f xml:space="preserve"> O72 * (1 - O188)</f>
        <v>1.2769333087197414</v>
      </c>
      <c r="P190" s="112">
        <f xml:space="preserve"> P72 * (1 - P188)</f>
        <v>1.2769333087197414</v>
      </c>
      <c r="Q190" s="112">
        <f xml:space="preserve"> Q72 * (1 - Q188)</f>
        <v>1.2769333087197414</v>
      </c>
      <c r="R190" s="112">
        <f xml:space="preserve"> R72 * (1 - R188)</f>
        <v>1.2769333087197414</v>
      </c>
      <c r="S190" s="112">
        <f xml:space="preserve"> S72 * (1 - S188)</f>
        <v>1.2769333087197414</v>
      </c>
      <c r="T190" s="138"/>
      <c r="U190" s="112">
        <f t="shared" ref="U190:U191" si="152">IFERROR(AVERAGE(O190:S190),0)</f>
        <v>1.2769333087197414</v>
      </c>
      <c r="V190" s="112">
        <f t="shared" ref="V190:V191" si="153">SUM(O190:S190)</f>
        <v>6.3846665435987067</v>
      </c>
    </row>
    <row r="191" spans="3:22" hidden="1" outlineLevel="2" x14ac:dyDescent="0.35">
      <c r="E191" s="8" t="s">
        <v>209</v>
      </c>
      <c r="G191" s="22" t="s">
        <v>34</v>
      </c>
      <c r="J191" s="112"/>
      <c r="K191" s="112"/>
      <c r="L191" s="112"/>
      <c r="M191" s="112"/>
      <c r="N191" s="112"/>
      <c r="O191" s="112"/>
      <c r="P191" s="112"/>
      <c r="Q191" s="112"/>
      <c r="R191" s="112"/>
      <c r="S191" s="112"/>
      <c r="T191" s="138"/>
      <c r="U191" s="112">
        <f t="shared" si="152"/>
        <v>0</v>
      </c>
      <c r="V191" s="112">
        <f t="shared" si="153"/>
        <v>0</v>
      </c>
    </row>
    <row r="192" spans="3:22" hidden="1" outlineLevel="2" x14ac:dyDescent="0.35">
      <c r="E192" s="8" t="s">
        <v>99</v>
      </c>
      <c r="G192" s="22" t="s">
        <v>34</v>
      </c>
      <c r="J192" s="134">
        <f>SUM(J190:J191)</f>
        <v>0</v>
      </c>
      <c r="K192" s="134">
        <f t="shared" ref="K192" si="154">SUM(K190:K191)</f>
        <v>0</v>
      </c>
      <c r="L192" s="134">
        <f t="shared" ref="L192" si="155">SUM(L190:L191)</f>
        <v>0</v>
      </c>
      <c r="M192" s="134">
        <f t="shared" ref="M192" si="156">SUM(M190:M191)</f>
        <v>0</v>
      </c>
      <c r="N192" s="134">
        <f t="shared" ref="N192" si="157">SUM(N190:N191)</f>
        <v>0</v>
      </c>
      <c r="O192" s="134">
        <f t="shared" ref="O192" si="158">SUM(O190:O191)</f>
        <v>1.2769333087197414</v>
      </c>
      <c r="P192" s="134">
        <f t="shared" ref="P192" si="159">SUM(P190:P191)</f>
        <v>1.2769333087197414</v>
      </c>
      <c r="Q192" s="134">
        <f t="shared" ref="Q192" si="160">SUM(Q190:Q191)</f>
        <v>1.2769333087197414</v>
      </c>
      <c r="R192" s="134">
        <f t="shared" ref="R192" si="161">SUM(R190:R191)</f>
        <v>1.2769333087197414</v>
      </c>
      <c r="S192" s="134">
        <f t="shared" ref="S192" si="162">SUM(S190:S191)</f>
        <v>1.2769333087197414</v>
      </c>
      <c r="T192" s="138"/>
      <c r="U192" s="134">
        <f>SUM(U190:U191)</f>
        <v>1.2769333087197414</v>
      </c>
      <c r="V192" s="134">
        <f>SUM(V190:V191)</f>
        <v>6.3846665435987067</v>
      </c>
    </row>
    <row r="193" spans="3:22" hidden="1" outlineLevel="1" x14ac:dyDescent="0.35">
      <c r="J193" s="112"/>
      <c r="K193" s="112"/>
      <c r="L193" s="112"/>
      <c r="M193" s="112"/>
      <c r="N193" s="112"/>
      <c r="O193" s="112"/>
      <c r="P193" s="112"/>
      <c r="Q193" s="112"/>
      <c r="R193" s="112"/>
      <c r="S193" s="112"/>
      <c r="T193" s="138"/>
      <c r="U193" s="112"/>
      <c r="V193" s="112"/>
    </row>
    <row r="194" spans="3:22" hidden="1" outlineLevel="1" collapsed="1" x14ac:dyDescent="0.35">
      <c r="C194" s="24" t="str">
        <f>INDEX(InpC!$E$25:$E$42,G194)</f>
        <v>South Staffs Water</v>
      </c>
      <c r="F194" s="113" t="str">
        <f>INDEX(InpC!$F$25:$F$42,G194,)</f>
        <v>SSC</v>
      </c>
      <c r="G194" s="8">
        <f>G76</f>
        <v>14</v>
      </c>
      <c r="J194" s="112"/>
      <c r="K194" s="112"/>
      <c r="L194" s="112"/>
      <c r="M194" s="112"/>
      <c r="N194" s="112"/>
      <c r="O194" s="112"/>
      <c r="P194" s="112"/>
      <c r="Q194" s="112"/>
      <c r="R194" s="112"/>
      <c r="S194" s="112"/>
      <c r="T194" s="138"/>
      <c r="U194" s="112"/>
      <c r="V194" s="112"/>
    </row>
    <row r="195" spans="3:22" hidden="1" outlineLevel="2" x14ac:dyDescent="0.35">
      <c r="E195" s="183" t="s">
        <v>82</v>
      </c>
      <c r="G195" s="22" t="s">
        <v>83</v>
      </c>
      <c r="J195" s="128"/>
      <c r="K195" s="128"/>
      <c r="L195" s="128"/>
      <c r="M195" s="128"/>
      <c r="N195" s="128"/>
      <c r="O195" s="186">
        <f xml:space="preserve"> SUMIFS('F_Inputs (EC)'!F$8:F$41, 'F_Inputs (EC)'!$A$8:$A$41, 'Analysis (TMA)'!$F$194, 'F_Inputs (EC)'!$B$8:$B$41, 'F_Inputs (EC)'!$B$8)</f>
        <v>0</v>
      </c>
      <c r="P195" s="186">
        <f xml:space="preserve"> SUMIFS('F_Inputs (EC)'!G$8:G$41, 'F_Inputs (EC)'!$A$8:$A$41, 'Analysis (TMA)'!$F$194, 'F_Inputs (EC)'!$B$8:$B$41, 'F_Inputs (EC)'!$B$8)</f>
        <v>0</v>
      </c>
      <c r="Q195" s="186">
        <f xml:space="preserve"> SUMIFS('F_Inputs (EC)'!H$8:H$41, 'F_Inputs (EC)'!$A$8:$A$41, 'Analysis (TMA)'!$F$194, 'F_Inputs (EC)'!$B$8:$B$41, 'F_Inputs (EC)'!$B$8)</f>
        <v>0</v>
      </c>
      <c r="R195" s="186">
        <f xml:space="preserve"> SUMIFS('F_Inputs (EC)'!I$8:I$41, 'F_Inputs (EC)'!$A$8:$A$41, 'Analysis (TMA)'!$F$194, 'F_Inputs (EC)'!$B$8:$B$41, 'F_Inputs (EC)'!$B$8)</f>
        <v>0</v>
      </c>
      <c r="S195" s="186">
        <f xml:space="preserve"> SUMIFS('F_Inputs (EC)'!J$8:J$41, 'F_Inputs (EC)'!$A$8:$A$41, 'Analysis (TMA)'!$F$194, 'F_Inputs (EC)'!$B$8:$B$41, 'F_Inputs (EC)'!$B$8)</f>
        <v>0</v>
      </c>
      <c r="T195" s="138"/>
      <c r="U195" s="112"/>
      <c r="V195" s="112"/>
    </row>
    <row r="196" spans="3:22" hidden="1" outlineLevel="2" x14ac:dyDescent="0.35">
      <c r="E196" s="183" t="s">
        <v>85</v>
      </c>
      <c r="G196" s="22" t="s">
        <v>83</v>
      </c>
      <c r="J196" s="128"/>
      <c r="K196" s="128"/>
      <c r="L196" s="128"/>
      <c r="M196" s="128"/>
      <c r="N196" s="128"/>
      <c r="O196" s="128"/>
      <c r="P196" s="128"/>
      <c r="Q196" s="128"/>
      <c r="R196" s="128"/>
      <c r="S196" s="128"/>
      <c r="T196" s="138"/>
      <c r="U196" s="112"/>
      <c r="V196" s="112"/>
    </row>
    <row r="197" spans="3:22" hidden="1" outlineLevel="2" x14ac:dyDescent="0.35">
      <c r="E197" s="8" t="s">
        <v>205</v>
      </c>
      <c r="G197" s="22" t="s">
        <v>34</v>
      </c>
      <c r="J197" s="112"/>
      <c r="K197" s="112"/>
      <c r="L197" s="112"/>
      <c r="M197" s="112"/>
      <c r="N197" s="112"/>
      <c r="O197" s="112">
        <f xml:space="preserve"> O77 * (1 - O195)</f>
        <v>0.48899999999999999</v>
      </c>
      <c r="P197" s="112">
        <f xml:space="preserve"> P77 * (1 - P195)</f>
        <v>0.48899999999999999</v>
      </c>
      <c r="Q197" s="112">
        <f xml:space="preserve"> Q77 * (1 - Q195)</f>
        <v>0.48899999999999999</v>
      </c>
      <c r="R197" s="112">
        <f xml:space="preserve"> R77 * (1 - R195)</f>
        <v>0.48899999999999999</v>
      </c>
      <c r="S197" s="112">
        <f xml:space="preserve"> S77 * (1 - S195)</f>
        <v>0.48899999999999999</v>
      </c>
      <c r="T197" s="138"/>
      <c r="U197" s="112">
        <f t="shared" ref="U197:U198" si="163">IFERROR(AVERAGE(O197:S197),0)</f>
        <v>0.48899999999999999</v>
      </c>
      <c r="V197" s="112">
        <f t="shared" ref="V197:V198" si="164">SUM(O197:S197)</f>
        <v>2.4449999999999998</v>
      </c>
    </row>
    <row r="198" spans="3:22" hidden="1" outlineLevel="2" x14ac:dyDescent="0.35">
      <c r="E198" s="8" t="s">
        <v>209</v>
      </c>
      <c r="G198" s="22" t="s">
        <v>34</v>
      </c>
      <c r="J198" s="112"/>
      <c r="K198" s="112"/>
      <c r="L198" s="112"/>
      <c r="M198" s="112"/>
      <c r="N198" s="112"/>
      <c r="O198" s="112"/>
      <c r="P198" s="112"/>
      <c r="Q198" s="112"/>
      <c r="R198" s="112"/>
      <c r="S198" s="112"/>
      <c r="T198" s="138"/>
      <c r="U198" s="112">
        <f t="shared" si="163"/>
        <v>0</v>
      </c>
      <c r="V198" s="112">
        <f t="shared" si="164"/>
        <v>0</v>
      </c>
    </row>
    <row r="199" spans="3:22" hidden="1" outlineLevel="2" x14ac:dyDescent="0.35">
      <c r="E199" s="8" t="s">
        <v>99</v>
      </c>
      <c r="G199" s="22" t="s">
        <v>34</v>
      </c>
      <c r="J199" s="134">
        <f>SUM(J197:J198)</f>
        <v>0</v>
      </c>
      <c r="K199" s="134">
        <f t="shared" ref="K199" si="165">SUM(K197:K198)</f>
        <v>0</v>
      </c>
      <c r="L199" s="134">
        <f t="shared" ref="L199" si="166">SUM(L197:L198)</f>
        <v>0</v>
      </c>
      <c r="M199" s="134">
        <f t="shared" ref="M199" si="167">SUM(M197:M198)</f>
        <v>0</v>
      </c>
      <c r="N199" s="134">
        <f t="shared" ref="N199" si="168">SUM(N197:N198)</f>
        <v>0</v>
      </c>
      <c r="O199" s="134">
        <f t="shared" ref="O199" si="169">SUM(O197:O198)</f>
        <v>0.48899999999999999</v>
      </c>
      <c r="P199" s="134">
        <f t="shared" ref="P199" si="170">SUM(P197:P198)</f>
        <v>0.48899999999999999</v>
      </c>
      <c r="Q199" s="134">
        <f t="shared" ref="Q199" si="171">SUM(Q197:Q198)</f>
        <v>0.48899999999999999</v>
      </c>
      <c r="R199" s="134">
        <f t="shared" ref="R199" si="172">SUM(R197:R198)</f>
        <v>0.48899999999999999</v>
      </c>
      <c r="S199" s="134">
        <f t="shared" ref="S199" si="173">SUM(S197:S198)</f>
        <v>0.48899999999999999</v>
      </c>
      <c r="T199" s="138"/>
      <c r="U199" s="134">
        <f>SUM(U197:U198)</f>
        <v>0.48899999999999999</v>
      </c>
      <c r="V199" s="134">
        <f>SUM(V197:V198)</f>
        <v>2.4449999999999998</v>
      </c>
    </row>
    <row r="200" spans="3:22" hidden="1" outlineLevel="1" x14ac:dyDescent="0.35">
      <c r="J200" s="112"/>
      <c r="K200" s="112"/>
      <c r="L200" s="112"/>
      <c r="M200" s="112"/>
      <c r="N200" s="112"/>
      <c r="O200" s="112"/>
      <c r="P200" s="112"/>
      <c r="Q200" s="112"/>
      <c r="R200" s="112"/>
      <c r="S200" s="112"/>
      <c r="T200" s="138"/>
      <c r="U200" s="112"/>
      <c r="V200" s="112"/>
    </row>
    <row r="201" spans="3:22" hidden="1" outlineLevel="1" collapsed="1" x14ac:dyDescent="0.35">
      <c r="C201" s="24" t="str">
        <f>INDEX(InpC!$E$25:$E$42,G201)</f>
        <v>SES Water</v>
      </c>
      <c r="F201" s="113" t="str">
        <f>INDEX(InpC!$F$25:$F$42,G201,)</f>
        <v>SES</v>
      </c>
      <c r="G201" s="8">
        <f>G81</f>
        <v>15</v>
      </c>
      <c r="J201" s="112"/>
      <c r="K201" s="112"/>
      <c r="L201" s="112"/>
      <c r="M201" s="112"/>
      <c r="N201" s="112"/>
      <c r="O201" s="112"/>
      <c r="P201" s="112"/>
      <c r="Q201" s="112"/>
      <c r="R201" s="112"/>
      <c r="S201" s="112"/>
      <c r="T201" s="138"/>
      <c r="U201" s="112"/>
      <c r="V201" s="112"/>
    </row>
    <row r="202" spans="3:22" hidden="1" outlineLevel="2" x14ac:dyDescent="0.35">
      <c r="E202" s="183" t="s">
        <v>82</v>
      </c>
      <c r="G202" s="22" t="s">
        <v>83</v>
      </c>
      <c r="J202" s="128"/>
      <c r="K202" s="128"/>
      <c r="L202" s="128"/>
      <c r="M202" s="128"/>
      <c r="N202" s="128"/>
      <c r="O202" s="186">
        <f xml:space="preserve"> SUMIFS('F_Inputs (EC)'!F$8:F$41, 'F_Inputs (EC)'!$A$8:$A$41, 'Analysis (TMA)'!$F$201, 'F_Inputs (EC)'!$B$8:$B$41, 'F_Inputs (EC)'!$B$8)</f>
        <v>0.1</v>
      </c>
      <c r="P202" s="186">
        <f xml:space="preserve"> SUMIFS('F_Inputs (EC)'!G$8:G$41, 'F_Inputs (EC)'!$A$8:$A$41, 'Analysis (TMA)'!$F$201, 'F_Inputs (EC)'!$B$8:$B$41, 'F_Inputs (EC)'!$B$8)</f>
        <v>0.1</v>
      </c>
      <c r="Q202" s="186">
        <f xml:space="preserve"> SUMIFS('F_Inputs (EC)'!H$8:H$41, 'F_Inputs (EC)'!$A$8:$A$41, 'Analysis (TMA)'!$F$201, 'F_Inputs (EC)'!$B$8:$B$41, 'F_Inputs (EC)'!$B$8)</f>
        <v>0.1</v>
      </c>
      <c r="R202" s="186">
        <f xml:space="preserve"> SUMIFS('F_Inputs (EC)'!I$8:I$41, 'F_Inputs (EC)'!$A$8:$A$41, 'Analysis (TMA)'!$F$201, 'F_Inputs (EC)'!$B$8:$B$41, 'F_Inputs (EC)'!$B$8)</f>
        <v>0.1</v>
      </c>
      <c r="S202" s="186">
        <f xml:space="preserve"> SUMIFS('F_Inputs (EC)'!J$8:J$41, 'F_Inputs (EC)'!$A$8:$A$41, 'Analysis (TMA)'!$F$201, 'F_Inputs (EC)'!$B$8:$B$41, 'F_Inputs (EC)'!$B$8)</f>
        <v>0.1</v>
      </c>
      <c r="T202" s="138"/>
      <c r="U202" s="112"/>
      <c r="V202" s="112"/>
    </row>
    <row r="203" spans="3:22" hidden="1" outlineLevel="2" x14ac:dyDescent="0.35">
      <c r="E203" s="183" t="s">
        <v>85</v>
      </c>
      <c r="G203" s="22" t="s">
        <v>83</v>
      </c>
      <c r="J203" s="128"/>
      <c r="K203" s="128"/>
      <c r="L203" s="128"/>
      <c r="M203" s="128"/>
      <c r="N203" s="128"/>
      <c r="O203" s="128"/>
      <c r="P203" s="128"/>
      <c r="Q203" s="128"/>
      <c r="R203" s="128"/>
      <c r="S203" s="128"/>
      <c r="T203" s="138"/>
      <c r="U203" s="112"/>
      <c r="V203" s="112"/>
    </row>
    <row r="204" spans="3:22" hidden="1" outlineLevel="2" x14ac:dyDescent="0.35">
      <c r="E204" s="8" t="s">
        <v>205</v>
      </c>
      <c r="G204" s="22" t="s">
        <v>34</v>
      </c>
      <c r="J204" s="112"/>
      <c r="K204" s="112"/>
      <c r="L204" s="112"/>
      <c r="M204" s="112"/>
      <c r="N204" s="112"/>
      <c r="O204" s="112">
        <f xml:space="preserve"> O82 * (1 - O202)</f>
        <v>0.30959999999999999</v>
      </c>
      <c r="P204" s="112">
        <f xml:space="preserve"> P82 * (1 - P202)</f>
        <v>0.31229999999999997</v>
      </c>
      <c r="Q204" s="112">
        <f xml:space="preserve"> Q82 * (1 - Q202)</f>
        <v>0.31319999999999998</v>
      </c>
      <c r="R204" s="112">
        <f xml:space="preserve"> R82 * (1 - R202)</f>
        <v>0.31859999999999999</v>
      </c>
      <c r="S204" s="112">
        <f xml:space="preserve"> S82 * (1 - S202)</f>
        <v>0.32129999999999997</v>
      </c>
      <c r="T204" s="138"/>
      <c r="U204" s="112">
        <f t="shared" ref="U204:U205" si="174">IFERROR(AVERAGE(O204:S204),0)</f>
        <v>0.31499999999999995</v>
      </c>
      <c r="V204" s="112">
        <f t="shared" ref="V204:V205" si="175">SUM(O204:S204)</f>
        <v>1.5749999999999997</v>
      </c>
    </row>
    <row r="205" spans="3:22" hidden="1" outlineLevel="2" x14ac:dyDescent="0.35">
      <c r="E205" s="8" t="s">
        <v>209</v>
      </c>
      <c r="G205" s="22" t="s">
        <v>34</v>
      </c>
      <c r="J205" s="112"/>
      <c r="K205" s="112"/>
      <c r="L205" s="112"/>
      <c r="M205" s="112"/>
      <c r="N205" s="112"/>
      <c r="O205" s="112"/>
      <c r="P205" s="112"/>
      <c r="Q205" s="112"/>
      <c r="R205" s="112"/>
      <c r="S205" s="112"/>
      <c r="T205" s="138"/>
      <c r="U205" s="112">
        <f t="shared" si="174"/>
        <v>0</v>
      </c>
      <c r="V205" s="112">
        <f t="shared" si="175"/>
        <v>0</v>
      </c>
    </row>
    <row r="206" spans="3:22" hidden="1" outlineLevel="2" x14ac:dyDescent="0.35">
      <c r="E206" s="8" t="s">
        <v>99</v>
      </c>
      <c r="G206" s="22" t="s">
        <v>34</v>
      </c>
      <c r="J206" s="134">
        <f>SUM(J204:J205)</f>
        <v>0</v>
      </c>
      <c r="K206" s="134">
        <f t="shared" ref="K206" si="176">SUM(K204:K205)</f>
        <v>0</v>
      </c>
      <c r="L206" s="134">
        <f t="shared" ref="L206" si="177">SUM(L204:L205)</f>
        <v>0</v>
      </c>
      <c r="M206" s="134">
        <f t="shared" ref="M206" si="178">SUM(M204:M205)</f>
        <v>0</v>
      </c>
      <c r="N206" s="134">
        <f t="shared" ref="N206" si="179">SUM(N204:N205)</f>
        <v>0</v>
      </c>
      <c r="O206" s="134">
        <f t="shared" ref="O206" si="180">SUM(O204:O205)</f>
        <v>0.30959999999999999</v>
      </c>
      <c r="P206" s="134">
        <f t="shared" ref="P206" si="181">SUM(P204:P205)</f>
        <v>0.31229999999999997</v>
      </c>
      <c r="Q206" s="134">
        <f t="shared" ref="Q206" si="182">SUM(Q204:Q205)</f>
        <v>0.31319999999999998</v>
      </c>
      <c r="R206" s="134">
        <f t="shared" ref="R206" si="183">SUM(R204:R205)</f>
        <v>0.31859999999999999</v>
      </c>
      <c r="S206" s="134">
        <f t="shared" ref="S206" si="184">SUM(S204:S205)</f>
        <v>0.32129999999999997</v>
      </c>
      <c r="T206" s="138"/>
      <c r="U206" s="134">
        <f>SUM(U204:U205)</f>
        <v>0.31499999999999995</v>
      </c>
      <c r="V206" s="134">
        <f>SUM(V204:V205)</f>
        <v>1.5749999999999997</v>
      </c>
    </row>
    <row r="207" spans="3:22" hidden="1" outlineLevel="1" x14ac:dyDescent="0.35">
      <c r="J207" s="112"/>
      <c r="K207" s="112"/>
      <c r="L207" s="112"/>
      <c r="M207" s="112"/>
      <c r="N207" s="112"/>
      <c r="O207" s="112"/>
      <c r="P207" s="112"/>
      <c r="Q207" s="112"/>
      <c r="R207" s="112"/>
      <c r="S207" s="112"/>
      <c r="T207" s="138"/>
      <c r="U207" s="112"/>
      <c r="V207" s="112"/>
    </row>
    <row r="208" spans="3:22" hidden="1" outlineLevel="1" collapsed="1" x14ac:dyDescent="0.35">
      <c r="C208" s="24" t="str">
        <f>INDEX(InpC!$E$25:$E$42,G208)</f>
        <v>South West Water</v>
      </c>
      <c r="F208" s="113" t="str">
        <f>INDEX(InpC!$F$25:$F$42,G208,)</f>
        <v>SWB</v>
      </c>
      <c r="G208" s="8">
        <f>G86</f>
        <v>16</v>
      </c>
      <c r="J208" s="112"/>
      <c r="K208" s="112"/>
      <c r="L208" s="112"/>
      <c r="M208" s="112"/>
      <c r="N208" s="112"/>
      <c r="O208" s="112"/>
      <c r="P208" s="112"/>
      <c r="Q208" s="112"/>
      <c r="R208" s="112"/>
      <c r="S208" s="112"/>
      <c r="T208" s="138"/>
      <c r="U208" s="112"/>
      <c r="V208" s="112"/>
    </row>
    <row r="209" spans="3:22" hidden="1" outlineLevel="2" x14ac:dyDescent="0.35">
      <c r="E209" s="183" t="s">
        <v>82</v>
      </c>
      <c r="G209" s="22" t="s">
        <v>83</v>
      </c>
      <c r="J209" s="128"/>
      <c r="K209" s="128"/>
      <c r="L209" s="128"/>
      <c r="M209" s="128"/>
      <c r="N209" s="128"/>
      <c r="O209" s="186"/>
      <c r="P209" s="186"/>
      <c r="Q209" s="186"/>
      <c r="R209" s="186"/>
      <c r="S209" s="186"/>
      <c r="T209" s="138"/>
      <c r="U209" s="112"/>
      <c r="V209" s="112"/>
    </row>
    <row r="210" spans="3:22" hidden="1" outlineLevel="2" x14ac:dyDescent="0.35">
      <c r="E210" s="183" t="s">
        <v>85</v>
      </c>
      <c r="G210" s="22" t="s">
        <v>83</v>
      </c>
      <c r="J210" s="128"/>
      <c r="K210" s="128"/>
      <c r="L210" s="128"/>
      <c r="M210" s="128"/>
      <c r="N210" s="128"/>
      <c r="O210" s="186"/>
      <c r="P210" s="186"/>
      <c r="Q210" s="186"/>
      <c r="R210" s="186"/>
      <c r="S210" s="186"/>
      <c r="T210" s="138"/>
      <c r="U210" s="112"/>
      <c r="V210" s="112"/>
    </row>
    <row r="211" spans="3:22" hidden="1" outlineLevel="2" x14ac:dyDescent="0.35">
      <c r="E211" s="8" t="s">
        <v>205</v>
      </c>
      <c r="G211" s="22" t="s">
        <v>34</v>
      </c>
      <c r="J211" s="112"/>
      <c r="K211" s="112"/>
      <c r="L211" s="112"/>
      <c r="M211" s="112"/>
      <c r="N211" s="112"/>
      <c r="O211" s="112">
        <f t="shared" ref="O211:S212" si="185" xml:space="preserve"> O87 * (1 - O209)</f>
        <v>0.14199529599999999</v>
      </c>
      <c r="P211" s="112">
        <f t="shared" si="185"/>
        <v>0.133004648</v>
      </c>
      <c r="Q211" s="112">
        <f t="shared" si="185"/>
        <v>0.123995114</v>
      </c>
      <c r="R211" s="112">
        <f t="shared" si="185"/>
        <v>0.114998539</v>
      </c>
      <c r="S211" s="112">
        <f t="shared" si="185"/>
        <v>0.107004223</v>
      </c>
      <c r="T211" s="138"/>
      <c r="U211" s="112">
        <f t="shared" ref="U211:U212" si="186">IFERROR(AVERAGE(O211:S211),0)</f>
        <v>0.12419956400000001</v>
      </c>
      <c r="V211" s="112">
        <f t="shared" ref="V211:V212" si="187">SUM(O211:S211)</f>
        <v>0.62099782000000003</v>
      </c>
    </row>
    <row r="212" spans="3:22" hidden="1" outlineLevel="2" x14ac:dyDescent="0.35">
      <c r="E212" s="8" t="s">
        <v>209</v>
      </c>
      <c r="G212" s="22" t="s">
        <v>34</v>
      </c>
      <c r="J212" s="112"/>
      <c r="K212" s="112"/>
      <c r="L212" s="112"/>
      <c r="M212" s="112"/>
      <c r="N212" s="112"/>
      <c r="O212" s="112">
        <f t="shared" si="185"/>
        <v>0</v>
      </c>
      <c r="P212" s="112">
        <f t="shared" si="185"/>
        <v>0</v>
      </c>
      <c r="Q212" s="112">
        <f t="shared" si="185"/>
        <v>0</v>
      </c>
      <c r="R212" s="112">
        <f t="shared" si="185"/>
        <v>0</v>
      </c>
      <c r="S212" s="112">
        <f t="shared" si="185"/>
        <v>0</v>
      </c>
      <c r="T212" s="138"/>
      <c r="U212" s="112">
        <f t="shared" si="186"/>
        <v>0</v>
      </c>
      <c r="V212" s="112">
        <f t="shared" si="187"/>
        <v>0</v>
      </c>
    </row>
    <row r="213" spans="3:22" hidden="1" outlineLevel="2" x14ac:dyDescent="0.35">
      <c r="E213" s="8" t="s">
        <v>99</v>
      </c>
      <c r="G213" s="22" t="s">
        <v>34</v>
      </c>
      <c r="J213" s="134">
        <f>SUM(J211:J212)</f>
        <v>0</v>
      </c>
      <c r="K213" s="134">
        <f t="shared" ref="K213" si="188">SUM(K211:K212)</f>
        <v>0</v>
      </c>
      <c r="L213" s="134">
        <f t="shared" ref="L213" si="189">SUM(L211:L212)</f>
        <v>0</v>
      </c>
      <c r="M213" s="134">
        <f t="shared" ref="M213" si="190">SUM(M211:M212)</f>
        <v>0</v>
      </c>
      <c r="N213" s="134">
        <f t="shared" ref="N213" si="191">SUM(N211:N212)</f>
        <v>0</v>
      </c>
      <c r="O213" s="134">
        <f t="shared" ref="O213" si="192">SUM(O211:O212)</f>
        <v>0.14199529599999999</v>
      </c>
      <c r="P213" s="134">
        <f t="shared" ref="P213" si="193">SUM(P211:P212)</f>
        <v>0.133004648</v>
      </c>
      <c r="Q213" s="134">
        <f t="shared" ref="Q213" si="194">SUM(Q211:Q212)</f>
        <v>0.123995114</v>
      </c>
      <c r="R213" s="134">
        <f t="shared" ref="R213" si="195">SUM(R211:R212)</f>
        <v>0.114998539</v>
      </c>
      <c r="S213" s="134">
        <f t="shared" ref="S213" si="196">SUM(S211:S212)</f>
        <v>0.107004223</v>
      </c>
      <c r="T213" s="138"/>
      <c r="U213" s="134">
        <f>SUM(U211:U212)</f>
        <v>0.12419956400000001</v>
      </c>
      <c r="V213" s="134">
        <f>SUM(V211:V212)</f>
        <v>0.62099782000000003</v>
      </c>
    </row>
    <row r="214" spans="3:22" hidden="1" outlineLevel="1" x14ac:dyDescent="0.35">
      <c r="J214" s="112"/>
      <c r="K214" s="112"/>
      <c r="L214" s="112"/>
      <c r="M214" s="112"/>
      <c r="N214" s="112"/>
      <c r="O214" s="112"/>
      <c r="P214" s="112"/>
      <c r="Q214" s="112"/>
      <c r="R214" s="112"/>
      <c r="S214" s="112"/>
      <c r="T214" s="138"/>
      <c r="U214" s="112"/>
      <c r="V214" s="112"/>
    </row>
    <row r="215" spans="3:22" hidden="1" outlineLevel="1" collapsed="1" x14ac:dyDescent="0.35">
      <c r="C215" s="24" t="str">
        <f>INDEX(InpC!$E$25:$E$42,G215)</f>
        <v>Bristol Water</v>
      </c>
      <c r="F215" s="113" t="str">
        <f>INDEX(InpC!$F$25:$F$42,G215,)</f>
        <v>BRL</v>
      </c>
      <c r="G215" s="8">
        <f>G91</f>
        <v>17</v>
      </c>
      <c r="J215" s="112"/>
      <c r="K215" s="112"/>
      <c r="L215" s="112"/>
      <c r="M215" s="112"/>
      <c r="N215" s="112"/>
      <c r="O215" s="112"/>
      <c r="P215" s="112"/>
      <c r="Q215" s="112"/>
      <c r="R215" s="112"/>
      <c r="S215" s="112"/>
      <c r="T215" s="138"/>
      <c r="U215" s="112"/>
      <c r="V215" s="112"/>
    </row>
    <row r="216" spans="3:22" hidden="1" outlineLevel="2" x14ac:dyDescent="0.35">
      <c r="E216" s="183" t="s">
        <v>82</v>
      </c>
      <c r="G216" s="22" t="s">
        <v>83</v>
      </c>
      <c r="J216" s="128"/>
      <c r="K216" s="128"/>
      <c r="L216" s="128"/>
      <c r="M216" s="128"/>
      <c r="N216" s="128"/>
      <c r="O216" s="186"/>
      <c r="P216" s="186"/>
      <c r="Q216" s="186"/>
      <c r="R216" s="186"/>
      <c r="S216" s="186"/>
      <c r="T216" s="138"/>
      <c r="U216" s="112"/>
      <c r="V216" s="112"/>
    </row>
    <row r="217" spans="3:22" hidden="1" outlineLevel="2" x14ac:dyDescent="0.35">
      <c r="E217" s="183" t="s">
        <v>85</v>
      </c>
      <c r="G217" s="22" t="s">
        <v>83</v>
      </c>
      <c r="J217" s="128"/>
      <c r="K217" s="128"/>
      <c r="L217" s="128"/>
      <c r="M217" s="128"/>
      <c r="N217" s="128"/>
      <c r="O217" s="128"/>
      <c r="P217" s="128"/>
      <c r="Q217" s="128"/>
      <c r="R217" s="128"/>
      <c r="S217" s="128"/>
      <c r="T217" s="138"/>
      <c r="U217" s="112"/>
      <c r="V217" s="112"/>
    </row>
    <row r="218" spans="3:22" hidden="1" outlineLevel="2" x14ac:dyDescent="0.35">
      <c r="E218" s="8" t="s">
        <v>205</v>
      </c>
      <c r="G218" s="22" t="s">
        <v>34</v>
      </c>
      <c r="J218" s="112"/>
      <c r="K218" s="112"/>
      <c r="L218" s="112"/>
      <c r="M218" s="112"/>
      <c r="N218" s="112"/>
      <c r="O218" s="112">
        <f xml:space="preserve"> O92 * (1 - O216)</f>
        <v>0.18539385899999999</v>
      </c>
      <c r="P218" s="112">
        <f xml:space="preserve"> P92 * (1 - P216)</f>
        <v>0.18540647900000001</v>
      </c>
      <c r="Q218" s="112">
        <f xml:space="preserve"> Q92 * (1 - Q216)</f>
        <v>0.185392694</v>
      </c>
      <c r="R218" s="112">
        <f xml:space="preserve"> R92 * (1 - R216)</f>
        <v>0.185397645</v>
      </c>
      <c r="S218" s="112">
        <f xml:space="preserve"> S92 * (1 - S216)</f>
        <v>0.18540731699999999</v>
      </c>
      <c r="T218" s="138"/>
      <c r="U218" s="112">
        <f t="shared" ref="U218:U219" si="197">IFERROR(AVERAGE(O218:S218),0)</f>
        <v>0.18539959880000001</v>
      </c>
      <c r="V218" s="112">
        <f t="shared" ref="V218:V219" si="198">SUM(O218:S218)</f>
        <v>0.92699799400000005</v>
      </c>
    </row>
    <row r="219" spans="3:22" hidden="1" outlineLevel="2" x14ac:dyDescent="0.35">
      <c r="E219" s="8" t="s">
        <v>209</v>
      </c>
      <c r="G219" s="22" t="s">
        <v>34</v>
      </c>
      <c r="J219" s="112"/>
      <c r="K219" s="112"/>
      <c r="L219" s="112"/>
      <c r="M219" s="112"/>
      <c r="N219" s="112"/>
      <c r="O219" s="112"/>
      <c r="P219" s="112"/>
      <c r="Q219" s="112"/>
      <c r="R219" s="112"/>
      <c r="S219" s="112"/>
      <c r="T219" s="138"/>
      <c r="U219" s="112">
        <f t="shared" si="197"/>
        <v>0</v>
      </c>
      <c r="V219" s="112">
        <f t="shared" si="198"/>
        <v>0</v>
      </c>
    </row>
    <row r="220" spans="3:22" hidden="1" outlineLevel="2" x14ac:dyDescent="0.35">
      <c r="E220" s="8" t="s">
        <v>99</v>
      </c>
      <c r="G220" s="22" t="s">
        <v>34</v>
      </c>
      <c r="J220" s="134">
        <f>SUM(J218:J219)</f>
        <v>0</v>
      </c>
      <c r="K220" s="134">
        <f t="shared" ref="K220" si="199">SUM(K218:K219)</f>
        <v>0</v>
      </c>
      <c r="L220" s="134">
        <f t="shared" ref="L220" si="200">SUM(L218:L219)</f>
        <v>0</v>
      </c>
      <c r="M220" s="134">
        <f t="shared" ref="M220" si="201">SUM(M218:M219)</f>
        <v>0</v>
      </c>
      <c r="N220" s="134">
        <f t="shared" ref="N220" si="202">SUM(N218:N219)</f>
        <v>0</v>
      </c>
      <c r="O220" s="134">
        <f t="shared" ref="O220" si="203">SUM(O218:O219)</f>
        <v>0.18539385899999999</v>
      </c>
      <c r="P220" s="134">
        <f t="shared" ref="P220" si="204">SUM(P218:P219)</f>
        <v>0.18540647900000001</v>
      </c>
      <c r="Q220" s="134">
        <f t="shared" ref="Q220" si="205">SUM(Q218:Q219)</f>
        <v>0.185392694</v>
      </c>
      <c r="R220" s="134">
        <f t="shared" ref="R220" si="206">SUM(R218:R219)</f>
        <v>0.185397645</v>
      </c>
      <c r="S220" s="134">
        <f t="shared" ref="S220" si="207">SUM(S218:S219)</f>
        <v>0.18540731699999999</v>
      </c>
      <c r="T220" s="138"/>
      <c r="U220" s="134">
        <f>SUM(U218:U219)</f>
        <v>0.18539959880000001</v>
      </c>
      <c r="V220" s="134">
        <f>SUM(V218:V219)</f>
        <v>0.92699799400000005</v>
      </c>
    </row>
    <row r="221" spans="3:22" hidden="1" outlineLevel="1" x14ac:dyDescent="0.35">
      <c r="J221" s="112"/>
      <c r="K221" s="112"/>
      <c r="L221" s="112"/>
      <c r="M221" s="112"/>
      <c r="N221" s="112"/>
      <c r="O221" s="112"/>
      <c r="P221" s="112"/>
      <c r="Q221" s="112"/>
      <c r="R221" s="112"/>
      <c r="S221" s="112"/>
      <c r="T221" s="138"/>
      <c r="U221" s="112"/>
      <c r="V221" s="112"/>
    </row>
    <row r="222" spans="3:22" hidden="1" outlineLevel="1" collapsed="1" x14ac:dyDescent="0.35">
      <c r="C222" s="24" t="str">
        <f>INDEX(InpC!$E$25:$E$42,G222)</f>
        <v>Industry total</v>
      </c>
      <c r="F222" s="113">
        <f>INDEX(InpC!$F$25:$F$42,G222,)</f>
        <v>0</v>
      </c>
      <c r="G222" s="8">
        <f>G96</f>
        <v>18</v>
      </c>
      <c r="J222" s="112"/>
      <c r="K222" s="112"/>
      <c r="L222" s="112"/>
      <c r="M222" s="112"/>
      <c r="N222" s="112"/>
      <c r="O222" s="112"/>
      <c r="P222" s="112"/>
      <c r="Q222" s="112"/>
      <c r="R222" s="112"/>
      <c r="S222" s="112"/>
      <c r="T222" s="138"/>
      <c r="U222" s="112"/>
      <c r="V222" s="112"/>
    </row>
    <row r="223" spans="3:22" hidden="1" outlineLevel="2" x14ac:dyDescent="0.35">
      <c r="G223" s="22" t="s">
        <v>83</v>
      </c>
      <c r="J223" s="128"/>
      <c r="K223" s="128"/>
      <c r="L223" s="128"/>
      <c r="M223" s="128"/>
      <c r="N223" s="128"/>
      <c r="O223" s="128"/>
      <c r="P223" s="128"/>
      <c r="Q223" s="128"/>
      <c r="R223" s="128"/>
      <c r="S223" s="128"/>
      <c r="T223" s="138"/>
      <c r="U223" s="112"/>
      <c r="V223" s="112"/>
    </row>
    <row r="224" spans="3:22" hidden="1" outlineLevel="2" x14ac:dyDescent="0.35">
      <c r="G224" s="22" t="s">
        <v>83</v>
      </c>
      <c r="J224" s="128"/>
      <c r="K224" s="128"/>
      <c r="L224" s="128"/>
      <c r="M224" s="128"/>
      <c r="N224" s="128"/>
      <c r="O224" s="128"/>
      <c r="P224" s="128"/>
      <c r="Q224" s="128"/>
      <c r="R224" s="128"/>
      <c r="S224" s="128"/>
      <c r="T224" s="138"/>
      <c r="U224" s="112"/>
      <c r="V224" s="112"/>
    </row>
    <row r="225" spans="1:28" hidden="1" outlineLevel="2" x14ac:dyDescent="0.35">
      <c r="E225" s="8" t="s">
        <v>205</v>
      </c>
      <c r="G225" s="22" t="s">
        <v>34</v>
      </c>
      <c r="J225" s="112"/>
      <c r="K225" s="112"/>
      <c r="L225" s="112"/>
      <c r="M225" s="112"/>
      <c r="N225" s="112"/>
      <c r="O225" s="112"/>
      <c r="P225" s="112"/>
      <c r="Q225" s="112"/>
      <c r="R225" s="112"/>
      <c r="S225" s="112"/>
      <c r="T225" s="138"/>
      <c r="U225" s="112">
        <f t="shared" ref="U225:U226" si="208">IFERROR(AVERAGE(O225:S225),0)</f>
        <v>0</v>
      </c>
      <c r="V225" s="112">
        <f t="shared" ref="V225:V226" si="209">SUM(O225:S225)</f>
        <v>0</v>
      </c>
    </row>
    <row r="226" spans="1:28" hidden="1" outlineLevel="2" x14ac:dyDescent="0.35">
      <c r="E226" s="8" t="s">
        <v>209</v>
      </c>
      <c r="G226" s="22" t="s">
        <v>34</v>
      </c>
      <c r="J226" s="112"/>
      <c r="K226" s="112"/>
      <c r="L226" s="112"/>
      <c r="M226" s="112"/>
      <c r="N226" s="112"/>
      <c r="O226" s="112"/>
      <c r="P226" s="112"/>
      <c r="Q226" s="112"/>
      <c r="R226" s="112"/>
      <c r="S226" s="112"/>
      <c r="T226" s="138"/>
      <c r="U226" s="112">
        <f t="shared" si="208"/>
        <v>0</v>
      </c>
      <c r="V226" s="112">
        <f t="shared" si="209"/>
        <v>0</v>
      </c>
    </row>
    <row r="227" spans="1:28" hidden="1" outlineLevel="2" x14ac:dyDescent="0.35">
      <c r="E227" s="8" t="s">
        <v>99</v>
      </c>
      <c r="G227" s="22" t="s">
        <v>34</v>
      </c>
      <c r="J227" s="134">
        <f>SUM(J225:J226)</f>
        <v>0</v>
      </c>
      <c r="K227" s="134">
        <f t="shared" ref="K227" si="210">SUM(K225:K226)</f>
        <v>0</v>
      </c>
      <c r="L227" s="134">
        <f t="shared" ref="L227" si="211">SUM(L225:L226)</f>
        <v>0</v>
      </c>
      <c r="M227" s="134">
        <f t="shared" ref="M227" si="212">SUM(M225:M226)</f>
        <v>0</v>
      </c>
      <c r="N227" s="134">
        <f t="shared" ref="N227" si="213">SUM(N225:N226)</f>
        <v>0</v>
      </c>
      <c r="O227" s="134">
        <f t="shared" ref="O227" si="214">SUM(O225:O226)</f>
        <v>0</v>
      </c>
      <c r="P227" s="134">
        <f t="shared" ref="P227" si="215">SUM(P225:P226)</f>
        <v>0</v>
      </c>
      <c r="Q227" s="134">
        <f t="shared" ref="Q227" si="216">SUM(Q225:Q226)</f>
        <v>0</v>
      </c>
      <c r="R227" s="134">
        <f t="shared" ref="R227" si="217">SUM(R225:R226)</f>
        <v>0</v>
      </c>
      <c r="S227" s="134">
        <f t="shared" ref="S227" si="218">SUM(S225:S226)</f>
        <v>0</v>
      </c>
      <c r="T227" s="138"/>
      <c r="U227" s="134">
        <f>SUM(U225:U226)</f>
        <v>0</v>
      </c>
      <c r="V227" s="134">
        <f>SUM(V225:V226)</f>
        <v>0</v>
      </c>
    </row>
    <row r="228" spans="1:28" hidden="1" outlineLevel="1" x14ac:dyDescent="0.35">
      <c r="J228" s="112"/>
      <c r="K228" s="112"/>
      <c r="L228" s="112"/>
      <c r="M228" s="112"/>
      <c r="N228" s="112"/>
      <c r="O228" s="112"/>
      <c r="P228" s="112"/>
      <c r="Q228" s="112"/>
      <c r="R228" s="112"/>
      <c r="S228" s="112"/>
      <c r="T228" s="138"/>
      <c r="U228" s="112"/>
      <c r="V228" s="112"/>
    </row>
    <row r="229" spans="1:28" collapsed="1" x14ac:dyDescent="0.35">
      <c r="A229" s="11" t="s">
        <v>188</v>
      </c>
      <c r="J229" s="112"/>
      <c r="K229" s="112"/>
      <c r="L229" s="112"/>
      <c r="M229" s="112"/>
      <c r="N229" s="112"/>
      <c r="O229" s="112"/>
      <c r="P229" s="112"/>
      <c r="Q229" s="112"/>
      <c r="R229" s="112"/>
      <c r="S229" s="112"/>
      <c r="T229" s="138"/>
      <c r="U229" s="112"/>
      <c r="V229" s="112"/>
    </row>
    <row r="230" spans="1:28" hidden="1" outlineLevel="1" x14ac:dyDescent="0.35">
      <c r="J230" s="112"/>
      <c r="K230" s="112"/>
      <c r="L230" s="112"/>
      <c r="M230" s="112"/>
      <c r="N230" s="112"/>
      <c r="O230" s="112"/>
      <c r="P230" s="112"/>
      <c r="Q230" s="112"/>
      <c r="R230" s="112"/>
      <c r="S230" s="112"/>
      <c r="T230" s="138"/>
      <c r="U230" s="112"/>
      <c r="V230" s="112"/>
    </row>
    <row r="231" spans="1:28" hidden="1" outlineLevel="1" collapsed="1" x14ac:dyDescent="0.35">
      <c r="C231" s="24" t="str">
        <f>INDEX(InpC!$E$25:$E$42,G231)</f>
        <v>Anglian Water</v>
      </c>
      <c r="F231" s="113" t="str">
        <f>INDEX(InpC!$F$25:$F$42,G231,)</f>
        <v>ANH</v>
      </c>
      <c r="G231" s="8">
        <f>G103</f>
        <v>1</v>
      </c>
      <c r="J231" s="112"/>
      <c r="K231" s="112"/>
      <c r="L231" s="112"/>
      <c r="M231" s="112"/>
      <c r="N231" s="112"/>
      <c r="O231" s="112"/>
      <c r="P231" s="112"/>
      <c r="Q231" s="112"/>
      <c r="R231" s="112"/>
      <c r="S231" s="112"/>
      <c r="T231" s="138"/>
      <c r="U231" s="112"/>
      <c r="V231" s="112"/>
    </row>
    <row r="232" spans="1:28" hidden="1" outlineLevel="2" x14ac:dyDescent="0.35">
      <c r="E232" s="8" t="s">
        <v>205</v>
      </c>
      <c r="G232" s="22" t="s">
        <v>34</v>
      </c>
      <c r="J232" s="112">
        <f t="shared" ref="J232:S232" si="219">IF(ISBLANK(J106),J12,J106)</f>
        <v>1.9323925233644861</v>
      </c>
      <c r="K232" s="112">
        <f t="shared" si="219"/>
        <v>1.8217719152854515</v>
      </c>
      <c r="L232" s="112">
        <f t="shared" si="219"/>
        <v>0.94399999999999995</v>
      </c>
      <c r="M232" s="112">
        <f t="shared" si="219"/>
        <v>0.69471010168891179</v>
      </c>
      <c r="N232" s="112">
        <f t="shared" si="219"/>
        <v>0.88712999360201172</v>
      </c>
      <c r="O232" s="112">
        <f t="shared" si="219"/>
        <v>1.4730689481860959</v>
      </c>
      <c r="P232" s="112">
        <f t="shared" si="219"/>
        <v>1.4730689481860959</v>
      </c>
      <c r="Q232" s="112">
        <f t="shared" si="219"/>
        <v>1.4730689481860959</v>
      </c>
      <c r="R232" s="112">
        <f t="shared" si="219"/>
        <v>1.4730689481860959</v>
      </c>
      <c r="S232" s="112">
        <f t="shared" si="219"/>
        <v>1.4730689481860959</v>
      </c>
      <c r="T232" s="138"/>
      <c r="U232" s="112">
        <f>IFERROR(AVERAGE(O232:S232),0)</f>
        <v>1.4730689481860959</v>
      </c>
      <c r="V232" s="112">
        <f>SUM(O232:S232)</f>
        <v>7.36534474093048</v>
      </c>
      <c r="X232" s="251"/>
      <c r="Y232" s="251"/>
      <c r="Z232" s="251"/>
      <c r="AA232" s="251"/>
      <c r="AB232" s="251"/>
    </row>
    <row r="233" spans="1:28" hidden="1" outlineLevel="2" x14ac:dyDescent="0.35">
      <c r="E233" s="8" t="s">
        <v>209</v>
      </c>
      <c r="G233" s="22" t="s">
        <v>34</v>
      </c>
      <c r="J233" s="112">
        <f t="shared" ref="J233:S233" si="220">IF(ISBLANK(J107),J13,J107)</f>
        <v>0.18608224299065421</v>
      </c>
      <c r="K233" s="112">
        <f t="shared" si="220"/>
        <v>4.2981997247001531E-2</v>
      </c>
      <c r="L233" s="112">
        <f t="shared" si="220"/>
        <v>8.2000000000000003E-2</v>
      </c>
      <c r="M233" s="112">
        <f t="shared" si="220"/>
        <v>5.5899471252566738E-2</v>
      </c>
      <c r="N233" s="112">
        <f t="shared" si="220"/>
        <v>8.0419551962904054E-2</v>
      </c>
      <c r="O233" s="112">
        <f t="shared" si="220"/>
        <v>8.3699999999999997E-2</v>
      </c>
      <c r="P233" s="112">
        <f t="shared" si="220"/>
        <v>8.3699999999999997E-2</v>
      </c>
      <c r="Q233" s="112">
        <f t="shared" si="220"/>
        <v>8.3699999999999997E-2</v>
      </c>
      <c r="R233" s="112">
        <f t="shared" si="220"/>
        <v>8.3699999999999997E-2</v>
      </c>
      <c r="S233" s="112">
        <f t="shared" si="220"/>
        <v>8.3699999999999997E-2</v>
      </c>
      <c r="T233" s="138"/>
      <c r="U233" s="112">
        <f>IFERROR(AVERAGE(O233:S233),0)</f>
        <v>8.3699999999999997E-2</v>
      </c>
      <c r="V233" s="112">
        <f>SUM(O233:S233)</f>
        <v>0.41849999999999998</v>
      </c>
      <c r="X233" s="251"/>
      <c r="Y233" s="251"/>
      <c r="Z233" s="251"/>
      <c r="AA233" s="251"/>
      <c r="AB233" s="251"/>
    </row>
    <row r="234" spans="1:28" hidden="1" outlineLevel="2" x14ac:dyDescent="0.35">
      <c r="E234" s="8" t="s">
        <v>99</v>
      </c>
      <c r="G234" s="22" t="s">
        <v>34</v>
      </c>
      <c r="J234" s="134">
        <f t="shared" ref="J234:S234" si="221">SUM(J232:J233)</f>
        <v>2.1184747663551402</v>
      </c>
      <c r="K234" s="134">
        <f t="shared" si="221"/>
        <v>1.864753912532453</v>
      </c>
      <c r="L234" s="134">
        <f t="shared" si="221"/>
        <v>1.026</v>
      </c>
      <c r="M234" s="134">
        <f t="shared" si="221"/>
        <v>0.75060957294147856</v>
      </c>
      <c r="N234" s="134">
        <f t="shared" si="221"/>
        <v>0.96754954556491579</v>
      </c>
      <c r="O234" s="134">
        <f t="shared" si="221"/>
        <v>1.5567689481860958</v>
      </c>
      <c r="P234" s="134">
        <f t="shared" si="221"/>
        <v>1.5567689481860958</v>
      </c>
      <c r="Q234" s="134">
        <f t="shared" si="221"/>
        <v>1.5567689481860958</v>
      </c>
      <c r="R234" s="134">
        <f t="shared" si="221"/>
        <v>1.5567689481860958</v>
      </c>
      <c r="S234" s="134">
        <f t="shared" si="221"/>
        <v>1.5567689481860958</v>
      </c>
      <c r="T234" s="138"/>
      <c r="U234" s="134">
        <f>SUM(U232:U233)</f>
        <v>1.5567689481860958</v>
      </c>
      <c r="V234" s="134">
        <f>SUM(V232:V233)</f>
        <v>7.7838447409304798</v>
      </c>
    </row>
    <row r="235" spans="1:28" hidden="1" outlineLevel="1" x14ac:dyDescent="0.35">
      <c r="J235" s="112"/>
      <c r="K235" s="112"/>
      <c r="L235" s="112"/>
      <c r="M235" s="112"/>
      <c r="N235" s="112"/>
      <c r="O235" s="112"/>
      <c r="P235" s="112"/>
      <c r="Q235" s="112"/>
      <c r="R235" s="112"/>
      <c r="S235" s="112"/>
      <c r="T235" s="138"/>
      <c r="U235" s="112"/>
      <c r="V235" s="112"/>
    </row>
    <row r="236" spans="1:28" hidden="1" outlineLevel="1" collapsed="1" x14ac:dyDescent="0.35">
      <c r="C236" s="24" t="str">
        <f>INDEX(InpC!$E$25:$E$42,G236)</f>
        <v>Dŵr Cymru</v>
      </c>
      <c r="F236" s="113" t="str">
        <f>INDEX(InpC!$F$25:$F$42,G236,)</f>
        <v>WSH</v>
      </c>
      <c r="G236" s="8">
        <f>G110</f>
        <v>2</v>
      </c>
      <c r="J236" s="112"/>
      <c r="K236" s="112"/>
      <c r="L236" s="112"/>
      <c r="M236" s="112"/>
      <c r="N236" s="112"/>
      <c r="O236" s="112"/>
      <c r="P236" s="112"/>
      <c r="Q236" s="112"/>
      <c r="R236" s="112"/>
      <c r="S236" s="112"/>
      <c r="T236" s="138"/>
      <c r="U236" s="112"/>
      <c r="V236" s="112"/>
    </row>
    <row r="237" spans="1:28" hidden="1" outlineLevel="2" x14ac:dyDescent="0.35">
      <c r="E237" s="8" t="s">
        <v>205</v>
      </c>
      <c r="G237" s="22" t="s">
        <v>34</v>
      </c>
      <c r="J237" s="112">
        <f t="shared" ref="J237:S237" si="222">IF(ISBLANK(J113),J17,J113)</f>
        <v>2.0448598130841122E-3</v>
      </c>
      <c r="K237" s="112">
        <f t="shared" si="222"/>
        <v>6.0441988950276256E-3</v>
      </c>
      <c r="L237" s="112">
        <f t="shared" si="222"/>
        <v>9.2999999999999999E-2</v>
      </c>
      <c r="M237" s="112">
        <f t="shared" si="222"/>
        <v>0.182</v>
      </c>
      <c r="N237" s="112">
        <f t="shared" si="222"/>
        <v>5.1999999999999998E-2</v>
      </c>
      <c r="O237" s="112">
        <f t="shared" si="222"/>
        <v>4.1690926714476335E-2</v>
      </c>
      <c r="P237" s="112">
        <f t="shared" si="222"/>
        <v>3.970564448997746E-2</v>
      </c>
      <c r="Q237" s="112">
        <f t="shared" si="222"/>
        <v>3.8713003377728025E-2</v>
      </c>
      <c r="R237" s="112">
        <f t="shared" si="222"/>
        <v>3.8713003377728025E-2</v>
      </c>
      <c r="S237" s="112">
        <f t="shared" si="222"/>
        <v>3.7720362265478584E-2</v>
      </c>
      <c r="T237" s="138"/>
      <c r="U237" s="112">
        <f>IFERROR(AVERAGE(O237:S237),0)</f>
        <v>3.9308588045077683E-2</v>
      </c>
      <c r="V237" s="112">
        <f>SUM(O237:S237)</f>
        <v>0.19654294022538843</v>
      </c>
    </row>
    <row r="238" spans="1:28" hidden="1" outlineLevel="2" x14ac:dyDescent="0.35">
      <c r="E238" s="8" t="s">
        <v>209</v>
      </c>
      <c r="G238" s="22" t="s">
        <v>34</v>
      </c>
      <c r="J238" s="112">
        <f t="shared" ref="J238:S238" si="223">IF(ISBLANK(J114),J18,J114)</f>
        <v>3.6807476635514015E-2</v>
      </c>
      <c r="K238" s="112">
        <f t="shared" si="223"/>
        <v>0</v>
      </c>
      <c r="L238" s="112">
        <f t="shared" si="223"/>
        <v>9.2999999999999999E-2</v>
      </c>
      <c r="M238" s="112">
        <f t="shared" si="223"/>
        <v>2.1999999999999999E-2</v>
      </c>
      <c r="N238" s="112">
        <f t="shared" si="223"/>
        <v>4.3999999999999997E-2</v>
      </c>
      <c r="O238" s="112">
        <f t="shared" si="223"/>
        <v>2.7E-2</v>
      </c>
      <c r="P238" s="112">
        <f t="shared" si="223"/>
        <v>2.5000000000000001E-2</v>
      </c>
      <c r="Q238" s="112">
        <f t="shared" si="223"/>
        <v>2.5000000000000001E-2</v>
      </c>
      <c r="R238" s="112">
        <f t="shared" si="223"/>
        <v>2.4E-2</v>
      </c>
      <c r="S238" s="112">
        <f t="shared" si="223"/>
        <v>2.4E-2</v>
      </c>
      <c r="T238" s="138"/>
      <c r="U238" s="112">
        <f>IFERROR(AVERAGE(O238:S238),0)</f>
        <v>2.5000000000000001E-2</v>
      </c>
      <c r="V238" s="112">
        <f>SUM(O238:S238)</f>
        <v>0.125</v>
      </c>
    </row>
    <row r="239" spans="1:28" hidden="1" outlineLevel="2" x14ac:dyDescent="0.35">
      <c r="E239" s="8" t="s">
        <v>99</v>
      </c>
      <c r="G239" s="22" t="s">
        <v>34</v>
      </c>
      <c r="J239" s="134">
        <f t="shared" ref="J239:S239" si="224">SUM(J237:J238)</f>
        <v>3.8852336448598125E-2</v>
      </c>
      <c r="K239" s="134">
        <f t="shared" si="224"/>
        <v>6.0441988950276256E-3</v>
      </c>
      <c r="L239" s="134">
        <f t="shared" si="224"/>
        <v>0.186</v>
      </c>
      <c r="M239" s="134">
        <f t="shared" si="224"/>
        <v>0.20399999999999999</v>
      </c>
      <c r="N239" s="134">
        <f t="shared" si="224"/>
        <v>9.6000000000000002E-2</v>
      </c>
      <c r="O239" s="134">
        <f t="shared" si="224"/>
        <v>6.8690926714476339E-2</v>
      </c>
      <c r="P239" s="134">
        <f t="shared" si="224"/>
        <v>6.4705644489977454E-2</v>
      </c>
      <c r="Q239" s="134">
        <f t="shared" si="224"/>
        <v>6.3713003377728034E-2</v>
      </c>
      <c r="R239" s="134">
        <f t="shared" si="224"/>
        <v>6.2713003377728033E-2</v>
      </c>
      <c r="S239" s="134">
        <f t="shared" si="224"/>
        <v>6.1720362265478584E-2</v>
      </c>
      <c r="T239" s="138"/>
      <c r="U239" s="134">
        <f>SUM(U237:U238)</f>
        <v>6.4308588045077691E-2</v>
      </c>
      <c r="V239" s="134">
        <f>SUM(V237:V238)</f>
        <v>0.32154294022538843</v>
      </c>
    </row>
    <row r="240" spans="1:28" hidden="1" outlineLevel="1" x14ac:dyDescent="0.35">
      <c r="J240" s="112"/>
      <c r="K240" s="112"/>
      <c r="L240" s="112"/>
      <c r="M240" s="112"/>
      <c r="N240" s="112"/>
      <c r="O240" s="112"/>
      <c r="P240" s="112"/>
      <c r="Q240" s="112"/>
      <c r="R240" s="112"/>
      <c r="S240" s="112"/>
      <c r="T240" s="138"/>
      <c r="U240" s="112"/>
      <c r="V240" s="112"/>
    </row>
    <row r="241" spans="3:22" hidden="1" outlineLevel="1" collapsed="1" x14ac:dyDescent="0.35">
      <c r="C241" s="24" t="str">
        <f>INDEX(InpC!$E$25:$E$42,G241)</f>
        <v>Hafren Dyfrdwy</v>
      </c>
      <c r="F241" s="113" t="str">
        <f>INDEX(InpC!$F$25:$F$42,G241,)</f>
        <v>HDD</v>
      </c>
      <c r="G241" s="8">
        <f>G117</f>
        <v>3</v>
      </c>
      <c r="J241" s="112"/>
      <c r="K241" s="112"/>
      <c r="L241" s="112"/>
      <c r="M241" s="112"/>
      <c r="N241" s="112"/>
      <c r="O241" s="112"/>
      <c r="P241" s="112"/>
      <c r="Q241" s="112"/>
      <c r="R241" s="112"/>
      <c r="S241" s="112"/>
      <c r="T241" s="138"/>
      <c r="U241" s="112"/>
      <c r="V241" s="112"/>
    </row>
    <row r="242" spans="3:22" hidden="1" outlineLevel="2" x14ac:dyDescent="0.35">
      <c r="E242" s="8" t="s">
        <v>205</v>
      </c>
      <c r="G242" s="22" t="s">
        <v>34</v>
      </c>
      <c r="J242" s="112">
        <f t="shared" ref="J242:S242" si="225">IF(ISBLANK(J120),J22,J120)</f>
        <v>0</v>
      </c>
      <c r="K242" s="112">
        <f t="shared" si="225"/>
        <v>0</v>
      </c>
      <c r="L242" s="112">
        <f t="shared" si="225"/>
        <v>0</v>
      </c>
      <c r="M242" s="112">
        <f t="shared" si="225"/>
        <v>0</v>
      </c>
      <c r="N242" s="112">
        <f t="shared" si="225"/>
        <v>0</v>
      </c>
      <c r="O242" s="112">
        <f t="shared" si="225"/>
        <v>0</v>
      </c>
      <c r="P242" s="112">
        <f t="shared" si="225"/>
        <v>0</v>
      </c>
      <c r="Q242" s="112">
        <f t="shared" si="225"/>
        <v>0</v>
      </c>
      <c r="R242" s="112">
        <f t="shared" si="225"/>
        <v>0</v>
      </c>
      <c r="S242" s="112">
        <f t="shared" si="225"/>
        <v>0</v>
      </c>
      <c r="T242" s="138"/>
      <c r="U242" s="112">
        <f>IFERROR(AVERAGE(O242:S242),0)</f>
        <v>0</v>
      </c>
      <c r="V242" s="112">
        <f>SUM(O242:S242)</f>
        <v>0</v>
      </c>
    </row>
    <row r="243" spans="3:22" hidden="1" outlineLevel="2" x14ac:dyDescent="0.35">
      <c r="E243" s="8" t="s">
        <v>209</v>
      </c>
      <c r="G243" s="22" t="s">
        <v>34</v>
      </c>
      <c r="J243" s="112">
        <f t="shared" ref="J243:S243" si="226">IF(ISBLANK(J121),J23,J121)</f>
        <v>0</v>
      </c>
      <c r="K243" s="112">
        <f t="shared" si="226"/>
        <v>0</v>
      </c>
      <c r="L243" s="112">
        <f t="shared" si="226"/>
        <v>0</v>
      </c>
      <c r="M243" s="112">
        <f t="shared" si="226"/>
        <v>0</v>
      </c>
      <c r="N243" s="112">
        <f t="shared" si="226"/>
        <v>0</v>
      </c>
      <c r="O243" s="112">
        <f t="shared" si="226"/>
        <v>0</v>
      </c>
      <c r="P243" s="112">
        <f t="shared" si="226"/>
        <v>0</v>
      </c>
      <c r="Q243" s="112">
        <f t="shared" si="226"/>
        <v>0</v>
      </c>
      <c r="R243" s="112">
        <f t="shared" si="226"/>
        <v>0</v>
      </c>
      <c r="S243" s="112">
        <f t="shared" si="226"/>
        <v>0</v>
      </c>
      <c r="T243" s="138"/>
      <c r="U243" s="112">
        <f>IFERROR(AVERAGE(O243:S243),0)</f>
        <v>0</v>
      </c>
      <c r="V243" s="112">
        <f>SUM(O243:S243)</f>
        <v>0</v>
      </c>
    </row>
    <row r="244" spans="3:22" hidden="1" outlineLevel="2" x14ac:dyDescent="0.35">
      <c r="E244" s="8" t="s">
        <v>99</v>
      </c>
      <c r="G244" s="22" t="s">
        <v>34</v>
      </c>
      <c r="J244" s="134">
        <f t="shared" ref="J244:S244" si="227">SUM(J242:J243)</f>
        <v>0</v>
      </c>
      <c r="K244" s="134">
        <f t="shared" si="227"/>
        <v>0</v>
      </c>
      <c r="L244" s="134">
        <f t="shared" si="227"/>
        <v>0</v>
      </c>
      <c r="M244" s="134">
        <f t="shared" si="227"/>
        <v>0</v>
      </c>
      <c r="N244" s="134">
        <f t="shared" si="227"/>
        <v>0</v>
      </c>
      <c r="O244" s="134">
        <f t="shared" si="227"/>
        <v>0</v>
      </c>
      <c r="P244" s="134">
        <f t="shared" si="227"/>
        <v>0</v>
      </c>
      <c r="Q244" s="134">
        <f t="shared" si="227"/>
        <v>0</v>
      </c>
      <c r="R244" s="134">
        <f t="shared" si="227"/>
        <v>0</v>
      </c>
      <c r="S244" s="134">
        <f t="shared" si="227"/>
        <v>0</v>
      </c>
      <c r="T244" s="138"/>
      <c r="U244" s="134">
        <f>SUM(U242:U243)</f>
        <v>0</v>
      </c>
      <c r="V244" s="134">
        <f>SUM(V242:V243)</f>
        <v>0</v>
      </c>
    </row>
    <row r="245" spans="3:22" hidden="1" outlineLevel="1" x14ac:dyDescent="0.35">
      <c r="J245" s="112"/>
      <c r="K245" s="112"/>
      <c r="L245" s="112"/>
      <c r="M245" s="112"/>
      <c r="N245" s="112"/>
      <c r="O245" s="112"/>
      <c r="P245" s="112"/>
      <c r="Q245" s="112"/>
      <c r="R245" s="112"/>
      <c r="S245" s="112"/>
      <c r="T245" s="138"/>
      <c r="U245" s="112"/>
      <c r="V245" s="112"/>
    </row>
    <row r="246" spans="3:22" hidden="1" outlineLevel="1" collapsed="1" x14ac:dyDescent="0.35">
      <c r="C246" s="24" t="str">
        <f>INDEX(InpC!$E$25:$E$42,G246)</f>
        <v>Northumbrian Water</v>
      </c>
      <c r="F246" s="113" t="str">
        <f>INDEX(InpC!$F$25:$F$42,G246,)</f>
        <v>NES</v>
      </c>
      <c r="G246" s="8">
        <f>G124</f>
        <v>4</v>
      </c>
      <c r="J246" s="112"/>
      <c r="K246" s="112"/>
      <c r="L246" s="112"/>
      <c r="M246" s="112"/>
      <c r="N246" s="112"/>
      <c r="O246" s="112"/>
      <c r="P246" s="112"/>
      <c r="Q246" s="112"/>
      <c r="R246" s="112"/>
      <c r="S246" s="112"/>
      <c r="T246" s="138"/>
      <c r="U246" s="112"/>
      <c r="V246" s="112"/>
    </row>
    <row r="247" spans="3:22" hidden="1" outlineLevel="2" x14ac:dyDescent="0.35">
      <c r="E247" s="8" t="s">
        <v>205</v>
      </c>
      <c r="G247" s="22" t="s">
        <v>34</v>
      </c>
      <c r="J247" s="112">
        <f t="shared" ref="J247:S247" si="228">IF(ISBLANK(J127),J27,J127)</f>
        <v>0.28219065420560752</v>
      </c>
      <c r="K247" s="112">
        <f t="shared" si="228"/>
        <v>0.37071086556169436</v>
      </c>
      <c r="L247" s="112">
        <f t="shared" si="228"/>
        <v>0.40799999999999997</v>
      </c>
      <c r="M247" s="112">
        <f t="shared" si="228"/>
        <v>0.43298287301664001</v>
      </c>
      <c r="N247" s="112">
        <f t="shared" si="228"/>
        <v>0.44600000000000001</v>
      </c>
      <c r="O247" s="112">
        <f t="shared" si="228"/>
        <v>0.44186652455311876</v>
      </c>
      <c r="P247" s="112">
        <f t="shared" si="228"/>
        <v>0.46447803114005876</v>
      </c>
      <c r="Q247" s="112">
        <f t="shared" si="228"/>
        <v>0.48708953772699876</v>
      </c>
      <c r="R247" s="112">
        <f t="shared" si="228"/>
        <v>0.50875889820614961</v>
      </c>
      <c r="S247" s="112">
        <f t="shared" si="228"/>
        <v>0.5313704047930895</v>
      </c>
      <c r="T247" s="138"/>
      <c r="U247" s="112">
        <f>IFERROR(AVERAGE(O247:S247),0)</f>
        <v>0.48671267928388307</v>
      </c>
      <c r="V247" s="112">
        <f>SUM(O247:S247)</f>
        <v>2.4335633964194154</v>
      </c>
    </row>
    <row r="248" spans="3:22" hidden="1" outlineLevel="2" x14ac:dyDescent="0.35">
      <c r="E248" s="8" t="s">
        <v>209</v>
      </c>
      <c r="G248" s="22" t="s">
        <v>34</v>
      </c>
      <c r="J248" s="112">
        <f t="shared" ref="J248:S248" si="229">IF(ISBLANK(J128),J28,J128)</f>
        <v>0.13087102803738318</v>
      </c>
      <c r="K248" s="112">
        <f t="shared" si="229"/>
        <v>3.4250460405156544E-2</v>
      </c>
      <c r="L248" s="112">
        <f t="shared" si="229"/>
        <v>2.1000000000000001E-2</v>
      </c>
      <c r="M248" s="112">
        <f t="shared" si="229"/>
        <v>1.4211691674506781E-2</v>
      </c>
      <c r="N248" s="112">
        <f t="shared" si="229"/>
        <v>2.1000000000000001E-2</v>
      </c>
      <c r="O248" s="112">
        <f t="shared" si="229"/>
        <v>1.89E-2</v>
      </c>
      <c r="P248" s="112">
        <f t="shared" si="229"/>
        <v>1.89E-2</v>
      </c>
      <c r="Q248" s="112">
        <f t="shared" si="229"/>
        <v>1.89E-2</v>
      </c>
      <c r="R248" s="112">
        <f t="shared" si="229"/>
        <v>1.89E-2</v>
      </c>
      <c r="S248" s="112">
        <f t="shared" si="229"/>
        <v>1.89E-2</v>
      </c>
      <c r="T248" s="138"/>
      <c r="U248" s="112">
        <f>IFERROR(AVERAGE(O248:S248),0)</f>
        <v>1.89E-2</v>
      </c>
      <c r="V248" s="112">
        <f>SUM(O248:S248)</f>
        <v>9.4500000000000001E-2</v>
      </c>
    </row>
    <row r="249" spans="3:22" hidden="1" outlineLevel="2" x14ac:dyDescent="0.35">
      <c r="E249" s="8" t="s">
        <v>99</v>
      </c>
      <c r="G249" s="22" t="s">
        <v>34</v>
      </c>
      <c r="J249" s="134">
        <f t="shared" ref="J249:S249" si="230">SUM(J247:J248)</f>
        <v>0.41306168224299067</v>
      </c>
      <c r="K249" s="134">
        <f t="shared" si="230"/>
        <v>0.40496132596685092</v>
      </c>
      <c r="L249" s="134">
        <f t="shared" si="230"/>
        <v>0.42899999999999999</v>
      </c>
      <c r="M249" s="134">
        <f t="shared" si="230"/>
        <v>0.44719456469114677</v>
      </c>
      <c r="N249" s="134">
        <f t="shared" si="230"/>
        <v>0.46700000000000003</v>
      </c>
      <c r="O249" s="134">
        <f t="shared" si="230"/>
        <v>0.46076652455311873</v>
      </c>
      <c r="P249" s="134">
        <f t="shared" si="230"/>
        <v>0.48337803114005873</v>
      </c>
      <c r="Q249" s="134">
        <f t="shared" si="230"/>
        <v>0.50598953772699873</v>
      </c>
      <c r="R249" s="134">
        <f t="shared" si="230"/>
        <v>0.52765889820614964</v>
      </c>
      <c r="S249" s="134">
        <f t="shared" si="230"/>
        <v>0.55027040479308953</v>
      </c>
      <c r="T249" s="138"/>
      <c r="U249" s="134">
        <f>SUM(U247:U248)</f>
        <v>0.50561267928388309</v>
      </c>
      <c r="V249" s="134">
        <f>SUM(V247:V248)</f>
        <v>2.5280633964194155</v>
      </c>
    </row>
    <row r="250" spans="3:22" hidden="1" outlineLevel="1" x14ac:dyDescent="0.35">
      <c r="J250" s="112"/>
      <c r="K250" s="112"/>
      <c r="L250" s="112"/>
      <c r="M250" s="112"/>
      <c r="N250" s="112"/>
      <c r="O250" s="112"/>
      <c r="P250" s="112"/>
      <c r="Q250" s="112"/>
      <c r="R250" s="112"/>
      <c r="S250" s="112"/>
      <c r="T250" s="138"/>
      <c r="U250" s="112"/>
      <c r="V250" s="112"/>
    </row>
    <row r="251" spans="3:22" hidden="1" outlineLevel="1" collapsed="1" x14ac:dyDescent="0.35">
      <c r="C251" s="24" t="str">
        <f>INDEX(InpC!$E$25:$E$42,G251)</f>
        <v>Severn Trent Water</v>
      </c>
      <c r="F251" s="113" t="str">
        <f>INDEX(InpC!$F$25:$F$42,G251,)</f>
        <v>SVE</v>
      </c>
      <c r="G251" s="8">
        <f>G131</f>
        <v>5</v>
      </c>
      <c r="J251" s="112"/>
      <c r="K251" s="112"/>
      <c r="L251" s="112"/>
      <c r="M251" s="112"/>
      <c r="N251" s="112"/>
      <c r="O251" s="112"/>
      <c r="P251" s="112"/>
      <c r="Q251" s="112"/>
      <c r="R251" s="112"/>
      <c r="S251" s="112"/>
      <c r="T251" s="138"/>
      <c r="U251" s="112"/>
      <c r="V251" s="112"/>
    </row>
    <row r="252" spans="3:22" hidden="1" outlineLevel="2" x14ac:dyDescent="0.35">
      <c r="E252" s="8" t="s">
        <v>205</v>
      </c>
      <c r="G252" s="22" t="s">
        <v>34</v>
      </c>
      <c r="J252" s="112">
        <f t="shared" ref="J252:S252" si="231">IF(ISBLANK(J134),J32,J134)</f>
        <v>2.3587457943925236</v>
      </c>
      <c r="K252" s="112">
        <f t="shared" si="231"/>
        <v>2.2494493554327812</v>
      </c>
      <c r="L252" s="112">
        <f t="shared" si="231"/>
        <v>2.6629999999999998</v>
      </c>
      <c r="M252" s="112">
        <f t="shared" si="231"/>
        <v>1.744</v>
      </c>
      <c r="N252" s="112">
        <f t="shared" si="231"/>
        <v>1.714</v>
      </c>
      <c r="O252" s="112">
        <f t="shared" si="231"/>
        <v>2.744277794683339</v>
      </c>
      <c r="P252" s="112">
        <f t="shared" si="231"/>
        <v>2.7674444028691987</v>
      </c>
      <c r="Q252" s="112">
        <f t="shared" si="231"/>
        <v>2.7906110110550588</v>
      </c>
      <c r="R252" s="112">
        <f t="shared" si="231"/>
        <v>2.8147428945819963</v>
      </c>
      <c r="S252" s="112">
        <f t="shared" si="231"/>
        <v>2.8379095027678565</v>
      </c>
      <c r="T252" s="138"/>
      <c r="U252" s="112">
        <f>IFERROR(AVERAGE(O252:S252),0)</f>
        <v>2.7909971211914901</v>
      </c>
      <c r="V252" s="112">
        <f>SUM(O252:S252)</f>
        <v>13.95498560595745</v>
      </c>
    </row>
    <row r="253" spans="3:22" hidden="1" outlineLevel="2" x14ac:dyDescent="0.35">
      <c r="E253" s="8" t="s">
        <v>209</v>
      </c>
      <c r="G253" s="22" t="s">
        <v>34</v>
      </c>
      <c r="J253" s="112">
        <f t="shared" ref="J253:S253" si="232">IF(ISBLANK(J135),J33,J135)</f>
        <v>7.4637383177570099E-2</v>
      </c>
      <c r="K253" s="112">
        <f t="shared" si="232"/>
        <v>0.19240699815837942</v>
      </c>
      <c r="L253" s="112">
        <f t="shared" si="232"/>
        <v>5.1999999999999998E-2</v>
      </c>
      <c r="M253" s="112">
        <f t="shared" si="232"/>
        <v>0.21911625300000001</v>
      </c>
      <c r="N253" s="112">
        <f t="shared" si="232"/>
        <v>0.22045041800000001</v>
      </c>
      <c r="O253" s="112">
        <f t="shared" si="232"/>
        <v>0.21676504358233417</v>
      </c>
      <c r="P253" s="112">
        <f t="shared" si="232"/>
        <v>0.21808489192252956</v>
      </c>
      <c r="Q253" s="112">
        <f t="shared" si="232"/>
        <v>0.21941277979326043</v>
      </c>
      <c r="R253" s="112">
        <f t="shared" si="232"/>
        <v>0.2207487501971214</v>
      </c>
      <c r="S253" s="112">
        <f t="shared" si="232"/>
        <v>0.22209285786468747</v>
      </c>
      <c r="T253" s="138"/>
      <c r="U253" s="112">
        <f>IFERROR(AVERAGE(O253:S253),0)</f>
        <v>0.21942086467198657</v>
      </c>
      <c r="V253" s="112">
        <f>SUM(O253:S253)</f>
        <v>1.0971043233599329</v>
      </c>
    </row>
    <row r="254" spans="3:22" hidden="1" outlineLevel="2" x14ac:dyDescent="0.35">
      <c r="E254" s="8" t="s">
        <v>99</v>
      </c>
      <c r="G254" s="22" t="s">
        <v>34</v>
      </c>
      <c r="J254" s="134">
        <f t="shared" ref="J254:S254" si="233">SUM(J252:J253)</f>
        <v>2.4333831775700938</v>
      </c>
      <c r="K254" s="134">
        <f t="shared" si="233"/>
        <v>2.4418563535911608</v>
      </c>
      <c r="L254" s="134">
        <f t="shared" si="233"/>
        <v>2.7149999999999999</v>
      </c>
      <c r="M254" s="134">
        <f t="shared" si="233"/>
        <v>1.9631162529999999</v>
      </c>
      <c r="N254" s="134">
        <f t="shared" si="233"/>
        <v>1.9344504179999999</v>
      </c>
      <c r="O254" s="134">
        <f t="shared" si="233"/>
        <v>2.9610428382656733</v>
      </c>
      <c r="P254" s="134">
        <f t="shared" si="233"/>
        <v>2.9855292947917285</v>
      </c>
      <c r="Q254" s="134">
        <f t="shared" si="233"/>
        <v>3.0100237908483192</v>
      </c>
      <c r="R254" s="134">
        <f t="shared" si="233"/>
        <v>3.0354916447791176</v>
      </c>
      <c r="S254" s="134">
        <f t="shared" si="233"/>
        <v>3.0600023606325442</v>
      </c>
      <c r="T254" s="138"/>
      <c r="U254" s="134">
        <f>SUM(U252:U253)</f>
        <v>3.0104179858634765</v>
      </c>
      <c r="V254" s="134">
        <f>SUM(V252:V253)</f>
        <v>15.052089929317383</v>
      </c>
    </row>
    <row r="255" spans="3:22" hidden="1" outlineLevel="1" x14ac:dyDescent="0.35">
      <c r="J255" s="112"/>
      <c r="K255" s="112"/>
      <c r="L255" s="112"/>
      <c r="M255" s="112"/>
      <c r="N255" s="112"/>
      <c r="O255" s="112"/>
      <c r="P255" s="112"/>
      <c r="Q255" s="112"/>
      <c r="R255" s="112"/>
      <c r="S255" s="112"/>
      <c r="T255" s="138"/>
      <c r="U255" s="112"/>
      <c r="V255" s="112"/>
    </row>
    <row r="256" spans="3:22" hidden="1" outlineLevel="1" collapsed="1" x14ac:dyDescent="0.35">
      <c r="C256" s="24" t="str">
        <f>INDEX(InpC!$E$25:$E$42,G256)</f>
        <v>Southern Water</v>
      </c>
      <c r="F256" s="113" t="str">
        <f>INDEX(InpC!$F$25:$F$42,G256,)</f>
        <v>SRN</v>
      </c>
      <c r="G256" s="8">
        <f>G138</f>
        <v>6</v>
      </c>
      <c r="J256" s="112"/>
      <c r="K256" s="112"/>
      <c r="L256" s="112"/>
      <c r="M256" s="112"/>
      <c r="N256" s="112"/>
      <c r="O256" s="112"/>
      <c r="P256" s="112"/>
      <c r="Q256" s="112"/>
      <c r="R256" s="112"/>
      <c r="S256" s="112"/>
      <c r="T256" s="138"/>
      <c r="U256" s="112"/>
      <c r="V256" s="112"/>
    </row>
    <row r="257" spans="3:22" hidden="1" outlineLevel="2" x14ac:dyDescent="0.35">
      <c r="E257" s="8" t="s">
        <v>205</v>
      </c>
      <c r="G257" s="22" t="s">
        <v>34</v>
      </c>
      <c r="J257" s="112">
        <f t="shared" ref="J257:S257" si="234">IF(ISBLANK(J141),J37,J141)</f>
        <v>1.2197588785046729</v>
      </c>
      <c r="K257" s="112">
        <f t="shared" si="234"/>
        <v>1.1211988950276246</v>
      </c>
      <c r="L257" s="112">
        <f t="shared" si="234"/>
        <v>1.4830000000000001</v>
      </c>
      <c r="M257" s="112">
        <f t="shared" si="234"/>
        <v>1.5129999999999999</v>
      </c>
      <c r="N257" s="112">
        <f t="shared" si="234"/>
        <v>2.335</v>
      </c>
      <c r="O257" s="112">
        <f t="shared" si="234"/>
        <v>2.1864245363439965</v>
      </c>
      <c r="P257" s="112">
        <f t="shared" si="234"/>
        <v>2.1864245363439965</v>
      </c>
      <c r="Q257" s="112">
        <f t="shared" si="234"/>
        <v>2.1864245363439965</v>
      </c>
      <c r="R257" s="112">
        <f t="shared" si="234"/>
        <v>2.1864245363439965</v>
      </c>
      <c r="S257" s="112">
        <f t="shared" si="234"/>
        <v>2.1864245363439965</v>
      </c>
      <c r="T257" s="138"/>
      <c r="U257" s="112">
        <f>IFERROR(AVERAGE(O257:S257),0)</f>
        <v>2.1864245363439965</v>
      </c>
      <c r="V257" s="112">
        <f>SUM(O257:S257)</f>
        <v>10.932122681719981</v>
      </c>
    </row>
    <row r="258" spans="3:22" hidden="1" outlineLevel="2" x14ac:dyDescent="0.35">
      <c r="E258" s="8" t="s">
        <v>209</v>
      </c>
      <c r="G258" s="22" t="s">
        <v>34</v>
      </c>
      <c r="J258" s="112">
        <f t="shared" ref="J258:S258" si="235">IF(ISBLANK(J142),J38,J142)</f>
        <v>0.13496074766355143</v>
      </c>
      <c r="K258" s="112">
        <f t="shared" si="235"/>
        <v>0.12491344383057093</v>
      </c>
      <c r="L258" s="112">
        <f t="shared" si="235"/>
        <v>0.16500000000000001</v>
      </c>
      <c r="M258" s="112">
        <f t="shared" si="235"/>
        <v>0.16900000000000001</v>
      </c>
      <c r="N258" s="112">
        <f t="shared" si="235"/>
        <v>0.25900000000000001</v>
      </c>
      <c r="O258" s="112">
        <f t="shared" si="235"/>
        <v>0.25952052086028288</v>
      </c>
      <c r="P258" s="112">
        <f t="shared" si="235"/>
        <v>0.25952052086028288</v>
      </c>
      <c r="Q258" s="112">
        <f t="shared" si="235"/>
        <v>0.25952052086028288</v>
      </c>
      <c r="R258" s="112">
        <f t="shared" si="235"/>
        <v>0.25952052086028288</v>
      </c>
      <c r="S258" s="112">
        <f t="shared" si="235"/>
        <v>0.25952052086028288</v>
      </c>
      <c r="T258" s="138"/>
      <c r="U258" s="112">
        <f>IFERROR(AVERAGE(O258:S258),0)</f>
        <v>0.25952052086028288</v>
      </c>
      <c r="V258" s="112">
        <f>SUM(O258:S258)</f>
        <v>1.2976026043014144</v>
      </c>
    </row>
    <row r="259" spans="3:22" hidden="1" outlineLevel="2" x14ac:dyDescent="0.35">
      <c r="E259" s="8" t="s">
        <v>99</v>
      </c>
      <c r="G259" s="22" t="s">
        <v>34</v>
      </c>
      <c r="J259" s="134">
        <f t="shared" ref="J259:S259" si="236">SUM(J257:J258)</f>
        <v>1.3547196261682244</v>
      </c>
      <c r="K259" s="134">
        <f t="shared" si="236"/>
        <v>1.2461123388581956</v>
      </c>
      <c r="L259" s="134">
        <f t="shared" si="236"/>
        <v>1.6480000000000001</v>
      </c>
      <c r="M259" s="134">
        <f t="shared" si="236"/>
        <v>1.6819999999999999</v>
      </c>
      <c r="N259" s="134">
        <f t="shared" si="236"/>
        <v>2.5939999999999999</v>
      </c>
      <c r="O259" s="134">
        <f t="shared" si="236"/>
        <v>2.4459450572042796</v>
      </c>
      <c r="P259" s="134">
        <f t="shared" si="236"/>
        <v>2.4459450572042796</v>
      </c>
      <c r="Q259" s="134">
        <f t="shared" si="236"/>
        <v>2.4459450572042796</v>
      </c>
      <c r="R259" s="134">
        <f t="shared" si="236"/>
        <v>2.4459450572042796</v>
      </c>
      <c r="S259" s="134">
        <f t="shared" si="236"/>
        <v>2.4459450572042796</v>
      </c>
      <c r="T259" s="138"/>
      <c r="U259" s="134">
        <f>SUM(U257:U258)</f>
        <v>2.4459450572042796</v>
      </c>
      <c r="V259" s="134">
        <f>SUM(V257:V258)</f>
        <v>12.229725286021395</v>
      </c>
    </row>
    <row r="260" spans="3:22" hidden="1" outlineLevel="1" x14ac:dyDescent="0.35">
      <c r="J260" s="112"/>
      <c r="K260" s="112"/>
      <c r="L260" s="112"/>
      <c r="M260" s="112"/>
      <c r="N260" s="112"/>
      <c r="O260" s="112"/>
      <c r="P260" s="112"/>
      <c r="Q260" s="112"/>
      <c r="R260" s="112"/>
      <c r="S260" s="112"/>
      <c r="T260" s="138"/>
      <c r="U260" s="112"/>
      <c r="V260" s="112"/>
    </row>
    <row r="261" spans="3:22" hidden="1" outlineLevel="1" collapsed="1" x14ac:dyDescent="0.35">
      <c r="C261" s="24" t="str">
        <f>INDEX(InpC!$E$25:$E$42,G261)</f>
        <v>Thames Water</v>
      </c>
      <c r="F261" s="113" t="str">
        <f>INDEX(InpC!$F$25:$F$42,G261,)</f>
        <v>TMS</v>
      </c>
      <c r="G261" s="8">
        <f>G145</f>
        <v>7</v>
      </c>
      <c r="J261" s="112"/>
      <c r="K261" s="112"/>
      <c r="L261" s="112"/>
      <c r="M261" s="112"/>
      <c r="N261" s="112"/>
      <c r="O261" s="112"/>
      <c r="P261" s="112"/>
      <c r="Q261" s="112"/>
      <c r="R261" s="112"/>
      <c r="S261" s="112"/>
      <c r="T261" s="138"/>
      <c r="U261" s="112"/>
      <c r="V261" s="112"/>
    </row>
    <row r="262" spans="3:22" hidden="1" outlineLevel="2" x14ac:dyDescent="0.35">
      <c r="E262" s="8" t="s">
        <v>205</v>
      </c>
      <c r="G262" s="22" t="s">
        <v>34</v>
      </c>
      <c r="J262" s="112">
        <f t="shared" ref="J262:S262" si="237">IF(ISBLANK(J148),J42,J148)</f>
        <v>21.773667289719626</v>
      </c>
      <c r="K262" s="112">
        <f t="shared" si="237"/>
        <v>25.300009208103134</v>
      </c>
      <c r="L262" s="112">
        <f t="shared" si="237"/>
        <v>32.451000000000001</v>
      </c>
      <c r="M262" s="112">
        <f t="shared" si="237"/>
        <v>26.219165085388969</v>
      </c>
      <c r="N262" s="112">
        <f t="shared" si="237"/>
        <v>33.487000000000002</v>
      </c>
      <c r="O262" s="112">
        <f t="shared" si="237"/>
        <v>31.282088085631795</v>
      </c>
      <c r="P262" s="112">
        <f t="shared" si="237"/>
        <v>31.282088085631795</v>
      </c>
      <c r="Q262" s="112">
        <f t="shared" si="237"/>
        <v>31.282088085631795</v>
      </c>
      <c r="R262" s="112">
        <f t="shared" si="237"/>
        <v>31.282088085631795</v>
      </c>
      <c r="S262" s="112">
        <f t="shared" si="237"/>
        <v>31.282088085631795</v>
      </c>
      <c r="T262" s="138"/>
      <c r="U262" s="112">
        <f>IFERROR(AVERAGE(O262:S262),0)</f>
        <v>31.282088085631795</v>
      </c>
      <c r="V262" s="112">
        <f>SUM(O262:S262)</f>
        <v>156.41044042815898</v>
      </c>
    </row>
    <row r="263" spans="3:22" hidden="1" outlineLevel="2" x14ac:dyDescent="0.35">
      <c r="E263" s="8" t="s">
        <v>209</v>
      </c>
      <c r="G263" s="22" t="s">
        <v>34</v>
      </c>
      <c r="J263" s="112">
        <f t="shared" ref="J263:S263" si="238">IF(ISBLANK(J149),J43,J149)</f>
        <v>1.4477607476635515</v>
      </c>
      <c r="K263" s="112">
        <f t="shared" si="238"/>
        <v>2.3360828729281771</v>
      </c>
      <c r="L263" s="112">
        <f t="shared" si="238"/>
        <v>0.64900000000000002</v>
      </c>
      <c r="M263" s="112">
        <f t="shared" si="238"/>
        <v>0.96489563567362335</v>
      </c>
      <c r="N263" s="112">
        <f t="shared" si="238"/>
        <v>0.55000000000000004</v>
      </c>
      <c r="O263" s="112">
        <f t="shared" si="238"/>
        <v>0.50760000000000005</v>
      </c>
      <c r="P263" s="112">
        <f t="shared" si="238"/>
        <v>0.50760000000000005</v>
      </c>
      <c r="Q263" s="112">
        <f t="shared" si="238"/>
        <v>0.50760000000000005</v>
      </c>
      <c r="R263" s="112">
        <f t="shared" si="238"/>
        <v>0.49590000000000006</v>
      </c>
      <c r="S263" s="112">
        <f t="shared" si="238"/>
        <v>0.49590000000000006</v>
      </c>
      <c r="T263" s="138"/>
      <c r="U263" s="112">
        <f>IFERROR(AVERAGE(O263:S263),0)</f>
        <v>0.50292000000000014</v>
      </c>
      <c r="V263" s="112">
        <f>SUM(O263:S263)</f>
        <v>2.5146000000000006</v>
      </c>
    </row>
    <row r="264" spans="3:22" hidden="1" outlineLevel="2" x14ac:dyDescent="0.35">
      <c r="E264" s="8" t="s">
        <v>99</v>
      </c>
      <c r="G264" s="22" t="s">
        <v>34</v>
      </c>
      <c r="J264" s="134">
        <f t="shared" ref="J264:S264" si="239">SUM(J262:J263)</f>
        <v>23.221428037383177</v>
      </c>
      <c r="K264" s="134">
        <f t="shared" si="239"/>
        <v>27.636092081031311</v>
      </c>
      <c r="L264" s="134">
        <f t="shared" si="239"/>
        <v>33.1</v>
      </c>
      <c r="M264" s="134">
        <f t="shared" si="239"/>
        <v>27.184060721062593</v>
      </c>
      <c r="N264" s="134">
        <f t="shared" si="239"/>
        <v>34.036999999999999</v>
      </c>
      <c r="O264" s="134">
        <f t="shared" si="239"/>
        <v>31.789688085631795</v>
      </c>
      <c r="P264" s="134">
        <f t="shared" si="239"/>
        <v>31.789688085631795</v>
      </c>
      <c r="Q264" s="134">
        <f t="shared" si="239"/>
        <v>31.789688085631795</v>
      </c>
      <c r="R264" s="134">
        <f t="shared" si="239"/>
        <v>31.777988085631794</v>
      </c>
      <c r="S264" s="134">
        <f t="shared" si="239"/>
        <v>31.777988085631794</v>
      </c>
      <c r="T264" s="138"/>
      <c r="U264" s="134">
        <f>SUM(U262:U263)</f>
        <v>31.785008085631794</v>
      </c>
      <c r="V264" s="134">
        <f>SUM(V262:V263)</f>
        <v>158.92504042815898</v>
      </c>
    </row>
    <row r="265" spans="3:22" hidden="1" outlineLevel="1" x14ac:dyDescent="0.35">
      <c r="J265" s="112"/>
      <c r="K265" s="112"/>
      <c r="L265" s="112"/>
      <c r="M265" s="112"/>
      <c r="N265" s="112"/>
      <c r="O265" s="112"/>
      <c r="P265" s="112"/>
      <c r="Q265" s="112"/>
      <c r="R265" s="112"/>
      <c r="S265" s="112"/>
      <c r="T265" s="138"/>
      <c r="U265" s="112"/>
      <c r="V265" s="112"/>
    </row>
    <row r="266" spans="3:22" hidden="1" outlineLevel="1" collapsed="1" x14ac:dyDescent="0.35">
      <c r="C266" s="24" t="str">
        <f>INDEX(InpC!$E$25:$E$42,G266)</f>
        <v>United Utilities</v>
      </c>
      <c r="F266" s="113" t="str">
        <f>INDEX(InpC!$F$25:$F$42,G266,)</f>
        <v>NWT</v>
      </c>
      <c r="G266" s="8">
        <f>G152</f>
        <v>8</v>
      </c>
      <c r="J266" s="112"/>
      <c r="K266" s="112"/>
      <c r="L266" s="112"/>
      <c r="M266" s="112"/>
      <c r="N266" s="112"/>
      <c r="O266" s="112"/>
      <c r="P266" s="112"/>
      <c r="Q266" s="112"/>
      <c r="R266" s="112"/>
      <c r="S266" s="112"/>
      <c r="T266" s="138"/>
      <c r="U266" s="112"/>
      <c r="V266" s="112"/>
    </row>
    <row r="267" spans="3:22" hidden="1" outlineLevel="2" x14ac:dyDescent="0.35">
      <c r="E267" s="8" t="s">
        <v>205</v>
      </c>
      <c r="G267" s="22" t="s">
        <v>34</v>
      </c>
      <c r="J267" s="112">
        <f t="shared" ref="J267:S267" si="240">IF(ISBLANK(J155),J47,J155)</f>
        <v>1.8459450397717769</v>
      </c>
      <c r="K267" s="112">
        <f t="shared" si="240"/>
        <v>2.1356715125888646</v>
      </c>
      <c r="L267" s="112">
        <f t="shared" si="240"/>
        <v>2.0464701721890868</v>
      </c>
      <c r="M267" s="112">
        <f t="shared" si="240"/>
        <v>1.6817143322179799</v>
      </c>
      <c r="N267" s="112">
        <f t="shared" si="240"/>
        <v>1.8641387491075021</v>
      </c>
      <c r="O267" s="112">
        <f t="shared" si="240"/>
        <v>1.864022610627089</v>
      </c>
      <c r="P267" s="112">
        <f t="shared" si="240"/>
        <v>1.864022610627089</v>
      </c>
      <c r="Q267" s="112">
        <f t="shared" si="240"/>
        <v>1.8640226106270901</v>
      </c>
      <c r="R267" s="112">
        <f t="shared" si="240"/>
        <v>1.8640226106270901</v>
      </c>
      <c r="S267" s="112">
        <f t="shared" si="240"/>
        <v>1.8640226106270901</v>
      </c>
      <c r="T267" s="138"/>
      <c r="U267" s="112">
        <f>IFERROR(AVERAGE(O267:S267),0)</f>
        <v>1.8640226106270898</v>
      </c>
      <c r="V267" s="112">
        <f>SUM(O267:S267)</f>
        <v>9.320113053135449</v>
      </c>
    </row>
    <row r="268" spans="3:22" hidden="1" outlineLevel="2" x14ac:dyDescent="0.35">
      <c r="E268" s="8" t="s">
        <v>209</v>
      </c>
      <c r="G268" s="22" t="s">
        <v>34</v>
      </c>
      <c r="J268" s="112">
        <f t="shared" ref="J268:S268" si="241">IF(ISBLANK(J156),J48,J156)</f>
        <v>0.2856021227092686</v>
      </c>
      <c r="K268" s="112">
        <f t="shared" si="241"/>
        <v>0.48528858277783932</v>
      </c>
      <c r="L268" s="112">
        <f t="shared" si="241"/>
        <v>0.64722937905458577</v>
      </c>
      <c r="M268" s="112">
        <f t="shared" si="241"/>
        <v>0.50096218745529963</v>
      </c>
      <c r="N268" s="112">
        <f t="shared" si="241"/>
        <v>0.36829385253366581</v>
      </c>
      <c r="O268" s="112">
        <f t="shared" si="241"/>
        <v>0.36827090730579631</v>
      </c>
      <c r="P268" s="112">
        <f t="shared" si="241"/>
        <v>0.36827090730579631</v>
      </c>
      <c r="Q268" s="112">
        <f t="shared" si="241"/>
        <v>0.36827090730579631</v>
      </c>
      <c r="R268" s="112">
        <f t="shared" si="241"/>
        <v>0.36827090730579631</v>
      </c>
      <c r="S268" s="112">
        <f t="shared" si="241"/>
        <v>0.36827090730579631</v>
      </c>
      <c r="T268" s="138"/>
      <c r="U268" s="112">
        <f>IFERROR(AVERAGE(O268:S268),0)</f>
        <v>0.36827090730579631</v>
      </c>
      <c r="V268" s="112">
        <f>SUM(O268:S268)</f>
        <v>1.8413545365289816</v>
      </c>
    </row>
    <row r="269" spans="3:22" hidden="1" outlineLevel="2" x14ac:dyDescent="0.35">
      <c r="E269" s="8" t="s">
        <v>99</v>
      </c>
      <c r="G269" s="22" t="s">
        <v>34</v>
      </c>
      <c r="J269" s="134">
        <f t="shared" ref="J269:S269" si="242">SUM(J267:J268)</f>
        <v>2.1315471624810454</v>
      </c>
      <c r="K269" s="134">
        <f t="shared" si="242"/>
        <v>2.620960095366704</v>
      </c>
      <c r="L269" s="134">
        <f t="shared" si="242"/>
        <v>2.6936995512436726</v>
      </c>
      <c r="M269" s="134">
        <f t="shared" si="242"/>
        <v>2.1826765196732794</v>
      </c>
      <c r="N269" s="134">
        <f t="shared" si="242"/>
        <v>2.2324326016411677</v>
      </c>
      <c r="O269" s="134">
        <f t="shared" si="242"/>
        <v>2.2322935179328853</v>
      </c>
      <c r="P269" s="134">
        <f t="shared" si="242"/>
        <v>2.2322935179328853</v>
      </c>
      <c r="Q269" s="134">
        <f t="shared" si="242"/>
        <v>2.2322935179328862</v>
      </c>
      <c r="R269" s="134">
        <f t="shared" si="242"/>
        <v>2.2322935179328862</v>
      </c>
      <c r="S269" s="134">
        <f t="shared" si="242"/>
        <v>2.2322935179328862</v>
      </c>
      <c r="T269" s="138"/>
      <c r="U269" s="134">
        <f>SUM(U267:U268)</f>
        <v>2.2322935179328862</v>
      </c>
      <c r="V269" s="134">
        <f>SUM(V267:V268)</f>
        <v>11.161467589664431</v>
      </c>
    </row>
    <row r="270" spans="3:22" hidden="1" outlineLevel="1" x14ac:dyDescent="0.35">
      <c r="J270" s="112"/>
      <c r="K270" s="112"/>
      <c r="L270" s="112"/>
      <c r="M270" s="112"/>
      <c r="N270" s="112"/>
      <c r="O270" s="112"/>
      <c r="P270" s="112"/>
      <c r="Q270" s="112"/>
      <c r="R270" s="112"/>
      <c r="S270" s="112"/>
      <c r="T270" s="138"/>
      <c r="U270" s="112"/>
      <c r="V270" s="112"/>
    </row>
    <row r="271" spans="3:22" hidden="1" outlineLevel="1" collapsed="1" x14ac:dyDescent="0.35">
      <c r="C271" s="24" t="str">
        <f>INDEX(InpC!$E$25:$E$42,G271)</f>
        <v>Wessex Water</v>
      </c>
      <c r="F271" s="113" t="str">
        <f>INDEX(InpC!$F$25:$F$42,G271,)</f>
        <v>WSX</v>
      </c>
      <c r="G271" s="8">
        <f>G159</f>
        <v>9</v>
      </c>
      <c r="J271" s="112"/>
      <c r="K271" s="112"/>
      <c r="L271" s="112"/>
      <c r="M271" s="112"/>
      <c r="N271" s="112"/>
      <c r="O271" s="112"/>
      <c r="P271" s="112"/>
      <c r="Q271" s="112"/>
      <c r="R271" s="112"/>
      <c r="S271" s="112"/>
      <c r="T271" s="138"/>
      <c r="U271" s="112"/>
      <c r="V271" s="112"/>
    </row>
    <row r="272" spans="3:22" hidden="1" outlineLevel="2" x14ac:dyDescent="0.35">
      <c r="E272" s="8" t="s">
        <v>205</v>
      </c>
      <c r="G272" s="22" t="s">
        <v>34</v>
      </c>
      <c r="J272" s="112">
        <f t="shared" ref="J272:S272" si="243">IF(ISBLANK(J162),J52,J162)</f>
        <v>0.10068112672897198</v>
      </c>
      <c r="K272" s="112">
        <f t="shared" si="243"/>
        <v>0.12289871086556171</v>
      </c>
      <c r="L272" s="112">
        <f t="shared" si="243"/>
        <v>0.153</v>
      </c>
      <c r="M272" s="112">
        <f t="shared" si="243"/>
        <v>0.11653587012320329</v>
      </c>
      <c r="N272" s="112">
        <f t="shared" si="243"/>
        <v>0.113737443673724</v>
      </c>
      <c r="O272" s="112">
        <f t="shared" si="243"/>
        <v>8.2142424463669414E-2</v>
      </c>
      <c r="P272" s="112">
        <f t="shared" si="243"/>
        <v>8.7153848961745148E-2</v>
      </c>
      <c r="Q272" s="112">
        <f t="shared" si="243"/>
        <v>8.6519601568210008E-2</v>
      </c>
      <c r="R272" s="112">
        <f t="shared" si="243"/>
        <v>8.6094685385458503E-2</v>
      </c>
      <c r="S272" s="112">
        <f t="shared" si="243"/>
        <v>9.0237923933368505E-2</v>
      </c>
      <c r="T272" s="138"/>
      <c r="U272" s="112">
        <f>IFERROR(AVERAGE(O272:S272),0)</f>
        <v>8.6429696862490316E-2</v>
      </c>
      <c r="V272" s="112">
        <f>SUM(O272:S272)</f>
        <v>0.43214848431245156</v>
      </c>
    </row>
    <row r="273" spans="3:22" hidden="1" outlineLevel="2" x14ac:dyDescent="0.35">
      <c r="E273" s="8" t="s">
        <v>209</v>
      </c>
      <c r="G273" s="22" t="s">
        <v>34</v>
      </c>
      <c r="J273" s="112">
        <f t="shared" ref="J273:S273" si="244">IF(ISBLANK(J163),J53,J163)</f>
        <v>9.8964057943925349E-3</v>
      </c>
      <c r="K273" s="112">
        <f t="shared" si="244"/>
        <v>1.9139963167587482E-2</v>
      </c>
      <c r="L273" s="112">
        <f t="shared" si="244"/>
        <v>2.5999999999999999E-2</v>
      </c>
      <c r="M273" s="112">
        <f t="shared" si="244"/>
        <v>1.9896368069815189E-2</v>
      </c>
      <c r="N273" s="112">
        <f t="shared" si="244"/>
        <v>2.5999999999999999E-2</v>
      </c>
      <c r="O273" s="112">
        <f t="shared" si="244"/>
        <v>2.3400000000000001E-2</v>
      </c>
      <c r="P273" s="112">
        <f t="shared" si="244"/>
        <v>2.3400000000000001E-2</v>
      </c>
      <c r="Q273" s="112">
        <f t="shared" si="244"/>
        <v>2.3400000000000001E-2</v>
      </c>
      <c r="R273" s="112">
        <f t="shared" si="244"/>
        <v>2.3400000000000001E-2</v>
      </c>
      <c r="S273" s="112">
        <f t="shared" si="244"/>
        <v>2.3400000000000001E-2</v>
      </c>
      <c r="T273" s="138"/>
      <c r="U273" s="112">
        <f>IFERROR(AVERAGE(O273:S273),0)</f>
        <v>2.3400000000000001E-2</v>
      </c>
      <c r="V273" s="112">
        <f>SUM(O273:S273)</f>
        <v>0.11700000000000001</v>
      </c>
    </row>
    <row r="274" spans="3:22" hidden="1" outlineLevel="2" x14ac:dyDescent="0.35">
      <c r="E274" s="8" t="s">
        <v>99</v>
      </c>
      <c r="G274" s="22" t="s">
        <v>34</v>
      </c>
      <c r="J274" s="134">
        <f t="shared" ref="J274:S274" si="245">SUM(J272:J273)</f>
        <v>0.11057753252336451</v>
      </c>
      <c r="K274" s="134">
        <f t="shared" si="245"/>
        <v>0.14203867403314918</v>
      </c>
      <c r="L274" s="134">
        <f t="shared" si="245"/>
        <v>0.17899999999999999</v>
      </c>
      <c r="M274" s="134">
        <f t="shared" si="245"/>
        <v>0.13643223819301847</v>
      </c>
      <c r="N274" s="134">
        <f t="shared" si="245"/>
        <v>0.13973744367372401</v>
      </c>
      <c r="O274" s="134">
        <f t="shared" si="245"/>
        <v>0.10554242446366942</v>
      </c>
      <c r="P274" s="134">
        <f t="shared" si="245"/>
        <v>0.11055384896174515</v>
      </c>
      <c r="Q274" s="134">
        <f t="shared" si="245"/>
        <v>0.10991960156821001</v>
      </c>
      <c r="R274" s="134">
        <f t="shared" si="245"/>
        <v>0.10949468538545851</v>
      </c>
      <c r="S274" s="134">
        <f t="shared" si="245"/>
        <v>0.11363792393336851</v>
      </c>
      <c r="T274" s="138"/>
      <c r="U274" s="134">
        <f>SUM(U272:U273)</f>
        <v>0.10982969686249032</v>
      </c>
      <c r="V274" s="134">
        <f>SUM(V272:V273)</f>
        <v>0.54914848431245156</v>
      </c>
    </row>
    <row r="275" spans="3:22" hidden="1" outlineLevel="1" x14ac:dyDescent="0.35">
      <c r="J275" s="112"/>
      <c r="K275" s="112"/>
      <c r="L275" s="112"/>
      <c r="M275" s="112"/>
      <c r="N275" s="112"/>
      <c r="O275" s="112"/>
      <c r="P275" s="112"/>
      <c r="Q275" s="112"/>
      <c r="R275" s="112"/>
      <c r="S275" s="112"/>
      <c r="T275" s="138"/>
      <c r="U275" s="112"/>
      <c r="V275" s="112"/>
    </row>
    <row r="276" spans="3:22" hidden="1" outlineLevel="1" collapsed="1" x14ac:dyDescent="0.35">
      <c r="C276" s="24" t="str">
        <f>INDEX(InpC!$E$25:$E$42,G276)</f>
        <v>Yorkshire Water</v>
      </c>
      <c r="F276" s="113" t="str">
        <f>INDEX(InpC!$F$25:$F$42,G276,)</f>
        <v>YKY</v>
      </c>
      <c r="G276" s="8">
        <f>G166</f>
        <v>10</v>
      </c>
      <c r="J276" s="112"/>
      <c r="K276" s="112"/>
      <c r="L276" s="112"/>
      <c r="M276" s="112"/>
      <c r="N276" s="112"/>
      <c r="O276" s="112"/>
      <c r="P276" s="112"/>
      <c r="Q276" s="112"/>
      <c r="R276" s="112"/>
      <c r="S276" s="112"/>
      <c r="T276" s="138"/>
      <c r="U276" s="112"/>
      <c r="V276" s="112"/>
    </row>
    <row r="277" spans="3:22" hidden="1" outlineLevel="2" x14ac:dyDescent="0.35">
      <c r="E277" s="8" t="s">
        <v>205</v>
      </c>
      <c r="G277" s="22" t="s">
        <v>34</v>
      </c>
      <c r="J277" s="112">
        <f t="shared" ref="J277:S277" si="246">IF(ISBLANK(J169),J57,J169)</f>
        <v>4.2931831775700937</v>
      </c>
      <c r="K277" s="112">
        <f t="shared" si="246"/>
        <v>3.4739589344049371</v>
      </c>
      <c r="L277" s="112">
        <f t="shared" si="246"/>
        <v>3.706</v>
      </c>
      <c r="M277" s="112">
        <f t="shared" si="246"/>
        <v>3.0313478434561851</v>
      </c>
      <c r="N277" s="112">
        <f t="shared" si="246"/>
        <v>3.395046778847516</v>
      </c>
      <c r="O277" s="112">
        <f t="shared" si="246"/>
        <v>3.6230637970791704</v>
      </c>
      <c r="P277" s="112">
        <f t="shared" si="246"/>
        <v>3.6230637970791704</v>
      </c>
      <c r="Q277" s="112">
        <f t="shared" si="246"/>
        <v>3.6230637970791704</v>
      </c>
      <c r="R277" s="112">
        <f t="shared" si="246"/>
        <v>3.6230637970791704</v>
      </c>
      <c r="S277" s="112">
        <f t="shared" si="246"/>
        <v>3.6230637970791704</v>
      </c>
      <c r="T277" s="138"/>
      <c r="U277" s="112">
        <f>IFERROR(AVERAGE(O277:S277),0)</f>
        <v>3.6230637970791704</v>
      </c>
      <c r="V277" s="112">
        <f>SUM(O277:S277)</f>
        <v>18.115318985395852</v>
      </c>
    </row>
    <row r="278" spans="3:22" hidden="1" outlineLevel="2" x14ac:dyDescent="0.35">
      <c r="E278" s="8" t="s">
        <v>209</v>
      </c>
      <c r="G278" s="22" t="s">
        <v>34</v>
      </c>
      <c r="J278" s="112">
        <f t="shared" ref="J278:S278" si="247">IF(ISBLANK(J170),J58,J170)</f>
        <v>0.30468411214953273</v>
      </c>
      <c r="K278" s="112">
        <f t="shared" si="247"/>
        <v>0.16722283609576433</v>
      </c>
      <c r="L278" s="112">
        <f t="shared" si="247"/>
        <v>0.13171905116610619</v>
      </c>
      <c r="M278" s="112">
        <f t="shared" si="247"/>
        <v>0.22518462756408841</v>
      </c>
      <c r="N278" s="112">
        <f t="shared" si="247"/>
        <v>0.20161124306834519</v>
      </c>
      <c r="O278" s="112">
        <f t="shared" si="247"/>
        <v>0.1437048424289008</v>
      </c>
      <c r="P278" s="112">
        <f t="shared" si="247"/>
        <v>0.1437048424289008</v>
      </c>
      <c r="Q278" s="112">
        <f t="shared" si="247"/>
        <v>0.1437048424289008</v>
      </c>
      <c r="R278" s="112">
        <f t="shared" si="247"/>
        <v>0.1437048424289008</v>
      </c>
      <c r="S278" s="112">
        <f t="shared" si="247"/>
        <v>0.1437048424289008</v>
      </c>
      <c r="T278" s="138"/>
      <c r="U278" s="112">
        <f>IFERROR(AVERAGE(O278:S278),0)</f>
        <v>0.1437048424289008</v>
      </c>
      <c r="V278" s="112">
        <f>SUM(O278:S278)</f>
        <v>0.71852421214450402</v>
      </c>
    </row>
    <row r="279" spans="3:22" hidden="1" outlineLevel="2" x14ac:dyDescent="0.35">
      <c r="E279" s="8" t="s">
        <v>99</v>
      </c>
      <c r="G279" s="22" t="s">
        <v>34</v>
      </c>
      <c r="J279" s="134">
        <f t="shared" ref="J279:S279" si="248">SUM(J277:J278)</f>
        <v>4.5978672897196269</v>
      </c>
      <c r="K279" s="134">
        <f t="shared" si="248"/>
        <v>3.6411817705007015</v>
      </c>
      <c r="L279" s="134">
        <f t="shared" si="248"/>
        <v>3.8377190511661063</v>
      </c>
      <c r="M279" s="134">
        <f t="shared" si="248"/>
        <v>3.2565324710202734</v>
      </c>
      <c r="N279" s="134">
        <f t="shared" si="248"/>
        <v>3.5966580219158613</v>
      </c>
      <c r="O279" s="134">
        <f t="shared" si="248"/>
        <v>3.7667686395080713</v>
      </c>
      <c r="P279" s="134">
        <f t="shared" si="248"/>
        <v>3.7667686395080713</v>
      </c>
      <c r="Q279" s="134">
        <f t="shared" si="248"/>
        <v>3.7667686395080713</v>
      </c>
      <c r="R279" s="134">
        <f t="shared" si="248"/>
        <v>3.7667686395080713</v>
      </c>
      <c r="S279" s="134">
        <f t="shared" si="248"/>
        <v>3.7667686395080713</v>
      </c>
      <c r="T279" s="138"/>
      <c r="U279" s="134">
        <f>SUM(U277:U278)</f>
        <v>3.7667686395080713</v>
      </c>
      <c r="V279" s="134">
        <f>SUM(V277:V278)</f>
        <v>18.833843197540357</v>
      </c>
    </row>
    <row r="280" spans="3:22" hidden="1" outlineLevel="1" x14ac:dyDescent="0.35">
      <c r="J280" s="112"/>
      <c r="K280" s="112"/>
      <c r="L280" s="112"/>
      <c r="M280" s="112"/>
      <c r="N280" s="112"/>
      <c r="O280" s="112"/>
      <c r="P280" s="112"/>
      <c r="Q280" s="112"/>
      <c r="R280" s="112"/>
      <c r="S280" s="112"/>
      <c r="T280" s="138"/>
      <c r="U280" s="112"/>
      <c r="V280" s="112"/>
    </row>
    <row r="281" spans="3:22" hidden="1" outlineLevel="1" collapsed="1" x14ac:dyDescent="0.35">
      <c r="C281" s="24" t="str">
        <f>INDEX(InpC!$E$25:$E$42,G281)</f>
        <v>Affinity Water</v>
      </c>
      <c r="F281" s="113" t="str">
        <f>INDEX(InpC!$F$25:$F$42,G281,)</f>
        <v>AFW</v>
      </c>
      <c r="G281" s="8">
        <f>G173</f>
        <v>11</v>
      </c>
      <c r="J281" s="112"/>
      <c r="K281" s="112"/>
      <c r="L281" s="112"/>
      <c r="M281" s="112"/>
      <c r="N281" s="112"/>
      <c r="O281" s="112"/>
      <c r="P281" s="112"/>
      <c r="Q281" s="112"/>
      <c r="R281" s="112"/>
      <c r="S281" s="112"/>
      <c r="T281" s="138"/>
      <c r="U281" s="112"/>
      <c r="V281" s="112"/>
    </row>
    <row r="282" spans="3:22" hidden="1" outlineLevel="2" x14ac:dyDescent="0.35">
      <c r="E282" s="8" t="s">
        <v>205</v>
      </c>
      <c r="G282" s="22" t="s">
        <v>34</v>
      </c>
      <c r="J282" s="112">
        <f t="shared" ref="J282:S282" si="249">IF(ISBLANK(J176),J62,J176)</f>
        <v>1.9078542056074768</v>
      </c>
      <c r="K282" s="112">
        <f t="shared" si="249"/>
        <v>1.058742173112339</v>
      </c>
      <c r="L282" s="112">
        <f t="shared" si="249"/>
        <v>0.61699999999999999</v>
      </c>
      <c r="M282" s="112">
        <f t="shared" si="249"/>
        <v>0.48099999999999998</v>
      </c>
      <c r="N282" s="112">
        <f t="shared" si="249"/>
        <v>0.623</v>
      </c>
      <c r="O282" s="112">
        <f t="shared" si="249"/>
        <v>0.64494322203917864</v>
      </c>
      <c r="P282" s="112">
        <f t="shared" si="249"/>
        <v>0.64494322203917864</v>
      </c>
      <c r="Q282" s="112">
        <f t="shared" si="249"/>
        <v>0.64593544238077738</v>
      </c>
      <c r="R282" s="112">
        <f t="shared" si="249"/>
        <v>0.64593544238077738</v>
      </c>
      <c r="S282" s="112">
        <f t="shared" si="249"/>
        <v>0.64593544238077738</v>
      </c>
      <c r="T282" s="138"/>
      <c r="U282" s="112">
        <f>IFERROR(AVERAGE(O282:S282),0)</f>
        <v>0.64553855424413797</v>
      </c>
      <c r="V282" s="112">
        <f>SUM(O282:S282)</f>
        <v>3.2276927712206898</v>
      </c>
    </row>
    <row r="283" spans="3:22" hidden="1" outlineLevel="2" x14ac:dyDescent="0.35">
      <c r="E283" s="8" t="s">
        <v>209</v>
      </c>
      <c r="G283" s="22" t="s">
        <v>34</v>
      </c>
      <c r="J283" s="112">
        <f t="shared" ref="J283:S283" si="250">IF(ISBLANK(J177),J63,J177)</f>
        <v>0</v>
      </c>
      <c r="K283" s="112">
        <f t="shared" si="250"/>
        <v>0</v>
      </c>
      <c r="L283" s="112">
        <f t="shared" si="250"/>
        <v>0</v>
      </c>
      <c r="M283" s="112">
        <f t="shared" si="250"/>
        <v>0</v>
      </c>
      <c r="N283" s="112">
        <f t="shared" si="250"/>
        <v>0</v>
      </c>
      <c r="O283" s="112">
        <f t="shared" si="250"/>
        <v>0</v>
      </c>
      <c r="P283" s="112">
        <f t="shared" si="250"/>
        <v>0</v>
      </c>
      <c r="Q283" s="112">
        <f t="shared" si="250"/>
        <v>0</v>
      </c>
      <c r="R283" s="112">
        <f t="shared" si="250"/>
        <v>0</v>
      </c>
      <c r="S283" s="112">
        <f t="shared" si="250"/>
        <v>0</v>
      </c>
      <c r="T283" s="138"/>
      <c r="U283" s="112">
        <f>IFERROR(AVERAGE(O283:S283),0)</f>
        <v>0</v>
      </c>
      <c r="V283" s="112">
        <f>SUM(O283:S283)</f>
        <v>0</v>
      </c>
    </row>
    <row r="284" spans="3:22" hidden="1" outlineLevel="2" x14ac:dyDescent="0.35">
      <c r="E284" s="8" t="s">
        <v>99</v>
      </c>
      <c r="G284" s="22" t="s">
        <v>34</v>
      </c>
      <c r="J284" s="134">
        <f t="shared" ref="J284:S284" si="251">SUM(J282:J283)</f>
        <v>1.9078542056074768</v>
      </c>
      <c r="K284" s="134">
        <f t="shared" si="251"/>
        <v>1.058742173112339</v>
      </c>
      <c r="L284" s="134">
        <f t="shared" si="251"/>
        <v>0.61699999999999999</v>
      </c>
      <c r="M284" s="134">
        <f t="shared" si="251"/>
        <v>0.48099999999999998</v>
      </c>
      <c r="N284" s="134">
        <f t="shared" si="251"/>
        <v>0.623</v>
      </c>
      <c r="O284" s="134">
        <f t="shared" si="251"/>
        <v>0.64494322203917864</v>
      </c>
      <c r="P284" s="134">
        <f t="shared" si="251"/>
        <v>0.64494322203917864</v>
      </c>
      <c r="Q284" s="134">
        <f t="shared" si="251"/>
        <v>0.64593544238077738</v>
      </c>
      <c r="R284" s="134">
        <f t="shared" si="251"/>
        <v>0.64593544238077738</v>
      </c>
      <c r="S284" s="134">
        <f t="shared" si="251"/>
        <v>0.64593544238077738</v>
      </c>
      <c r="T284" s="138"/>
      <c r="U284" s="134">
        <f>SUM(U282:U283)</f>
        <v>0.64553855424413797</v>
      </c>
      <c r="V284" s="134">
        <f>SUM(V282:V283)</f>
        <v>3.2276927712206898</v>
      </c>
    </row>
    <row r="285" spans="3:22" hidden="1" outlineLevel="1" x14ac:dyDescent="0.35">
      <c r="J285" s="112"/>
      <c r="K285" s="112"/>
      <c r="L285" s="112"/>
      <c r="M285" s="112"/>
      <c r="N285" s="112"/>
      <c r="O285" s="112"/>
      <c r="P285" s="112"/>
      <c r="Q285" s="112"/>
      <c r="R285" s="112"/>
      <c r="S285" s="112"/>
      <c r="T285" s="138"/>
      <c r="U285" s="112"/>
      <c r="V285" s="112"/>
    </row>
    <row r="286" spans="3:22" hidden="1" outlineLevel="1" collapsed="1" x14ac:dyDescent="0.35">
      <c r="C286" s="24" t="str">
        <f>INDEX(InpC!$E$25:$E$42,G286)</f>
        <v>Portsmouth Water</v>
      </c>
      <c r="F286" s="113" t="str">
        <f>INDEX(InpC!$F$25:$F$42,G286,)</f>
        <v>PRT</v>
      </c>
      <c r="G286" s="8">
        <f>G180</f>
        <v>12</v>
      </c>
      <c r="J286" s="112"/>
      <c r="K286" s="112"/>
      <c r="L286" s="112"/>
      <c r="M286" s="112"/>
      <c r="N286" s="112"/>
      <c r="O286" s="112"/>
      <c r="P286" s="112"/>
      <c r="Q286" s="112"/>
      <c r="R286" s="112"/>
      <c r="S286" s="112"/>
      <c r="T286" s="138"/>
      <c r="U286" s="112"/>
      <c r="V286" s="112"/>
    </row>
    <row r="287" spans="3:22" hidden="1" outlineLevel="2" x14ac:dyDescent="0.35">
      <c r="E287" s="8" t="s">
        <v>205</v>
      </c>
      <c r="G287" s="22" t="s">
        <v>34</v>
      </c>
      <c r="J287" s="112">
        <f t="shared" ref="J287:S287" si="252">IF(ISBLANK(J183),J67,J183)</f>
        <v>0.25049532710280376</v>
      </c>
      <c r="K287" s="112">
        <f t="shared" si="252"/>
        <v>0.28306998158379382</v>
      </c>
      <c r="L287" s="112">
        <f t="shared" si="252"/>
        <v>0.22900000000000001</v>
      </c>
      <c r="M287" s="112">
        <f t="shared" si="252"/>
        <v>0.1212731006160164</v>
      </c>
      <c r="N287" s="112">
        <f t="shared" si="252"/>
        <v>0.41</v>
      </c>
      <c r="O287" s="112">
        <f t="shared" si="252"/>
        <v>0.48699999999999999</v>
      </c>
      <c r="P287" s="112">
        <f t="shared" si="252"/>
        <v>0.49164000000000002</v>
      </c>
      <c r="Q287" s="112">
        <f t="shared" si="252"/>
        <v>0.48681999999999997</v>
      </c>
      <c r="R287" s="112">
        <f t="shared" si="252"/>
        <v>0.48681999999999997</v>
      </c>
      <c r="S287" s="112">
        <f t="shared" si="252"/>
        <v>0.48681999999999997</v>
      </c>
      <c r="T287" s="138"/>
      <c r="U287" s="112">
        <f>IFERROR(AVERAGE(O287:S287),0)</f>
        <v>0.48781999999999998</v>
      </c>
      <c r="V287" s="112">
        <f>SUM(O287:S287)</f>
        <v>2.4390999999999998</v>
      </c>
    </row>
    <row r="288" spans="3:22" hidden="1" outlineLevel="2" x14ac:dyDescent="0.35">
      <c r="E288" s="8" t="s">
        <v>209</v>
      </c>
      <c r="G288" s="22" t="s">
        <v>34</v>
      </c>
      <c r="J288" s="112">
        <f t="shared" ref="J288:S288" si="253">IF(ISBLANK(J184),J68,J184)</f>
        <v>0</v>
      </c>
      <c r="K288" s="112">
        <f t="shared" si="253"/>
        <v>0</v>
      </c>
      <c r="L288" s="112">
        <f t="shared" si="253"/>
        <v>0</v>
      </c>
      <c r="M288" s="112">
        <f t="shared" si="253"/>
        <v>0</v>
      </c>
      <c r="N288" s="112">
        <f t="shared" si="253"/>
        <v>0</v>
      </c>
      <c r="O288" s="112">
        <f t="shared" si="253"/>
        <v>0</v>
      </c>
      <c r="P288" s="112">
        <f t="shared" si="253"/>
        <v>0</v>
      </c>
      <c r="Q288" s="112">
        <f t="shared" si="253"/>
        <v>0</v>
      </c>
      <c r="R288" s="112">
        <f t="shared" si="253"/>
        <v>0</v>
      </c>
      <c r="S288" s="112">
        <f t="shared" si="253"/>
        <v>0</v>
      </c>
      <c r="T288" s="138"/>
      <c r="U288" s="112">
        <f>IFERROR(AVERAGE(O288:S288),0)</f>
        <v>0</v>
      </c>
      <c r="V288" s="112">
        <f>SUM(O288:S288)</f>
        <v>0</v>
      </c>
    </row>
    <row r="289" spans="3:22" hidden="1" outlineLevel="2" x14ac:dyDescent="0.35">
      <c r="E289" s="8" t="s">
        <v>99</v>
      </c>
      <c r="G289" s="22" t="s">
        <v>34</v>
      </c>
      <c r="J289" s="134">
        <f t="shared" ref="J289:S289" si="254">SUM(J287:J288)</f>
        <v>0.25049532710280376</v>
      </c>
      <c r="K289" s="134">
        <f t="shared" si="254"/>
        <v>0.28306998158379382</v>
      </c>
      <c r="L289" s="134">
        <f t="shared" si="254"/>
        <v>0.22900000000000001</v>
      </c>
      <c r="M289" s="134">
        <f t="shared" si="254"/>
        <v>0.1212731006160164</v>
      </c>
      <c r="N289" s="134">
        <f t="shared" si="254"/>
        <v>0.41</v>
      </c>
      <c r="O289" s="134">
        <f t="shared" si="254"/>
        <v>0.48699999999999999</v>
      </c>
      <c r="P289" s="134">
        <f t="shared" si="254"/>
        <v>0.49164000000000002</v>
      </c>
      <c r="Q289" s="134">
        <f t="shared" si="254"/>
        <v>0.48681999999999997</v>
      </c>
      <c r="R289" s="134">
        <f t="shared" si="254"/>
        <v>0.48681999999999997</v>
      </c>
      <c r="S289" s="134">
        <f t="shared" si="254"/>
        <v>0.48681999999999997</v>
      </c>
      <c r="T289" s="138"/>
      <c r="U289" s="134">
        <f>SUM(U287:U288)</f>
        <v>0.48781999999999998</v>
      </c>
      <c r="V289" s="134">
        <f>SUM(V287:V288)</f>
        <v>2.4390999999999998</v>
      </c>
    </row>
    <row r="290" spans="3:22" hidden="1" outlineLevel="1" x14ac:dyDescent="0.35">
      <c r="J290" s="112"/>
      <c r="K290" s="112"/>
      <c r="L290" s="112"/>
      <c r="M290" s="112"/>
      <c r="N290" s="112"/>
      <c r="O290" s="112"/>
      <c r="P290" s="112"/>
      <c r="Q290" s="112"/>
      <c r="R290" s="112"/>
      <c r="S290" s="112"/>
      <c r="T290" s="138"/>
      <c r="U290" s="112"/>
      <c r="V290" s="112"/>
    </row>
    <row r="291" spans="3:22" hidden="1" outlineLevel="1" collapsed="1" x14ac:dyDescent="0.35">
      <c r="C291" s="24" t="str">
        <f>INDEX(InpC!$E$25:$E$42,G291)</f>
        <v>South East Water</v>
      </c>
      <c r="F291" s="113" t="str">
        <f>INDEX(InpC!$F$25:$F$42,G291,)</f>
        <v>SEW</v>
      </c>
      <c r="G291" s="8">
        <f>G187</f>
        <v>13</v>
      </c>
      <c r="J291" s="112"/>
      <c r="K291" s="112"/>
      <c r="L291" s="112"/>
      <c r="M291" s="112"/>
      <c r="N291" s="112"/>
      <c r="O291" s="112"/>
      <c r="P291" s="112"/>
      <c r="Q291" s="112"/>
      <c r="R291" s="112"/>
      <c r="S291" s="112"/>
      <c r="T291" s="138"/>
      <c r="U291" s="112"/>
      <c r="V291" s="112"/>
    </row>
    <row r="292" spans="3:22" hidden="1" outlineLevel="2" x14ac:dyDescent="0.35">
      <c r="E292" s="8" t="s">
        <v>205</v>
      </c>
      <c r="G292" s="22" t="s">
        <v>34</v>
      </c>
      <c r="J292" s="112">
        <f t="shared" ref="J292:S292" si="255">IF(ISBLANK(J190),J72,J190)</f>
        <v>0.65742242990654209</v>
      </c>
      <c r="K292" s="112">
        <f t="shared" si="255"/>
        <v>0.72530386740331498</v>
      </c>
      <c r="L292" s="112">
        <f t="shared" si="255"/>
        <v>0.57299999999999995</v>
      </c>
      <c r="M292" s="112">
        <f t="shared" si="255"/>
        <v>1.0507178729007369</v>
      </c>
      <c r="N292" s="112">
        <f t="shared" si="255"/>
        <v>1.366560737738022</v>
      </c>
      <c r="O292" s="112">
        <f t="shared" si="255"/>
        <v>1.2769333087197414</v>
      </c>
      <c r="P292" s="112">
        <f t="shared" si="255"/>
        <v>1.2769333087197414</v>
      </c>
      <c r="Q292" s="112">
        <f t="shared" si="255"/>
        <v>1.2769333087197414</v>
      </c>
      <c r="R292" s="112">
        <f t="shared" si="255"/>
        <v>1.2769333087197414</v>
      </c>
      <c r="S292" s="112">
        <f t="shared" si="255"/>
        <v>1.2769333087197414</v>
      </c>
      <c r="T292" s="138"/>
      <c r="U292" s="112">
        <f>IFERROR(AVERAGE(O292:S292),0)</f>
        <v>1.2769333087197414</v>
      </c>
      <c r="V292" s="112">
        <f>SUM(O292:S292)</f>
        <v>6.3846665435987067</v>
      </c>
    </row>
    <row r="293" spans="3:22" hidden="1" outlineLevel="2" x14ac:dyDescent="0.35">
      <c r="E293" s="8" t="s">
        <v>209</v>
      </c>
      <c r="G293" s="22" t="s">
        <v>34</v>
      </c>
      <c r="J293" s="112">
        <f t="shared" ref="J293:S293" si="256">IF(ISBLANK(J191),J73,J191)</f>
        <v>0</v>
      </c>
      <c r="K293" s="112">
        <f t="shared" si="256"/>
        <v>0</v>
      </c>
      <c r="L293" s="112">
        <f t="shared" si="256"/>
        <v>0</v>
      </c>
      <c r="M293" s="112">
        <f t="shared" si="256"/>
        <v>0</v>
      </c>
      <c r="N293" s="112">
        <f t="shared" si="256"/>
        <v>0</v>
      </c>
      <c r="O293" s="112">
        <f t="shared" si="256"/>
        <v>0</v>
      </c>
      <c r="P293" s="112">
        <f t="shared" si="256"/>
        <v>0</v>
      </c>
      <c r="Q293" s="112">
        <f t="shared" si="256"/>
        <v>0</v>
      </c>
      <c r="R293" s="112">
        <f t="shared" si="256"/>
        <v>0</v>
      </c>
      <c r="S293" s="112">
        <f t="shared" si="256"/>
        <v>0</v>
      </c>
      <c r="T293" s="138"/>
      <c r="U293" s="112">
        <f>IFERROR(AVERAGE(O293:S293),0)</f>
        <v>0</v>
      </c>
      <c r="V293" s="112">
        <f>SUM(O293:S293)</f>
        <v>0</v>
      </c>
    </row>
    <row r="294" spans="3:22" hidden="1" outlineLevel="2" x14ac:dyDescent="0.35">
      <c r="E294" s="8" t="s">
        <v>99</v>
      </c>
      <c r="G294" s="22" t="s">
        <v>34</v>
      </c>
      <c r="J294" s="134">
        <f t="shared" ref="J294:S294" si="257">SUM(J292:J293)</f>
        <v>0.65742242990654209</v>
      </c>
      <c r="K294" s="134">
        <f t="shared" si="257"/>
        <v>0.72530386740331498</v>
      </c>
      <c r="L294" s="134">
        <f t="shared" si="257"/>
        <v>0.57299999999999995</v>
      </c>
      <c r="M294" s="134">
        <f t="shared" si="257"/>
        <v>1.0507178729007369</v>
      </c>
      <c r="N294" s="134">
        <f t="shared" si="257"/>
        <v>1.366560737738022</v>
      </c>
      <c r="O294" s="134">
        <f t="shared" si="257"/>
        <v>1.2769333087197414</v>
      </c>
      <c r="P294" s="134">
        <f t="shared" si="257"/>
        <v>1.2769333087197414</v>
      </c>
      <c r="Q294" s="134">
        <f t="shared" si="257"/>
        <v>1.2769333087197414</v>
      </c>
      <c r="R294" s="134">
        <f t="shared" si="257"/>
        <v>1.2769333087197414</v>
      </c>
      <c r="S294" s="134">
        <f t="shared" si="257"/>
        <v>1.2769333087197414</v>
      </c>
      <c r="T294" s="138"/>
      <c r="U294" s="134">
        <f>SUM(U292:U293)</f>
        <v>1.2769333087197414</v>
      </c>
      <c r="V294" s="134">
        <f>SUM(V292:V293)</f>
        <v>6.3846665435987067</v>
      </c>
    </row>
    <row r="295" spans="3:22" hidden="1" outlineLevel="1" x14ac:dyDescent="0.35">
      <c r="J295" s="112"/>
      <c r="K295" s="112"/>
      <c r="L295" s="112"/>
      <c r="M295" s="112"/>
      <c r="N295" s="112"/>
      <c r="O295" s="112"/>
      <c r="P295" s="112"/>
      <c r="Q295" s="112"/>
      <c r="R295" s="112"/>
      <c r="S295" s="112"/>
      <c r="T295" s="138"/>
      <c r="U295" s="112"/>
      <c r="V295" s="112"/>
    </row>
    <row r="296" spans="3:22" hidden="1" outlineLevel="1" collapsed="1" x14ac:dyDescent="0.35">
      <c r="C296" s="24" t="str">
        <f>INDEX(InpC!$E$25:$E$42,G296)</f>
        <v>South Staffs Water</v>
      </c>
      <c r="F296" s="113" t="str">
        <f>INDEX(InpC!$F$25:$F$42,G296,)</f>
        <v>SSC</v>
      </c>
      <c r="G296" s="8">
        <f>G194</f>
        <v>14</v>
      </c>
      <c r="J296" s="112"/>
      <c r="K296" s="112"/>
      <c r="L296" s="112"/>
      <c r="M296" s="112"/>
      <c r="N296" s="112"/>
      <c r="O296" s="112"/>
      <c r="P296" s="112"/>
      <c r="Q296" s="112"/>
      <c r="R296" s="112"/>
      <c r="S296" s="112"/>
      <c r="T296" s="138"/>
      <c r="U296" s="112"/>
      <c r="V296" s="112"/>
    </row>
    <row r="297" spans="3:22" hidden="1" outlineLevel="2" x14ac:dyDescent="0.35">
      <c r="E297" s="8" t="s">
        <v>205</v>
      </c>
      <c r="G297" s="22" t="s">
        <v>34</v>
      </c>
      <c r="J297" s="112">
        <f t="shared" ref="J297:S297" si="258">IF(ISBLANK(J197),J77,J197)</f>
        <v>0.33228971962616827</v>
      </c>
      <c r="K297" s="112">
        <f t="shared" si="258"/>
        <v>0.46238121546961336</v>
      </c>
      <c r="L297" s="112">
        <f t="shared" si="258"/>
        <v>0.48899999999999999</v>
      </c>
      <c r="M297" s="112">
        <f t="shared" si="258"/>
        <v>0.48899999999999999</v>
      </c>
      <c r="N297" s="112">
        <f t="shared" si="258"/>
        <v>0.48899999999999999</v>
      </c>
      <c r="O297" s="112">
        <f t="shared" si="258"/>
        <v>0.48899999999999999</v>
      </c>
      <c r="P297" s="112">
        <f t="shared" si="258"/>
        <v>0.48899999999999999</v>
      </c>
      <c r="Q297" s="112">
        <f t="shared" si="258"/>
        <v>0.48899999999999999</v>
      </c>
      <c r="R297" s="112">
        <f t="shared" si="258"/>
        <v>0.48899999999999999</v>
      </c>
      <c r="S297" s="112">
        <f t="shared" si="258"/>
        <v>0.48899999999999999</v>
      </c>
      <c r="T297" s="138"/>
      <c r="U297" s="112">
        <f>IFERROR(AVERAGE(O297:S297),0)</f>
        <v>0.48899999999999999</v>
      </c>
      <c r="V297" s="112">
        <f>SUM(O297:S297)</f>
        <v>2.4449999999999998</v>
      </c>
    </row>
    <row r="298" spans="3:22" hidden="1" outlineLevel="2" x14ac:dyDescent="0.35">
      <c r="E298" s="8" t="s">
        <v>209</v>
      </c>
      <c r="G298" s="22" t="s">
        <v>34</v>
      </c>
      <c r="J298" s="112">
        <f t="shared" ref="J298:S298" si="259">IF(ISBLANK(J198),J78,J198)</f>
        <v>0</v>
      </c>
      <c r="K298" s="112">
        <f t="shared" si="259"/>
        <v>0</v>
      </c>
      <c r="L298" s="112">
        <f t="shared" si="259"/>
        <v>0</v>
      </c>
      <c r="M298" s="112">
        <f t="shared" si="259"/>
        <v>0</v>
      </c>
      <c r="N298" s="112">
        <f t="shared" si="259"/>
        <v>0</v>
      </c>
      <c r="O298" s="112">
        <f t="shared" si="259"/>
        <v>0</v>
      </c>
      <c r="P298" s="112">
        <f t="shared" si="259"/>
        <v>0</v>
      </c>
      <c r="Q298" s="112">
        <f t="shared" si="259"/>
        <v>0</v>
      </c>
      <c r="R298" s="112">
        <f t="shared" si="259"/>
        <v>0</v>
      </c>
      <c r="S298" s="112">
        <f t="shared" si="259"/>
        <v>0</v>
      </c>
      <c r="T298" s="138"/>
      <c r="U298" s="112">
        <f>IFERROR(AVERAGE(O298:S298),0)</f>
        <v>0</v>
      </c>
      <c r="V298" s="112">
        <f>SUM(O298:S298)</f>
        <v>0</v>
      </c>
    </row>
    <row r="299" spans="3:22" hidden="1" outlineLevel="2" x14ac:dyDescent="0.35">
      <c r="E299" s="8" t="s">
        <v>99</v>
      </c>
      <c r="G299" s="22" t="s">
        <v>34</v>
      </c>
      <c r="J299" s="134">
        <f t="shared" ref="J299:S299" si="260">SUM(J297:J298)</f>
        <v>0.33228971962616827</v>
      </c>
      <c r="K299" s="134">
        <f t="shared" si="260"/>
        <v>0.46238121546961336</v>
      </c>
      <c r="L299" s="134">
        <f t="shared" si="260"/>
        <v>0.48899999999999999</v>
      </c>
      <c r="M299" s="134">
        <f t="shared" si="260"/>
        <v>0.48899999999999999</v>
      </c>
      <c r="N299" s="134">
        <f t="shared" si="260"/>
        <v>0.48899999999999999</v>
      </c>
      <c r="O299" s="134">
        <f t="shared" si="260"/>
        <v>0.48899999999999999</v>
      </c>
      <c r="P299" s="134">
        <f t="shared" si="260"/>
        <v>0.48899999999999999</v>
      </c>
      <c r="Q299" s="134">
        <f t="shared" si="260"/>
        <v>0.48899999999999999</v>
      </c>
      <c r="R299" s="134">
        <f t="shared" si="260"/>
        <v>0.48899999999999999</v>
      </c>
      <c r="S299" s="134">
        <f t="shared" si="260"/>
        <v>0.48899999999999999</v>
      </c>
      <c r="T299" s="138"/>
      <c r="U299" s="134">
        <f>SUM(U297:U298)</f>
        <v>0.48899999999999999</v>
      </c>
      <c r="V299" s="134">
        <f>SUM(V297:V298)</f>
        <v>2.4449999999999998</v>
      </c>
    </row>
    <row r="300" spans="3:22" hidden="1" outlineLevel="1" x14ac:dyDescent="0.35">
      <c r="J300" s="112"/>
      <c r="K300" s="112"/>
      <c r="L300" s="112"/>
      <c r="M300" s="112"/>
      <c r="N300" s="112"/>
      <c r="O300" s="112"/>
      <c r="P300" s="112"/>
      <c r="Q300" s="112"/>
      <c r="R300" s="112"/>
      <c r="S300" s="112"/>
      <c r="T300" s="138"/>
      <c r="U300" s="112"/>
      <c r="V300" s="112"/>
    </row>
    <row r="301" spans="3:22" hidden="1" outlineLevel="1" collapsed="1" x14ac:dyDescent="0.35">
      <c r="C301" s="24" t="str">
        <f>INDEX(InpC!$E$25:$E$42,G301)</f>
        <v>SES Water</v>
      </c>
      <c r="F301" s="113" t="str">
        <f>INDEX(InpC!$F$25:$F$42,G301,)</f>
        <v>SES</v>
      </c>
      <c r="G301" s="8">
        <f>G201</f>
        <v>15</v>
      </c>
      <c r="J301" s="112"/>
      <c r="K301" s="112"/>
      <c r="L301" s="112"/>
      <c r="M301" s="112"/>
      <c r="N301" s="112"/>
      <c r="O301" s="112"/>
      <c r="P301" s="112"/>
      <c r="Q301" s="112"/>
      <c r="R301" s="112"/>
      <c r="S301" s="112"/>
      <c r="T301" s="138"/>
      <c r="U301" s="112"/>
      <c r="V301" s="112"/>
    </row>
    <row r="302" spans="3:22" hidden="1" outlineLevel="2" x14ac:dyDescent="0.35">
      <c r="E302" s="8" t="s">
        <v>205</v>
      </c>
      <c r="G302" s="22" t="s">
        <v>34</v>
      </c>
      <c r="J302" s="112">
        <f t="shared" ref="J302:S302" si="261">IF(ISBLANK(J204),J82,J204)</f>
        <v>0.18237078153271027</v>
      </c>
      <c r="K302" s="112">
        <f t="shared" si="261"/>
        <v>0.12717755036832415</v>
      </c>
      <c r="L302" s="112">
        <f t="shared" si="261"/>
        <v>0.31</v>
      </c>
      <c r="M302" s="112">
        <f t="shared" si="261"/>
        <v>0.34269271435338688</v>
      </c>
      <c r="N302" s="112">
        <f t="shared" si="261"/>
        <v>0.33700000000000002</v>
      </c>
      <c r="O302" s="112">
        <f t="shared" si="261"/>
        <v>0.30959999999999999</v>
      </c>
      <c r="P302" s="112">
        <f t="shared" si="261"/>
        <v>0.31229999999999997</v>
      </c>
      <c r="Q302" s="112">
        <f t="shared" si="261"/>
        <v>0.31319999999999998</v>
      </c>
      <c r="R302" s="112">
        <f t="shared" si="261"/>
        <v>0.31859999999999999</v>
      </c>
      <c r="S302" s="112">
        <f t="shared" si="261"/>
        <v>0.32129999999999997</v>
      </c>
      <c r="T302" s="138"/>
      <c r="U302" s="112">
        <f>IFERROR(AVERAGE(O302:S302),0)</f>
        <v>0.31499999999999995</v>
      </c>
      <c r="V302" s="112">
        <f>SUM(O302:S302)</f>
        <v>1.5749999999999997</v>
      </c>
    </row>
    <row r="303" spans="3:22" hidden="1" outlineLevel="2" x14ac:dyDescent="0.35">
      <c r="E303" s="8" t="s">
        <v>209</v>
      </c>
      <c r="G303" s="22" t="s">
        <v>34</v>
      </c>
      <c r="J303" s="112">
        <f t="shared" ref="J303:S303" si="262">IF(ISBLANK(J205),J83,J205)</f>
        <v>0</v>
      </c>
      <c r="K303" s="112">
        <f t="shared" si="262"/>
        <v>0</v>
      </c>
      <c r="L303" s="112">
        <f t="shared" si="262"/>
        <v>0</v>
      </c>
      <c r="M303" s="112">
        <f t="shared" si="262"/>
        <v>0</v>
      </c>
      <c r="N303" s="112">
        <f t="shared" si="262"/>
        <v>0</v>
      </c>
      <c r="O303" s="112">
        <f t="shared" si="262"/>
        <v>0</v>
      </c>
      <c r="P303" s="112">
        <f t="shared" si="262"/>
        <v>0</v>
      </c>
      <c r="Q303" s="112">
        <f t="shared" si="262"/>
        <v>0</v>
      </c>
      <c r="R303" s="112">
        <f t="shared" si="262"/>
        <v>0</v>
      </c>
      <c r="S303" s="112">
        <f t="shared" si="262"/>
        <v>0</v>
      </c>
      <c r="T303" s="138"/>
      <c r="U303" s="112">
        <f>IFERROR(AVERAGE(O303:S303),0)</f>
        <v>0</v>
      </c>
      <c r="V303" s="112">
        <f>SUM(O303:S303)</f>
        <v>0</v>
      </c>
    </row>
    <row r="304" spans="3:22" hidden="1" outlineLevel="2" x14ac:dyDescent="0.35">
      <c r="E304" s="8" t="s">
        <v>99</v>
      </c>
      <c r="G304" s="22" t="s">
        <v>34</v>
      </c>
      <c r="J304" s="134">
        <f t="shared" ref="J304:S304" si="263">SUM(J302:J303)</f>
        <v>0.18237078153271027</v>
      </c>
      <c r="K304" s="134">
        <f t="shared" si="263"/>
        <v>0.12717755036832415</v>
      </c>
      <c r="L304" s="134">
        <f t="shared" si="263"/>
        <v>0.31</v>
      </c>
      <c r="M304" s="134">
        <f t="shared" si="263"/>
        <v>0.34269271435338688</v>
      </c>
      <c r="N304" s="134">
        <f t="shared" si="263"/>
        <v>0.33700000000000002</v>
      </c>
      <c r="O304" s="134">
        <f t="shared" si="263"/>
        <v>0.30959999999999999</v>
      </c>
      <c r="P304" s="134">
        <f t="shared" si="263"/>
        <v>0.31229999999999997</v>
      </c>
      <c r="Q304" s="134">
        <f t="shared" si="263"/>
        <v>0.31319999999999998</v>
      </c>
      <c r="R304" s="134">
        <f t="shared" si="263"/>
        <v>0.31859999999999999</v>
      </c>
      <c r="S304" s="134">
        <f t="shared" si="263"/>
        <v>0.32129999999999997</v>
      </c>
      <c r="T304" s="138"/>
      <c r="U304" s="134">
        <f>SUM(U302:U303)</f>
        <v>0.31499999999999995</v>
      </c>
      <c r="V304" s="134">
        <f>SUM(V302:V303)</f>
        <v>1.5749999999999997</v>
      </c>
    </row>
    <row r="305" spans="3:22" hidden="1" outlineLevel="1" x14ac:dyDescent="0.35">
      <c r="J305" s="112"/>
      <c r="K305" s="112"/>
      <c r="L305" s="112"/>
      <c r="M305" s="112"/>
      <c r="N305" s="112"/>
      <c r="O305" s="112"/>
      <c r="P305" s="112"/>
      <c r="Q305" s="112"/>
      <c r="R305" s="112"/>
      <c r="S305" s="112"/>
      <c r="T305" s="138"/>
      <c r="U305" s="112"/>
      <c r="V305" s="112"/>
    </row>
    <row r="306" spans="3:22" hidden="1" outlineLevel="1" collapsed="1" x14ac:dyDescent="0.35">
      <c r="C306" s="24" t="str">
        <f>INDEX(InpC!$E$25:$E$42,G306)</f>
        <v>South West Water</v>
      </c>
      <c r="F306" s="113" t="str">
        <f>INDEX(InpC!$F$25:$F$42,G306,)</f>
        <v>SWB</v>
      </c>
      <c r="G306" s="8">
        <f>G208</f>
        <v>16</v>
      </c>
      <c r="J306" s="112"/>
      <c r="K306" s="112"/>
      <c r="L306" s="112"/>
      <c r="M306" s="112"/>
      <c r="N306" s="112"/>
      <c r="O306" s="112"/>
      <c r="P306" s="112"/>
      <c r="Q306" s="112"/>
      <c r="R306" s="112"/>
      <c r="S306" s="112"/>
      <c r="T306" s="138"/>
      <c r="U306" s="112"/>
      <c r="V306" s="112"/>
    </row>
    <row r="307" spans="3:22" hidden="1" outlineLevel="2" x14ac:dyDescent="0.35">
      <c r="E307" s="8" t="s">
        <v>205</v>
      </c>
      <c r="G307" s="22" t="s">
        <v>34</v>
      </c>
      <c r="J307" s="112">
        <f t="shared" ref="J307:S307" si="264">IF(ISBLANK(J211),J87,J211)</f>
        <v>0</v>
      </c>
      <c r="K307" s="112">
        <f t="shared" si="264"/>
        <v>4.7346224677716403E-2</v>
      </c>
      <c r="L307" s="112">
        <f t="shared" si="264"/>
        <v>0.20899999999999999</v>
      </c>
      <c r="M307" s="112">
        <f t="shared" si="264"/>
        <v>0.79</v>
      </c>
      <c r="N307" s="112">
        <f t="shared" si="264"/>
        <v>0.20899999999999999</v>
      </c>
      <c r="O307" s="112">
        <f t="shared" si="264"/>
        <v>0.14199529599999999</v>
      </c>
      <c r="P307" s="112">
        <f t="shared" si="264"/>
        <v>0.133004648</v>
      </c>
      <c r="Q307" s="112">
        <f t="shared" si="264"/>
        <v>0.123995114</v>
      </c>
      <c r="R307" s="112">
        <f t="shared" si="264"/>
        <v>0.114998539</v>
      </c>
      <c r="S307" s="112">
        <f t="shared" si="264"/>
        <v>0.107004223</v>
      </c>
      <c r="T307" s="138"/>
      <c r="U307" s="112">
        <f>IFERROR(AVERAGE(O307:S307),0)</f>
        <v>0.12419956400000001</v>
      </c>
      <c r="V307" s="112">
        <f>SUM(O307:S307)</f>
        <v>0.62099782000000003</v>
      </c>
    </row>
    <row r="308" spans="3:22" hidden="1" outlineLevel="2" x14ac:dyDescent="0.35">
      <c r="E308" s="8" t="s">
        <v>209</v>
      </c>
      <c r="G308" s="22" t="s">
        <v>34</v>
      </c>
      <c r="J308" s="112">
        <f t="shared" ref="J308:S308" si="265">IF(ISBLANK(J212),J88,J212)</f>
        <v>0</v>
      </c>
      <c r="K308" s="112">
        <f t="shared" si="265"/>
        <v>8.0589318600368335E-3</v>
      </c>
      <c r="L308" s="112">
        <f t="shared" si="265"/>
        <v>3.0000000000000001E-3</v>
      </c>
      <c r="M308" s="112">
        <f t="shared" si="265"/>
        <v>0</v>
      </c>
      <c r="N308" s="112">
        <f t="shared" si="265"/>
        <v>3.0000000000000001E-3</v>
      </c>
      <c r="O308" s="112">
        <f t="shared" si="265"/>
        <v>0</v>
      </c>
      <c r="P308" s="112">
        <f t="shared" si="265"/>
        <v>0</v>
      </c>
      <c r="Q308" s="112">
        <f t="shared" si="265"/>
        <v>0</v>
      </c>
      <c r="R308" s="112">
        <f t="shared" si="265"/>
        <v>0</v>
      </c>
      <c r="S308" s="112">
        <f t="shared" si="265"/>
        <v>0</v>
      </c>
      <c r="T308" s="138"/>
      <c r="U308" s="112">
        <f>IFERROR(AVERAGE(O308:S308),0)</f>
        <v>0</v>
      </c>
      <c r="V308" s="112">
        <f>SUM(O308:S308)</f>
        <v>0</v>
      </c>
    </row>
    <row r="309" spans="3:22" hidden="1" outlineLevel="2" x14ac:dyDescent="0.35">
      <c r="E309" s="8" t="s">
        <v>99</v>
      </c>
      <c r="G309" s="22" t="s">
        <v>34</v>
      </c>
      <c r="J309" s="134">
        <f t="shared" ref="J309:S309" si="266">SUM(J307:J308)</f>
        <v>0</v>
      </c>
      <c r="K309" s="134">
        <f t="shared" si="266"/>
        <v>5.5405156537753235E-2</v>
      </c>
      <c r="L309" s="134">
        <f t="shared" si="266"/>
        <v>0.21199999999999999</v>
      </c>
      <c r="M309" s="134">
        <f t="shared" si="266"/>
        <v>0.79</v>
      </c>
      <c r="N309" s="134">
        <f t="shared" si="266"/>
        <v>0.21199999999999999</v>
      </c>
      <c r="O309" s="134">
        <f t="shared" si="266"/>
        <v>0.14199529599999999</v>
      </c>
      <c r="P309" s="134">
        <f t="shared" si="266"/>
        <v>0.133004648</v>
      </c>
      <c r="Q309" s="134">
        <f t="shared" si="266"/>
        <v>0.123995114</v>
      </c>
      <c r="R309" s="134">
        <f t="shared" si="266"/>
        <v>0.114998539</v>
      </c>
      <c r="S309" s="134">
        <f t="shared" si="266"/>
        <v>0.107004223</v>
      </c>
      <c r="T309" s="138"/>
      <c r="U309" s="134">
        <f>SUM(U307:U308)</f>
        <v>0.12419956400000001</v>
      </c>
      <c r="V309" s="134">
        <f>SUM(V307:V308)</f>
        <v>0.62099782000000003</v>
      </c>
    </row>
    <row r="310" spans="3:22" hidden="1" outlineLevel="1" x14ac:dyDescent="0.35">
      <c r="J310" s="112"/>
      <c r="K310" s="112"/>
      <c r="L310" s="112"/>
      <c r="M310" s="112"/>
      <c r="N310" s="112"/>
      <c r="O310" s="112"/>
      <c r="P310" s="112"/>
      <c r="Q310" s="112"/>
      <c r="R310" s="112"/>
      <c r="S310" s="112"/>
      <c r="T310" s="138"/>
      <c r="U310" s="112"/>
      <c r="V310" s="112"/>
    </row>
    <row r="311" spans="3:22" hidden="1" outlineLevel="1" collapsed="1" x14ac:dyDescent="0.35">
      <c r="C311" s="24" t="str">
        <f>INDEX(InpC!$E$25:$E$42,G311)</f>
        <v>Bristol Water</v>
      </c>
      <c r="F311" s="113" t="str">
        <f>INDEX(InpC!$F$25:$F$42,G311,)</f>
        <v>BRL</v>
      </c>
      <c r="G311" s="8">
        <f>G215</f>
        <v>17</v>
      </c>
      <c r="J311" s="112"/>
      <c r="K311" s="112"/>
      <c r="L311" s="112"/>
      <c r="M311" s="112"/>
      <c r="N311" s="112"/>
      <c r="O311" s="112"/>
      <c r="P311" s="112"/>
      <c r="Q311" s="112"/>
      <c r="R311" s="112"/>
      <c r="S311" s="112"/>
      <c r="T311" s="138"/>
      <c r="U311" s="112"/>
      <c r="V311" s="112"/>
    </row>
    <row r="312" spans="3:22" hidden="1" outlineLevel="2" x14ac:dyDescent="0.35">
      <c r="E312" s="8" t="s">
        <v>205</v>
      </c>
      <c r="G312" s="22" t="s">
        <v>34</v>
      </c>
      <c r="J312" s="112">
        <f t="shared" ref="J312:S312" si="267">IF(ISBLANK(J218),J92,J218)</f>
        <v>0.34353644859813087</v>
      </c>
      <c r="K312" s="112">
        <f t="shared" si="267"/>
        <v>0.37171823204419896</v>
      </c>
      <c r="L312" s="112">
        <f t="shared" si="267"/>
        <v>0.20599999999999999</v>
      </c>
      <c r="M312" s="112">
        <f t="shared" si="267"/>
        <v>0.44719455852156048</v>
      </c>
      <c r="N312" s="112">
        <f t="shared" si="267"/>
        <v>0.47199999999999998</v>
      </c>
      <c r="O312" s="112">
        <f t="shared" si="267"/>
        <v>0.18539385899999999</v>
      </c>
      <c r="P312" s="112">
        <f t="shared" si="267"/>
        <v>0.18540647900000001</v>
      </c>
      <c r="Q312" s="112">
        <f t="shared" si="267"/>
        <v>0.185392694</v>
      </c>
      <c r="R312" s="112">
        <f t="shared" si="267"/>
        <v>0.185397645</v>
      </c>
      <c r="S312" s="112">
        <f t="shared" si="267"/>
        <v>0.18540731699999999</v>
      </c>
      <c r="T312" s="138"/>
      <c r="U312" s="112">
        <f>IFERROR(AVERAGE(O312:S312),0)</f>
        <v>0.18539959880000001</v>
      </c>
      <c r="V312" s="112">
        <f>SUM(O312:S312)</f>
        <v>0.92699799400000005</v>
      </c>
    </row>
    <row r="313" spans="3:22" hidden="1" outlineLevel="2" x14ac:dyDescent="0.35">
      <c r="E313" s="8" t="s">
        <v>209</v>
      </c>
      <c r="G313" s="22" t="s">
        <v>34</v>
      </c>
      <c r="J313" s="112">
        <f t="shared" ref="J313:S313" si="268">IF(ISBLANK(J219),J93,J219)</f>
        <v>0</v>
      </c>
      <c r="K313" s="112">
        <f t="shared" si="268"/>
        <v>0</v>
      </c>
      <c r="L313" s="112">
        <f t="shared" si="268"/>
        <v>0</v>
      </c>
      <c r="M313" s="112">
        <f t="shared" si="268"/>
        <v>0</v>
      </c>
      <c r="N313" s="112">
        <f t="shared" si="268"/>
        <v>0</v>
      </c>
      <c r="O313" s="112">
        <f t="shared" si="268"/>
        <v>0</v>
      </c>
      <c r="P313" s="112">
        <f t="shared" si="268"/>
        <v>0</v>
      </c>
      <c r="Q313" s="112">
        <f t="shared" si="268"/>
        <v>0</v>
      </c>
      <c r="R313" s="112">
        <f t="shared" si="268"/>
        <v>0</v>
      </c>
      <c r="S313" s="112">
        <f t="shared" si="268"/>
        <v>0</v>
      </c>
      <c r="T313" s="138"/>
      <c r="U313" s="112">
        <f>IFERROR(AVERAGE(O313:S313),0)</f>
        <v>0</v>
      </c>
      <c r="V313" s="112">
        <f>SUM(O313:S313)</f>
        <v>0</v>
      </c>
    </row>
    <row r="314" spans="3:22" hidden="1" outlineLevel="2" x14ac:dyDescent="0.35">
      <c r="E314" s="8" t="s">
        <v>99</v>
      </c>
      <c r="G314" s="22" t="s">
        <v>34</v>
      </c>
      <c r="J314" s="134">
        <f t="shared" ref="J314:S314" si="269">SUM(J312:J313)</f>
        <v>0.34353644859813087</v>
      </c>
      <c r="K314" s="134">
        <f t="shared" si="269"/>
        <v>0.37171823204419896</v>
      </c>
      <c r="L314" s="134">
        <f t="shared" si="269"/>
        <v>0.20599999999999999</v>
      </c>
      <c r="M314" s="134">
        <f t="shared" si="269"/>
        <v>0.44719455852156048</v>
      </c>
      <c r="N314" s="134">
        <f t="shared" si="269"/>
        <v>0.47199999999999998</v>
      </c>
      <c r="O314" s="134">
        <f t="shared" si="269"/>
        <v>0.18539385899999999</v>
      </c>
      <c r="P314" s="134">
        <f t="shared" si="269"/>
        <v>0.18540647900000001</v>
      </c>
      <c r="Q314" s="134">
        <f t="shared" si="269"/>
        <v>0.185392694</v>
      </c>
      <c r="R314" s="134">
        <f t="shared" si="269"/>
        <v>0.185397645</v>
      </c>
      <c r="S314" s="134">
        <f t="shared" si="269"/>
        <v>0.18540731699999999</v>
      </c>
      <c r="T314" s="138"/>
      <c r="U314" s="134">
        <f>SUM(U312:U313)</f>
        <v>0.18539959880000001</v>
      </c>
      <c r="V314" s="134">
        <f>SUM(V312:V313)</f>
        <v>0.92699799400000005</v>
      </c>
    </row>
    <row r="315" spans="3:22" hidden="1" outlineLevel="1" x14ac:dyDescent="0.35">
      <c r="J315" s="112"/>
      <c r="K315" s="112"/>
      <c r="L315" s="112"/>
      <c r="M315" s="112"/>
      <c r="N315" s="112"/>
      <c r="O315" s="112"/>
      <c r="P315" s="112"/>
      <c r="Q315" s="112"/>
      <c r="R315" s="112"/>
      <c r="S315" s="112"/>
      <c r="T315" s="138"/>
      <c r="U315" s="112"/>
      <c r="V315" s="112"/>
    </row>
    <row r="316" spans="3:22" hidden="1" outlineLevel="1" collapsed="1" x14ac:dyDescent="0.35">
      <c r="C316" s="24" t="str">
        <f>INDEX(InpC!$E$25:$E$42,G316)</f>
        <v>Industry total</v>
      </c>
      <c r="F316" s="113">
        <f>INDEX(InpC!$F$25:$F$42,G316,)</f>
        <v>0</v>
      </c>
      <c r="G316" s="8">
        <f>G222</f>
        <v>18</v>
      </c>
      <c r="J316" s="112"/>
      <c r="K316" s="112"/>
      <c r="L316" s="112"/>
      <c r="M316" s="112"/>
      <c r="N316" s="112"/>
      <c r="O316" s="112"/>
      <c r="P316" s="112"/>
      <c r="Q316" s="112"/>
      <c r="R316" s="112"/>
      <c r="S316" s="112"/>
      <c r="T316" s="138"/>
      <c r="U316" s="112"/>
      <c r="V316" s="112"/>
    </row>
    <row r="317" spans="3:22" hidden="1" outlineLevel="2" x14ac:dyDescent="0.35">
      <c r="E317" s="8" t="s">
        <v>205</v>
      </c>
      <c r="G317" s="22" t="s">
        <v>34</v>
      </c>
      <c r="J317" s="112">
        <f xml:space="preserve"> SUM(J232,J237,J242,J247,J252,J257,J262,J267,J272,J277,J282,J287,J292,J297,J302,J307,J312)</f>
        <v>37.482578256444675</v>
      </c>
      <c r="K317" s="112">
        <f t="shared" ref="K317:S318" si="270" xml:space="preserve"> SUM(K232,K237,K242,K247,K252,K257,K262,K267,K272,K277,K282,K287,K292,K297,K302,K307,K312)</f>
        <v>39.67745284082438</v>
      </c>
      <c r="L317" s="112">
        <f t="shared" si="270"/>
        <v>46.580470172189095</v>
      </c>
      <c r="M317" s="112">
        <f t="shared" si="270"/>
        <v>39.337334352283577</v>
      </c>
      <c r="N317" s="112">
        <f t="shared" si="270"/>
        <v>48.200613702968781</v>
      </c>
      <c r="O317" s="112">
        <f t="shared" si="270"/>
        <v>47.273511334041672</v>
      </c>
      <c r="P317" s="112">
        <f t="shared" si="270"/>
        <v>47.320677563088047</v>
      </c>
      <c r="Q317" s="112">
        <f t="shared" si="270"/>
        <v>47.352877690696666</v>
      </c>
      <c r="R317" s="112">
        <f t="shared" si="270"/>
        <v>47.39466239451999</v>
      </c>
      <c r="S317" s="112">
        <f t="shared" si="270"/>
        <v>47.438306462728448</v>
      </c>
      <c r="T317" s="138"/>
      <c r="U317" s="112">
        <f>IFERROR(AVERAGE(O317:S317),0)</f>
        <v>47.356007089014966</v>
      </c>
      <c r="V317" s="112">
        <f>SUM(O317:S317)</f>
        <v>236.78003544507482</v>
      </c>
    </row>
    <row r="318" spans="3:22" hidden="1" outlineLevel="2" x14ac:dyDescent="0.35">
      <c r="E318" s="8" t="s">
        <v>209</v>
      </c>
      <c r="G318" s="22" t="s">
        <v>34</v>
      </c>
      <c r="J318" s="112">
        <f xml:space="preserve"> SUM(J233,J238,J243,J248,J253,J258,J263,J268,J273,J278,J283,J288,J293,J298,J303,J308,J313)</f>
        <v>2.6113022668214181</v>
      </c>
      <c r="K318" s="112">
        <f t="shared" si="270"/>
        <v>3.4103460864705135</v>
      </c>
      <c r="L318" s="112">
        <f t="shared" si="270"/>
        <v>1.8699484302206919</v>
      </c>
      <c r="M318" s="112">
        <f t="shared" si="270"/>
        <v>2.1911662346898999</v>
      </c>
      <c r="N318" s="112">
        <f t="shared" si="270"/>
        <v>1.7737750655649152</v>
      </c>
      <c r="O318" s="112">
        <f t="shared" si="270"/>
        <v>1.6488613141773145</v>
      </c>
      <c r="P318" s="112">
        <f t="shared" si="270"/>
        <v>1.6481811625175098</v>
      </c>
      <c r="Q318" s="112">
        <f t="shared" si="270"/>
        <v>1.6495090503882404</v>
      </c>
      <c r="R318" s="112">
        <f t="shared" si="270"/>
        <v>1.6381450207921016</v>
      </c>
      <c r="S318" s="112">
        <f t="shared" si="270"/>
        <v>1.6394891284596675</v>
      </c>
      <c r="T318" s="138"/>
      <c r="U318" s="112">
        <f>IFERROR(AVERAGE(O318:S318),0)</f>
        <v>1.6448371352669668</v>
      </c>
      <c r="V318" s="112">
        <f>SUM(O318:S318)</f>
        <v>8.2241856763348338</v>
      </c>
    </row>
    <row r="319" spans="3:22" hidden="1" outlineLevel="2" x14ac:dyDescent="0.35">
      <c r="E319" s="8" t="s">
        <v>99</v>
      </c>
      <c r="G319" s="22" t="s">
        <v>34</v>
      </c>
      <c r="J319" s="134">
        <f t="shared" ref="J319:S319" si="271">SUM(J317:J318)</f>
        <v>40.093880523266094</v>
      </c>
      <c r="K319" s="134">
        <f t="shared" si="271"/>
        <v>43.087798927294891</v>
      </c>
      <c r="L319" s="134">
        <f t="shared" si="271"/>
        <v>48.450418602409783</v>
      </c>
      <c r="M319" s="134">
        <f t="shared" si="271"/>
        <v>41.528500586973479</v>
      </c>
      <c r="N319" s="134">
        <f t="shared" si="271"/>
        <v>49.974388768533693</v>
      </c>
      <c r="O319" s="134">
        <f t="shared" si="271"/>
        <v>48.922372648218989</v>
      </c>
      <c r="P319" s="134">
        <f t="shared" si="271"/>
        <v>48.968858725605557</v>
      </c>
      <c r="Q319" s="134">
        <f t="shared" si="271"/>
        <v>49.002386741084905</v>
      </c>
      <c r="R319" s="134">
        <f t="shared" si="271"/>
        <v>49.032807415312092</v>
      </c>
      <c r="S319" s="134">
        <f t="shared" si="271"/>
        <v>49.077795591188114</v>
      </c>
      <c r="T319" s="138"/>
      <c r="U319" s="134">
        <f>SUM(U317:U318)</f>
        <v>49.000844224281934</v>
      </c>
      <c r="V319" s="134">
        <f>SUM(V317:V318)</f>
        <v>245.00422112140964</v>
      </c>
    </row>
    <row r="320" spans="3:22" hidden="1" outlineLevel="1" x14ac:dyDescent="0.35">
      <c r="J320" s="112"/>
      <c r="K320" s="112"/>
      <c r="L320" s="112"/>
      <c r="M320" s="112"/>
      <c r="N320" s="112"/>
      <c r="O320" s="112"/>
      <c r="P320" s="112"/>
      <c r="Q320" s="112"/>
      <c r="R320" s="112"/>
      <c r="S320" s="112"/>
      <c r="T320" s="138"/>
      <c r="U320" s="112"/>
      <c r="V320" s="112"/>
    </row>
    <row r="321" spans="10:22" x14ac:dyDescent="0.35">
      <c r="J321" s="112"/>
      <c r="K321" s="112"/>
      <c r="L321" s="112"/>
      <c r="M321" s="112"/>
      <c r="N321" s="112"/>
      <c r="O321" s="112"/>
      <c r="P321" s="112"/>
      <c r="Q321" s="112"/>
      <c r="R321" s="112"/>
      <c r="S321" s="112"/>
      <c r="T321" s="138"/>
      <c r="U321" s="112"/>
      <c r="V321" s="112"/>
    </row>
  </sheetData>
  <mergeCells count="41">
    <mergeCell ref="AB232:AB233"/>
    <mergeCell ref="X102:X103"/>
    <mergeCell ref="Y102:Y103"/>
    <mergeCell ref="Z102:Z103"/>
    <mergeCell ref="AA102:AA103"/>
    <mergeCell ref="AB102:AB103"/>
    <mergeCell ref="X232:X233"/>
    <mergeCell ref="Y232:Y233"/>
    <mergeCell ref="Z232:Z233"/>
    <mergeCell ref="AA232:AA233"/>
    <mergeCell ref="AB97:AB98"/>
    <mergeCell ref="X97:X98"/>
    <mergeCell ref="Y97:Y98"/>
    <mergeCell ref="AB77:AB78"/>
    <mergeCell ref="X87:X88"/>
    <mergeCell ref="Y87:Y88"/>
    <mergeCell ref="AB87:AB88"/>
    <mergeCell ref="X77:X78"/>
    <mergeCell ref="Y77:Y78"/>
    <mergeCell ref="X67:X68"/>
    <mergeCell ref="Y67:Y68"/>
    <mergeCell ref="AB67:AB68"/>
    <mergeCell ref="X57:X58"/>
    <mergeCell ref="Y57:Y58"/>
    <mergeCell ref="AB57:AB58"/>
    <mergeCell ref="X47:X48"/>
    <mergeCell ref="Y47:Y48"/>
    <mergeCell ref="AB47:AB48"/>
    <mergeCell ref="X37:X38"/>
    <mergeCell ref="Y37:Y38"/>
    <mergeCell ref="AB37:AB38"/>
    <mergeCell ref="X27:X28"/>
    <mergeCell ref="Y27:Y28"/>
    <mergeCell ref="AB27:AB28"/>
    <mergeCell ref="X17:X18"/>
    <mergeCell ref="Y17:Y18"/>
    <mergeCell ref="X3:X4"/>
    <mergeCell ref="Y3:Y4"/>
    <mergeCell ref="Z3:Z4"/>
    <mergeCell ref="AA3:AA4"/>
    <mergeCell ref="AB17:AB18"/>
  </mergeCells>
  <conditionalFormatting sqref="H2">
    <cfRule type="cellIs" dxfId="99" priority="7" stopIfTrue="1" operator="notEqual">
      <formula>0</formula>
    </cfRule>
    <cfRule type="cellIs" dxfId="98" priority="8" stopIfTrue="1" operator="equal">
      <formula>""</formula>
    </cfRule>
    <cfRule type="cellIs" dxfId="97" priority="9" stopIfTrue="1" operator="notEqual">
      <formula>0</formula>
    </cfRule>
    <cfRule type="cellIs" dxfId="96" priority="10" stopIfTrue="1" operator="equal">
      <formula>""</formula>
    </cfRule>
  </conditionalFormatting>
  <conditionalFormatting sqref="J3:S3">
    <cfRule type="cellIs" dxfId="95" priority="6" stopIfTrue="1" operator="equal">
      <formula>"Operations"</formula>
    </cfRule>
    <cfRule type="cellIs" dxfId="94" priority="2" operator="equal">
      <formula>"PPA ext."</formula>
    </cfRule>
    <cfRule type="cellIs" dxfId="93" priority="3" operator="equal">
      <formula>"Delay"</formula>
    </cfRule>
    <cfRule type="cellIs" dxfId="92" priority="4" operator="equal">
      <formula>"Fin Close"</formula>
    </cfRule>
    <cfRule type="cellIs" dxfId="91" priority="5" stopIfTrue="1" operator="equal">
      <formula>"Construction"</formula>
    </cfRule>
  </conditionalFormatting>
  <conditionalFormatting sqref="J232:S233">
    <cfRule type="expression" dxfId="90" priority="27">
      <formula>(J232&lt;&gt;J12)</formula>
    </cfRule>
  </conditionalFormatting>
  <conditionalFormatting sqref="J237:S238">
    <cfRule type="expression" dxfId="89" priority="1">
      <formula>(J237&lt;&gt;J17)</formula>
    </cfRule>
  </conditionalFormatting>
  <conditionalFormatting sqref="J242:S243">
    <cfRule type="expression" dxfId="88" priority="47">
      <formula>(J242&lt;&gt;J22)</formula>
    </cfRule>
  </conditionalFormatting>
  <conditionalFormatting sqref="J247:S248">
    <cfRule type="expression" dxfId="87" priority="46">
      <formula>(J247&lt;&gt;J27)</formula>
    </cfRule>
  </conditionalFormatting>
  <conditionalFormatting sqref="J252:S253">
    <cfRule type="expression" dxfId="86" priority="45">
      <formula>(J252&lt;&gt;J32)</formula>
    </cfRule>
  </conditionalFormatting>
  <conditionalFormatting sqref="J257:S258">
    <cfRule type="expression" dxfId="85" priority="44">
      <formula>(J257&lt;&gt;J37)</formula>
    </cfRule>
  </conditionalFormatting>
  <conditionalFormatting sqref="J262:S263">
    <cfRule type="expression" dxfId="84" priority="43">
      <formula>(J262&lt;&gt;J42)</formula>
    </cfRule>
  </conditionalFormatting>
  <conditionalFormatting sqref="J267:S268">
    <cfRule type="expression" dxfId="83" priority="42">
      <formula>(J267&lt;&gt;J47)</formula>
    </cfRule>
  </conditionalFormatting>
  <conditionalFormatting sqref="J272:S273">
    <cfRule type="expression" dxfId="82" priority="41">
      <formula>(J272&lt;&gt;J52)</formula>
    </cfRule>
  </conditionalFormatting>
  <conditionalFormatting sqref="J277:S278">
    <cfRule type="expression" dxfId="81" priority="40">
      <formula>(J277&lt;&gt;J57)</formula>
    </cfRule>
  </conditionalFormatting>
  <conditionalFormatting sqref="J282:S283">
    <cfRule type="expression" dxfId="80" priority="39">
      <formula>(J282&lt;&gt;J62)</formula>
    </cfRule>
  </conditionalFormatting>
  <conditionalFormatting sqref="J287:S288">
    <cfRule type="expression" dxfId="79" priority="38">
      <formula>(J287&lt;&gt;J67)</formula>
    </cfRule>
  </conditionalFormatting>
  <conditionalFormatting sqref="J292:S293">
    <cfRule type="expression" dxfId="78" priority="37">
      <formula>(J292&lt;&gt;J72)</formula>
    </cfRule>
  </conditionalFormatting>
  <conditionalFormatting sqref="J297:S298">
    <cfRule type="expression" dxfId="77" priority="36">
      <formula>(J297&lt;&gt;J77)</formula>
    </cfRule>
  </conditionalFormatting>
  <conditionalFormatting sqref="J302:S303">
    <cfRule type="expression" dxfId="76" priority="35">
      <formula>(J302&lt;&gt;J82)</formula>
    </cfRule>
  </conditionalFormatting>
  <conditionalFormatting sqref="J307:S308">
    <cfRule type="expression" dxfId="75" priority="34">
      <formula>(J307&lt;&gt;J87)</formula>
    </cfRule>
  </conditionalFormatting>
  <conditionalFormatting sqref="J312:S313">
    <cfRule type="expression" dxfId="74" priority="33">
      <formula>(J312&lt;&gt;J92)</formula>
    </cfRule>
  </conditionalFormatting>
  <conditionalFormatting sqref="J317:S318">
    <cfRule type="expression" dxfId="73" priority="32">
      <formula>(J317&lt;&gt;J97)</formula>
    </cfRule>
  </conditionalFormatting>
  <conditionalFormatting sqref="U3:V3">
    <cfRule type="cellIs" dxfId="72" priority="24" operator="equal">
      <formula>"Fin Close"</formula>
    </cfRule>
    <cfRule type="cellIs" dxfId="71" priority="25" stopIfTrue="1" operator="equal">
      <formula>"Construction"</formula>
    </cfRule>
    <cfRule type="cellIs" dxfId="70" priority="26" stopIfTrue="1" operator="equal">
      <formula>"Operations"</formula>
    </cfRule>
    <cfRule type="cellIs" dxfId="69" priority="22" operator="equal">
      <formula>"PPA ext."</formula>
    </cfRule>
    <cfRule type="cellIs" dxfId="68" priority="23" operator="equal">
      <formula>"Delay"</formula>
    </cfRule>
  </conditionalFormatting>
  <conditionalFormatting sqref="AD3:AI3">
    <cfRule type="cellIs" dxfId="67" priority="12" operator="equal">
      <formula>"PPA ext."</formula>
    </cfRule>
    <cfRule type="cellIs" dxfId="66" priority="13" operator="equal">
      <formula>"Delay"</formula>
    </cfRule>
    <cfRule type="cellIs" dxfId="65" priority="14" operator="equal">
      <formula>"Fin Close"</formula>
    </cfRule>
    <cfRule type="cellIs" dxfId="64" priority="15" stopIfTrue="1" operator="equal">
      <formula>"Construction"</formula>
    </cfRule>
    <cfRule type="cellIs" dxfId="63" priority="16" stopIfTrue="1" operator="equal">
      <formula>"Operations"</formula>
    </cfRule>
  </conditionalFormatting>
  <conditionalFormatting sqref="AK3:AP3">
    <cfRule type="cellIs" dxfId="62" priority="18" operator="equal">
      <formula>"Delay"</formula>
    </cfRule>
    <cfRule type="cellIs" dxfId="61" priority="21" stopIfTrue="1" operator="equal">
      <formula>"Operations"</formula>
    </cfRule>
    <cfRule type="cellIs" dxfId="60" priority="20" stopIfTrue="1" operator="equal">
      <formula>"Construction"</formula>
    </cfRule>
    <cfRule type="cellIs" dxfId="59" priority="19" operator="equal">
      <formula>"Fin Close"</formula>
    </cfRule>
    <cfRule type="cellIs" dxfId="58" priority="17" operator="equal">
      <formula>"PPA ext."</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8E3D1-9C47-4A6A-8AAF-150567D4967A}">
  <sheetPr>
    <tabColor rgb="FFCCCCCE"/>
    <outlinePr summaryBelow="0" summaryRight="0"/>
  </sheetPr>
  <dimension ref="A1:AB321"/>
  <sheetViews>
    <sheetView showGridLines="0" zoomScale="80" zoomScaleNormal="80" workbookViewId="0"/>
  </sheetViews>
  <sheetFormatPr defaultColWidth="11.73046875" defaultRowHeight="13.15" outlineLevelRow="2" x14ac:dyDescent="0.35"/>
  <cols>
    <col min="1" max="2" width="1.265625" style="11" customWidth="1"/>
    <col min="3" max="3" width="1.265625" style="24" customWidth="1"/>
    <col min="4" max="4" width="1.265625" style="35" customWidth="1"/>
    <col min="5" max="5" width="44.73046875" style="8" customWidth="1"/>
    <col min="6" max="6" width="16.59765625" style="10" customWidth="1"/>
    <col min="7" max="7" width="11.73046875" style="22" customWidth="1"/>
    <col min="8" max="8" width="11.73046875" style="10" customWidth="1"/>
    <col min="9" max="9" width="2.73046875" style="8" customWidth="1"/>
    <col min="10" max="19" width="14.265625" style="10" customWidth="1"/>
    <col min="20" max="20" width="11.73046875" customWidth="1"/>
    <col min="21" max="22" width="14.265625" style="10" customWidth="1"/>
    <col min="24" max="24" width="58.3984375" customWidth="1"/>
    <col min="25" max="25" width="49.1328125" customWidth="1"/>
    <col min="26" max="26" width="57" style="190" bestFit="1" customWidth="1"/>
    <col min="27" max="28" width="42.86328125" customWidth="1"/>
  </cols>
  <sheetData>
    <row r="1" spans="1:28" ht="25.15" x14ac:dyDescent="0.35">
      <c r="A1" s="19" t="str">
        <f ca="1">RIGHT(CELL("filename", A1), LEN(CELL("filename", A1)) - SEARCH("]", CELL("filename", A1)))</f>
        <v>Analysis (LRS)</v>
      </c>
    </row>
    <row r="2" spans="1:28" x14ac:dyDescent="0.35">
      <c r="A2" s="38"/>
      <c r="B2" s="38"/>
      <c r="C2" s="135"/>
      <c r="D2" s="40"/>
      <c r="E2" s="178" t="str">
        <f>Time!E2</f>
        <v>Model period ending</v>
      </c>
      <c r="F2" s="17"/>
      <c r="G2" s="140" t="s">
        <v>171</v>
      </c>
      <c r="H2" s="141" t="e">
        <f>#REF!</f>
        <v>#REF!</v>
      </c>
      <c r="I2" s="18"/>
      <c r="J2" s="74">
        <f>Time!J2</f>
        <v>44286</v>
      </c>
      <c r="K2" s="74">
        <f>Time!K2</f>
        <v>44651</v>
      </c>
      <c r="L2" s="74">
        <f>Time!L2</f>
        <v>45016</v>
      </c>
      <c r="M2" s="74">
        <f>Time!M2</f>
        <v>45382</v>
      </c>
      <c r="N2" s="74">
        <f>Time!N2</f>
        <v>45747</v>
      </c>
      <c r="O2" s="74">
        <f>Time!O2</f>
        <v>46112</v>
      </c>
      <c r="P2" s="74">
        <f>Time!P2</f>
        <v>46477</v>
      </c>
      <c r="Q2" s="74">
        <f>Time!Q2</f>
        <v>46843</v>
      </c>
      <c r="R2" s="74">
        <f>Time!R2</f>
        <v>47208</v>
      </c>
      <c r="S2" s="74">
        <f>Time!S2</f>
        <v>47573</v>
      </c>
      <c r="U2" s="74"/>
      <c r="V2" s="74"/>
    </row>
    <row r="3" spans="1:28" ht="14.25" x14ac:dyDescent="0.45">
      <c r="E3" s="178" t="str">
        <f>Time!E3</f>
        <v>Timeline label</v>
      </c>
      <c r="G3" s="10"/>
      <c r="J3" s="27" t="str">
        <f>Time!J3</f>
        <v>APR</v>
      </c>
      <c r="K3" s="27" t="str">
        <f>Time!K3</f>
        <v>APR</v>
      </c>
      <c r="L3" s="27" t="str">
        <f>Time!L3</f>
        <v>APR</v>
      </c>
      <c r="M3" s="27" t="str">
        <f>Time!M3</f>
        <v>PR24</v>
      </c>
      <c r="N3" s="27" t="str">
        <f>Time!N3</f>
        <v>PR24</v>
      </c>
      <c r="O3" s="27" t="str">
        <f>Time!O3</f>
        <v>PR24</v>
      </c>
      <c r="P3" s="27" t="str">
        <f>Time!P3</f>
        <v>PR24</v>
      </c>
      <c r="Q3" s="27" t="str">
        <f>Time!Q3</f>
        <v>PR24</v>
      </c>
      <c r="R3" s="27" t="str">
        <f>Time!R3</f>
        <v>PR24</v>
      </c>
      <c r="S3" s="27" t="str">
        <f>Time!S3</f>
        <v>PR24</v>
      </c>
      <c r="U3" s="27" t="s">
        <v>198</v>
      </c>
      <c r="V3" s="27" t="s">
        <v>173</v>
      </c>
      <c r="X3" s="237" t="s">
        <v>199</v>
      </c>
      <c r="Y3" s="237" t="s">
        <v>200</v>
      </c>
      <c r="Z3" s="255" t="s">
        <v>201</v>
      </c>
      <c r="AA3" s="239" t="s">
        <v>202</v>
      </c>
      <c r="AB3" s="136"/>
    </row>
    <row r="4" spans="1:28" ht="14.25" x14ac:dyDescent="0.45">
      <c r="E4" s="178" t="str">
        <f>Time!E4</f>
        <v>Model column counter</v>
      </c>
      <c r="F4" s="25" t="s">
        <v>98</v>
      </c>
      <c r="G4" s="26" t="s">
        <v>15</v>
      </c>
      <c r="H4" s="25" t="s">
        <v>99</v>
      </c>
      <c r="J4" s="10">
        <f>Time!J4</f>
        <v>1</v>
      </c>
      <c r="K4" s="10">
        <f>Time!K4</f>
        <v>2</v>
      </c>
      <c r="L4" s="10">
        <f>Time!L4</f>
        <v>3</v>
      </c>
      <c r="M4" s="10">
        <f>Time!M4</f>
        <v>4</v>
      </c>
      <c r="N4" s="10">
        <f>Time!N4</f>
        <v>5</v>
      </c>
      <c r="O4" s="10">
        <f>Time!O4</f>
        <v>6</v>
      </c>
      <c r="P4" s="10">
        <f>Time!P4</f>
        <v>7</v>
      </c>
      <c r="Q4" s="10">
        <f>Time!Q4</f>
        <v>8</v>
      </c>
      <c r="R4" s="10">
        <f>Time!R4</f>
        <v>9</v>
      </c>
      <c r="S4" s="10">
        <f>Time!S4</f>
        <v>10</v>
      </c>
      <c r="X4" s="237"/>
      <c r="Y4" s="237"/>
      <c r="Z4" s="255"/>
      <c r="AA4" s="240"/>
      <c r="AB4" s="137" t="s">
        <v>203</v>
      </c>
    </row>
    <row r="5" spans="1:28" ht="25.5" x14ac:dyDescent="0.35">
      <c r="J5" s="132" t="str">
        <f>'Consolidated Input'!F2</f>
        <v>Cyclical</v>
      </c>
      <c r="K5" s="132" t="str">
        <f>'Consolidated Input'!G2</f>
        <v>Cyclical</v>
      </c>
      <c r="L5" s="132" t="str">
        <f>'Consolidated Input'!H2</f>
        <v>Cyclical</v>
      </c>
      <c r="M5" s="132" t="str">
        <f>'Consolidated Input'!P2</f>
        <v>Price Review 2024</v>
      </c>
      <c r="N5" s="132" t="str">
        <f>'Consolidated Input'!Q2</f>
        <v>Price Review 2024</v>
      </c>
      <c r="O5" s="132" t="str">
        <f>'Consolidated Input'!R2</f>
        <v>Price Review 2024</v>
      </c>
      <c r="P5" s="132" t="str">
        <f>'Consolidated Input'!S2</f>
        <v>Price Review 2024</v>
      </c>
      <c r="Q5" s="132" t="str">
        <f>'Consolidated Input'!T2</f>
        <v>Price Review 2024</v>
      </c>
      <c r="R5" s="132" t="str">
        <f>'Consolidated Input'!U2</f>
        <v>Price Review 2024</v>
      </c>
      <c r="S5" s="132" t="str">
        <f>'Consolidated Input'!V2</f>
        <v>Price Review 2024</v>
      </c>
      <c r="U5" s="132"/>
      <c r="V5" s="132"/>
    </row>
    <row r="6" spans="1:28" ht="38.25" x14ac:dyDescent="0.35">
      <c r="J6" s="132" t="str">
        <f>'Consolidated Input'!F3</f>
        <v>Default for Cyclical base run</v>
      </c>
      <c r="K6" s="132" t="str">
        <f>'Consolidated Input'!G3</f>
        <v>Default for Cyclical base run</v>
      </c>
      <c r="L6" s="132" t="str">
        <f>'Consolidated Input'!H3</f>
        <v>Default for Cyclical base run</v>
      </c>
      <c r="M6" s="132" t="str">
        <f>'Consolidated Input'!P3</f>
        <v>Default for Price Review 2024 base run</v>
      </c>
      <c r="N6" s="132" t="str">
        <f>'Consolidated Input'!Q3</f>
        <v>Default for Price Review 2024 base run</v>
      </c>
      <c r="O6" s="132" t="str">
        <f>'Consolidated Input'!R3</f>
        <v>Default for Price Review 2024 base run</v>
      </c>
      <c r="P6" s="132" t="str">
        <f>'Consolidated Input'!S3</f>
        <v>Default for Price Review 2024 base run</v>
      </c>
      <c r="Q6" s="132" t="str">
        <f>'Consolidated Input'!T3</f>
        <v>Default for Price Review 2024 base run</v>
      </c>
      <c r="R6" s="132" t="str">
        <f>'Consolidated Input'!U3</f>
        <v>Default for Price Review 2024 base run</v>
      </c>
      <c r="S6" s="132" t="str">
        <f>'Consolidated Input'!V3</f>
        <v>Default for Price Review 2024 base run</v>
      </c>
      <c r="U6" s="132"/>
      <c r="V6" s="132"/>
    </row>
    <row r="7" spans="1:28" x14ac:dyDescent="0.35">
      <c r="J7" s="132" t="str">
        <f>'Consolidated Input'!F4</f>
        <v>Latest</v>
      </c>
      <c r="K7" s="132" t="str">
        <f>'Consolidated Input'!G4</f>
        <v>Latest</v>
      </c>
      <c r="L7" s="132" t="str">
        <f>'Consolidated Input'!H4</f>
        <v>Latest</v>
      </c>
      <c r="M7" s="132" t="str">
        <f>'Consolidated Input'!P4</f>
        <v>Latest</v>
      </c>
      <c r="N7" s="132" t="str">
        <f>'Consolidated Input'!Q4</f>
        <v>Latest</v>
      </c>
      <c r="O7" s="132" t="str">
        <f>'Consolidated Input'!R4</f>
        <v>Latest</v>
      </c>
      <c r="P7" s="132" t="str">
        <f>'Consolidated Input'!S4</f>
        <v>Latest</v>
      </c>
      <c r="Q7" s="132" t="str">
        <f>'Consolidated Input'!T4</f>
        <v>Latest</v>
      </c>
      <c r="R7" s="132" t="str">
        <f>'Consolidated Input'!U4</f>
        <v>Latest</v>
      </c>
      <c r="S7" s="132" t="str">
        <f>'Consolidated Input'!V4</f>
        <v>Latest</v>
      </c>
      <c r="U7" s="132"/>
      <c r="V7" s="132"/>
    </row>
    <row r="9" spans="1:28" collapsed="1" x14ac:dyDescent="0.35">
      <c r="A9" s="11" t="s">
        <v>223</v>
      </c>
    </row>
    <row r="10" spans="1:28" hidden="1" outlineLevel="1" x14ac:dyDescent="0.35"/>
    <row r="11" spans="1:28" hidden="1" outlineLevel="1" collapsed="1" x14ac:dyDescent="0.35">
      <c r="C11" s="24" t="str">
        <f>INDEX(InpC!$E$25:$E$42,G11)</f>
        <v>Anglian Water</v>
      </c>
      <c r="F11" s="113" t="str">
        <f>INDEX(InpC!$F$25:$F$42,G11,)</f>
        <v>ANH</v>
      </c>
      <c r="G11" s="131">
        <v>1</v>
      </c>
    </row>
    <row r="12" spans="1:28" hidden="1" outlineLevel="2" x14ac:dyDescent="0.35">
      <c r="E12" s="8" t="s">
        <v>224</v>
      </c>
      <c r="G12" s="22" t="s">
        <v>34</v>
      </c>
      <c r="J12" s="112">
        <f>INDEX('Lane Rental Schemes'!J$71:J$88,'Analysis (LRS)'!$G11,)</f>
        <v>0</v>
      </c>
      <c r="K12" s="112">
        <f>INDEX('Lane Rental Schemes'!K$71:K$88,'Analysis (LRS)'!$G11,)</f>
        <v>0</v>
      </c>
      <c r="L12" s="112">
        <f>INDEX('Lane Rental Schemes'!L$71:L$88,'Analysis (LRS)'!$G11,)</f>
        <v>0</v>
      </c>
      <c r="M12" s="112">
        <f>INDEX('Lane Rental Schemes'!M$71:M$88,'Analysis (LRS)'!$G11,)</f>
        <v>0</v>
      </c>
      <c r="N12" s="112">
        <f>INDEX('Lane Rental Schemes'!N$71:N$88,'Analysis (LRS)'!$G11,)</f>
        <v>0</v>
      </c>
      <c r="O12" s="112">
        <f>INDEX('Lane Rental Schemes'!O$71:O$88,'Analysis (LRS)'!$G11,)</f>
        <v>0</v>
      </c>
      <c r="P12" s="112">
        <f>INDEX('Lane Rental Schemes'!P$71:P$88,'Analysis (LRS)'!$G11,)</f>
        <v>0</v>
      </c>
      <c r="Q12" s="112">
        <f>INDEX('Lane Rental Schemes'!Q$71:Q$88,'Analysis (LRS)'!$G11,)</f>
        <v>0</v>
      </c>
      <c r="R12" s="112">
        <f>INDEX('Lane Rental Schemes'!R$71:R$88,'Analysis (LRS)'!$G11,)</f>
        <v>0</v>
      </c>
      <c r="S12" s="112">
        <f>INDEX('Lane Rental Schemes'!S$71:S$88,'Analysis (LRS)'!$G11,)</f>
        <v>0</v>
      </c>
      <c r="T12" s="138"/>
      <c r="U12" s="112">
        <f>IFERROR(AVERAGE(O12:S12),0)</f>
        <v>0</v>
      </c>
      <c r="V12" s="112">
        <f>SUM(O12:S12)</f>
        <v>0</v>
      </c>
      <c r="X12" s="146" t="s">
        <v>206</v>
      </c>
      <c r="Y12" s="146" t="s">
        <v>206</v>
      </c>
      <c r="Z12" s="191" t="s">
        <v>206</v>
      </c>
      <c r="AA12" s="175" t="s">
        <v>206</v>
      </c>
      <c r="AB12" s="146" t="s">
        <v>206</v>
      </c>
    </row>
    <row r="13" spans="1:28" ht="13.5" hidden="1" outlineLevel="2" thickBot="1" x14ac:dyDescent="0.4">
      <c r="E13" s="8" t="s">
        <v>225</v>
      </c>
      <c r="G13" s="22" t="s">
        <v>34</v>
      </c>
      <c r="J13" s="112">
        <f>INDEX('Lane Rental Schemes'!J$149:J$166,'Analysis (LRS)'!$G11,)</f>
        <v>0</v>
      </c>
      <c r="K13" s="112">
        <f>INDEX('Lane Rental Schemes'!K$149:K$166,'Analysis (LRS)'!$G11,)</f>
        <v>0</v>
      </c>
      <c r="L13" s="112">
        <f>INDEX('Lane Rental Schemes'!L$149:L$166,'Analysis (LRS)'!$G11,)</f>
        <v>0</v>
      </c>
      <c r="M13" s="112">
        <f>INDEX('Lane Rental Schemes'!M$149:M$166,'Analysis (LRS)'!$G11,)</f>
        <v>0</v>
      </c>
      <c r="N13" s="112">
        <f>INDEX('Lane Rental Schemes'!N$149:N$166,'Analysis (LRS)'!$G11,)</f>
        <v>0</v>
      </c>
      <c r="O13" s="112">
        <f>INDEX('Lane Rental Schemes'!O$149:O$166,'Analysis (LRS)'!$G11,)</f>
        <v>0</v>
      </c>
      <c r="P13" s="112">
        <f>INDEX('Lane Rental Schemes'!P$149:P$166,'Analysis (LRS)'!$G11,)</f>
        <v>0</v>
      </c>
      <c r="Q13" s="112">
        <f>INDEX('Lane Rental Schemes'!Q$149:Q$166,'Analysis (LRS)'!$G11,)</f>
        <v>0</v>
      </c>
      <c r="R13" s="112">
        <f>INDEX('Lane Rental Schemes'!R$149:R$166,'Analysis (LRS)'!$G11,)</f>
        <v>0</v>
      </c>
      <c r="S13" s="112">
        <f>INDEX('Lane Rental Schemes'!S$149:S$166,'Analysis (LRS)'!$G11,)</f>
        <v>0</v>
      </c>
      <c r="T13" s="138"/>
      <c r="U13" s="112">
        <f>IFERROR(AVERAGE(O13:S13),0)</f>
        <v>0</v>
      </c>
      <c r="V13" s="112">
        <f>SUM(O13:S13)</f>
        <v>0</v>
      </c>
      <c r="X13" s="147"/>
      <c r="Y13" s="147"/>
      <c r="Z13" s="189"/>
      <c r="AA13" s="176"/>
      <c r="AB13" s="147"/>
    </row>
    <row r="14" spans="1:28" hidden="1" outlineLevel="2" x14ac:dyDescent="0.35">
      <c r="E14" s="8" t="s">
        <v>99</v>
      </c>
      <c r="G14" s="22" t="s">
        <v>34</v>
      </c>
      <c r="J14" s="134">
        <f t="shared" ref="J14:S14" si="0">SUM(J12:J13)</f>
        <v>0</v>
      </c>
      <c r="K14" s="134">
        <f t="shared" si="0"/>
        <v>0</v>
      </c>
      <c r="L14" s="134">
        <f t="shared" si="0"/>
        <v>0</v>
      </c>
      <c r="M14" s="134">
        <f t="shared" si="0"/>
        <v>0</v>
      </c>
      <c r="N14" s="134">
        <f t="shared" si="0"/>
        <v>0</v>
      </c>
      <c r="O14" s="134">
        <f t="shared" si="0"/>
        <v>0</v>
      </c>
      <c r="P14" s="134">
        <f t="shared" si="0"/>
        <v>0</v>
      </c>
      <c r="Q14" s="134">
        <f t="shared" si="0"/>
        <v>0</v>
      </c>
      <c r="R14" s="134">
        <f t="shared" si="0"/>
        <v>0</v>
      </c>
      <c r="S14" s="134">
        <f t="shared" si="0"/>
        <v>0</v>
      </c>
      <c r="T14" s="138"/>
      <c r="U14" s="134">
        <f>SUM(U12:U13)</f>
        <v>0</v>
      </c>
      <c r="V14" s="134">
        <f>SUM(V12:V13)</f>
        <v>0</v>
      </c>
      <c r="AA14" s="177"/>
    </row>
    <row r="15" spans="1:28" hidden="1" outlineLevel="1" x14ac:dyDescent="0.35">
      <c r="J15" s="112"/>
      <c r="K15" s="112"/>
      <c r="L15" s="112"/>
      <c r="M15" s="112"/>
      <c r="N15" s="112"/>
      <c r="O15" s="112"/>
      <c r="P15" s="112"/>
      <c r="Q15" s="112"/>
      <c r="R15" s="112"/>
      <c r="S15" s="112"/>
      <c r="T15" s="138"/>
      <c r="U15" s="112"/>
      <c r="V15" s="112"/>
      <c r="AA15" s="177"/>
    </row>
    <row r="16" spans="1:28" hidden="1" outlineLevel="1" collapsed="1" x14ac:dyDescent="0.35">
      <c r="C16" s="24" t="str">
        <f>INDEX(InpC!$E$25:$E$42,G16)</f>
        <v>Dŵr Cymru</v>
      </c>
      <c r="F16" s="113" t="str">
        <f>INDEX(InpC!$F$25:$F$42,G16,)</f>
        <v>WSH</v>
      </c>
      <c r="G16" s="131">
        <v>2</v>
      </c>
      <c r="J16" s="112"/>
      <c r="K16" s="112"/>
      <c r="L16" s="112"/>
      <c r="M16" s="112"/>
      <c r="N16" s="112"/>
      <c r="O16" s="112"/>
      <c r="P16" s="112"/>
      <c r="Q16" s="112"/>
      <c r="R16" s="112"/>
      <c r="S16" s="112"/>
      <c r="T16" s="138"/>
      <c r="U16" s="112"/>
      <c r="V16" s="112"/>
      <c r="AA16" s="177"/>
    </row>
    <row r="17" spans="3:28" hidden="1" outlineLevel="2" x14ac:dyDescent="0.35">
      <c r="E17" s="8" t="s">
        <v>224</v>
      </c>
      <c r="G17" s="22" t="s">
        <v>34</v>
      </c>
      <c r="J17" s="112">
        <f>INDEX('Lane Rental Schemes'!J$71:J$88,'Analysis (LRS)'!$G16,)</f>
        <v>0</v>
      </c>
      <c r="K17" s="112">
        <f>INDEX('Lane Rental Schemes'!K$71:K$88,'Analysis (LRS)'!$G16,)</f>
        <v>0</v>
      </c>
      <c r="L17" s="112">
        <f>INDEX('Lane Rental Schemes'!L$71:L$88,'Analysis (LRS)'!$G16,)</f>
        <v>0</v>
      </c>
      <c r="M17" s="112">
        <f>INDEX('Lane Rental Schemes'!M$71:M$88,'Analysis (LRS)'!$G16,)</f>
        <v>0</v>
      </c>
      <c r="N17" s="112">
        <f>INDEX('Lane Rental Schemes'!N$71:N$88,'Analysis (LRS)'!$G16,)</f>
        <v>0</v>
      </c>
      <c r="O17" s="112">
        <f>INDEX('Lane Rental Schemes'!O$71:O$88,'Analysis (LRS)'!$G16,)</f>
        <v>0</v>
      </c>
      <c r="P17" s="112">
        <f>INDEX('Lane Rental Schemes'!P$71:P$88,'Analysis (LRS)'!$G16,)</f>
        <v>0</v>
      </c>
      <c r="Q17" s="112">
        <f>INDEX('Lane Rental Schemes'!Q$71:Q$88,'Analysis (LRS)'!$G16,)</f>
        <v>0</v>
      </c>
      <c r="R17" s="112">
        <f>INDEX('Lane Rental Schemes'!R$71:R$88,'Analysis (LRS)'!$G16,)</f>
        <v>0</v>
      </c>
      <c r="S17" s="112">
        <f>INDEX('Lane Rental Schemes'!S$71:S$88,'Analysis (LRS)'!$G16,)</f>
        <v>0</v>
      </c>
      <c r="T17" s="138"/>
      <c r="U17" s="112">
        <f>IFERROR(AVERAGE(O17:S17),0)</f>
        <v>0</v>
      </c>
      <c r="V17" s="112">
        <f>SUM(O17:S17)</f>
        <v>0</v>
      </c>
      <c r="X17" s="241" t="s">
        <v>206</v>
      </c>
      <c r="Y17" s="241" t="s">
        <v>206</v>
      </c>
      <c r="Z17" s="191" t="s">
        <v>206</v>
      </c>
      <c r="AA17" s="175" t="s">
        <v>206</v>
      </c>
      <c r="AB17" s="241" t="s">
        <v>206</v>
      </c>
    </row>
    <row r="18" spans="3:28" ht="13.5" hidden="1" outlineLevel="2" thickBot="1" x14ac:dyDescent="0.4">
      <c r="E18" s="8" t="s">
        <v>225</v>
      </c>
      <c r="G18" s="22" t="s">
        <v>34</v>
      </c>
      <c r="J18" s="112">
        <f>INDEX('Lane Rental Schemes'!J$149:J$166,'Analysis (LRS)'!$G16,)</f>
        <v>0</v>
      </c>
      <c r="K18" s="112">
        <f>INDEX('Lane Rental Schemes'!K$149:K$166,'Analysis (LRS)'!$G16,)</f>
        <v>0</v>
      </c>
      <c r="L18" s="112">
        <f>INDEX('Lane Rental Schemes'!L$149:L$166,'Analysis (LRS)'!$G16,)</f>
        <v>0</v>
      </c>
      <c r="M18" s="112">
        <f>INDEX('Lane Rental Schemes'!M$149:M$166,'Analysis (LRS)'!$G16,)</f>
        <v>0</v>
      </c>
      <c r="N18" s="112">
        <f>INDEX('Lane Rental Schemes'!N$149:N$166,'Analysis (LRS)'!$G16,)</f>
        <v>0</v>
      </c>
      <c r="O18" s="112">
        <f>INDEX('Lane Rental Schemes'!O$149:O$166,'Analysis (LRS)'!$G16,)</f>
        <v>0</v>
      </c>
      <c r="P18" s="112">
        <f>INDEX('Lane Rental Schemes'!P$149:P$166,'Analysis (LRS)'!$G16,)</f>
        <v>0</v>
      </c>
      <c r="Q18" s="112">
        <f>INDEX('Lane Rental Schemes'!Q$149:Q$166,'Analysis (LRS)'!$G16,)</f>
        <v>0</v>
      </c>
      <c r="R18" s="112">
        <f>INDEX('Lane Rental Schemes'!R$149:R$166,'Analysis (LRS)'!$G16,)</f>
        <v>0</v>
      </c>
      <c r="S18" s="112">
        <f>INDEX('Lane Rental Schemes'!S$149:S$166,'Analysis (LRS)'!$G16,)</f>
        <v>0</v>
      </c>
      <c r="T18" s="138"/>
      <c r="U18" s="112">
        <f>IFERROR(AVERAGE(O18:S18),0)</f>
        <v>0</v>
      </c>
      <c r="V18" s="112">
        <f>SUM(O18:S18)</f>
        <v>0</v>
      </c>
      <c r="X18" s="242"/>
      <c r="Y18" s="242"/>
      <c r="Z18" s="189"/>
      <c r="AA18" s="176"/>
      <c r="AB18" s="242"/>
    </row>
    <row r="19" spans="3:28" hidden="1" outlineLevel="2" x14ac:dyDescent="0.35">
      <c r="E19" s="8" t="s">
        <v>99</v>
      </c>
      <c r="G19" s="22" t="s">
        <v>34</v>
      </c>
      <c r="J19" s="134">
        <f t="shared" ref="J19:S19" si="1">SUM(J17:J18)</f>
        <v>0</v>
      </c>
      <c r="K19" s="134">
        <f t="shared" si="1"/>
        <v>0</v>
      </c>
      <c r="L19" s="134">
        <f t="shared" si="1"/>
        <v>0</v>
      </c>
      <c r="M19" s="134">
        <f t="shared" si="1"/>
        <v>0</v>
      </c>
      <c r="N19" s="134">
        <f t="shared" si="1"/>
        <v>0</v>
      </c>
      <c r="O19" s="134">
        <f t="shared" si="1"/>
        <v>0</v>
      </c>
      <c r="P19" s="134">
        <f t="shared" si="1"/>
        <v>0</v>
      </c>
      <c r="Q19" s="134">
        <f t="shared" si="1"/>
        <v>0</v>
      </c>
      <c r="R19" s="134">
        <f t="shared" si="1"/>
        <v>0</v>
      </c>
      <c r="S19" s="134">
        <f t="shared" si="1"/>
        <v>0</v>
      </c>
      <c r="T19" s="138"/>
      <c r="U19" s="134">
        <f>SUM(U17:U18)</f>
        <v>0</v>
      </c>
      <c r="V19" s="134">
        <f>SUM(V17:V18)</f>
        <v>0</v>
      </c>
      <c r="AA19" s="177"/>
    </row>
    <row r="20" spans="3:28" hidden="1" outlineLevel="1" x14ac:dyDescent="0.35">
      <c r="J20" s="112"/>
      <c r="K20" s="112"/>
      <c r="L20" s="112"/>
      <c r="M20" s="112"/>
      <c r="N20" s="112"/>
      <c r="O20" s="112"/>
      <c r="P20" s="112"/>
      <c r="Q20" s="112"/>
      <c r="R20" s="112"/>
      <c r="S20" s="112"/>
      <c r="T20" s="138"/>
      <c r="U20" s="112"/>
      <c r="V20" s="112"/>
      <c r="AA20" s="177"/>
    </row>
    <row r="21" spans="3:28" hidden="1" outlineLevel="1" collapsed="1" x14ac:dyDescent="0.35">
      <c r="C21" s="24" t="str">
        <f>INDEX(InpC!$E$25:$E$42,G21)</f>
        <v>Hafren Dyfrdwy</v>
      </c>
      <c r="F21" s="113" t="str">
        <f>INDEX(InpC!$F$25:$F$42,G21,)</f>
        <v>HDD</v>
      </c>
      <c r="G21" s="131">
        <v>3</v>
      </c>
      <c r="J21" s="112"/>
      <c r="K21" s="112"/>
      <c r="L21" s="112"/>
      <c r="M21" s="112"/>
      <c r="N21" s="112"/>
      <c r="O21" s="112"/>
      <c r="P21" s="112"/>
      <c r="Q21" s="112"/>
      <c r="R21" s="112"/>
      <c r="S21" s="112"/>
      <c r="T21" s="138"/>
      <c r="U21" s="112"/>
      <c r="V21" s="112"/>
      <c r="AA21" s="177"/>
    </row>
    <row r="22" spans="3:28" hidden="1" outlineLevel="2" x14ac:dyDescent="0.35">
      <c r="E22" s="8" t="s">
        <v>224</v>
      </c>
      <c r="G22" s="22" t="s">
        <v>34</v>
      </c>
      <c r="J22" s="112">
        <f>INDEX('Lane Rental Schemes'!J$71:J$88,'Analysis (LRS)'!$G21,)</f>
        <v>0</v>
      </c>
      <c r="K22" s="112">
        <f>INDEX('Lane Rental Schemes'!K$71:K$88,'Analysis (LRS)'!$G21,)</f>
        <v>0</v>
      </c>
      <c r="L22" s="112">
        <f>INDEX('Lane Rental Schemes'!L$71:L$88,'Analysis (LRS)'!$G21,)</f>
        <v>0</v>
      </c>
      <c r="M22" s="112">
        <f>INDEX('Lane Rental Schemes'!M$71:M$88,'Analysis (LRS)'!$G21,)</f>
        <v>0</v>
      </c>
      <c r="N22" s="112">
        <f>INDEX('Lane Rental Schemes'!N$71:N$88,'Analysis (LRS)'!$G21,)</f>
        <v>0</v>
      </c>
      <c r="O22" s="112">
        <f>INDEX('Lane Rental Schemes'!O$71:O$88,'Analysis (LRS)'!$G21,)</f>
        <v>0</v>
      </c>
      <c r="P22" s="112">
        <f>INDEX('Lane Rental Schemes'!P$71:P$88,'Analysis (LRS)'!$G21,)</f>
        <v>0</v>
      </c>
      <c r="Q22" s="112">
        <f>INDEX('Lane Rental Schemes'!Q$71:Q$88,'Analysis (LRS)'!$G21,)</f>
        <v>0</v>
      </c>
      <c r="R22" s="112">
        <f>INDEX('Lane Rental Schemes'!R$71:R$88,'Analysis (LRS)'!$G21,)</f>
        <v>0</v>
      </c>
      <c r="S22" s="112">
        <f>INDEX('Lane Rental Schemes'!S$71:S$88,'Analysis (LRS)'!$G21,)</f>
        <v>0</v>
      </c>
      <c r="T22" s="138"/>
      <c r="U22" s="112">
        <f>IFERROR(AVERAGE(O22:S22),0)</f>
        <v>0</v>
      </c>
      <c r="V22" s="112">
        <f>SUM(O22:S22)</f>
        <v>0</v>
      </c>
      <c r="X22" s="146" t="s">
        <v>206</v>
      </c>
      <c r="Y22" s="146" t="s">
        <v>206</v>
      </c>
      <c r="Z22" s="191" t="s">
        <v>206</v>
      </c>
      <c r="AA22" s="175" t="s">
        <v>206</v>
      </c>
      <c r="AB22" s="146" t="s">
        <v>206</v>
      </c>
    </row>
    <row r="23" spans="3:28" ht="13.5" hidden="1" outlineLevel="2" thickBot="1" x14ac:dyDescent="0.4">
      <c r="E23" s="8" t="s">
        <v>225</v>
      </c>
      <c r="G23" s="22" t="s">
        <v>34</v>
      </c>
      <c r="J23" s="112">
        <f>INDEX('Lane Rental Schemes'!J$149:J$166,'Analysis (LRS)'!$G21,)</f>
        <v>0</v>
      </c>
      <c r="K23" s="112">
        <f>INDEX('Lane Rental Schemes'!K$149:K$166,'Analysis (LRS)'!$G21,)</f>
        <v>0</v>
      </c>
      <c r="L23" s="112">
        <f>INDEX('Lane Rental Schemes'!L$149:L$166,'Analysis (LRS)'!$G21,)</f>
        <v>0</v>
      </c>
      <c r="M23" s="112">
        <f>INDEX('Lane Rental Schemes'!M$149:M$166,'Analysis (LRS)'!$G21,)</f>
        <v>0</v>
      </c>
      <c r="N23" s="112">
        <f>INDEX('Lane Rental Schemes'!N$149:N$166,'Analysis (LRS)'!$G21,)</f>
        <v>0</v>
      </c>
      <c r="O23" s="112">
        <f>INDEX('Lane Rental Schemes'!O$149:O$166,'Analysis (LRS)'!$G21,)</f>
        <v>0</v>
      </c>
      <c r="P23" s="112">
        <f>INDEX('Lane Rental Schemes'!P$149:P$166,'Analysis (LRS)'!$G21,)</f>
        <v>0</v>
      </c>
      <c r="Q23" s="112">
        <f>INDEX('Lane Rental Schemes'!Q$149:Q$166,'Analysis (LRS)'!$G21,)</f>
        <v>0</v>
      </c>
      <c r="R23" s="112">
        <f>INDEX('Lane Rental Schemes'!R$149:R$166,'Analysis (LRS)'!$G21,)</f>
        <v>0</v>
      </c>
      <c r="S23" s="112">
        <f>INDEX('Lane Rental Schemes'!S$149:S$166,'Analysis (LRS)'!$G21,)</f>
        <v>0</v>
      </c>
      <c r="T23" s="138"/>
      <c r="U23" s="112">
        <f>IFERROR(AVERAGE(O23:S23),0)</f>
        <v>0</v>
      </c>
      <c r="V23" s="112">
        <f>SUM(O23:S23)</f>
        <v>0</v>
      </c>
      <c r="X23" s="147"/>
      <c r="Y23" s="147"/>
      <c r="Z23" s="189"/>
      <c r="AA23" s="176"/>
      <c r="AB23" s="147"/>
    </row>
    <row r="24" spans="3:28" hidden="1" outlineLevel="2" x14ac:dyDescent="0.35">
      <c r="E24" s="8" t="s">
        <v>99</v>
      </c>
      <c r="G24" s="22" t="s">
        <v>34</v>
      </c>
      <c r="J24" s="134">
        <f t="shared" ref="J24:S24" si="2">SUM(J22:J23)</f>
        <v>0</v>
      </c>
      <c r="K24" s="134">
        <f t="shared" si="2"/>
        <v>0</v>
      </c>
      <c r="L24" s="134">
        <f t="shared" si="2"/>
        <v>0</v>
      </c>
      <c r="M24" s="134">
        <f t="shared" si="2"/>
        <v>0</v>
      </c>
      <c r="N24" s="134">
        <f t="shared" si="2"/>
        <v>0</v>
      </c>
      <c r="O24" s="134">
        <f t="shared" si="2"/>
        <v>0</v>
      </c>
      <c r="P24" s="134">
        <f t="shared" si="2"/>
        <v>0</v>
      </c>
      <c r="Q24" s="134">
        <f t="shared" si="2"/>
        <v>0</v>
      </c>
      <c r="R24" s="134">
        <f t="shared" si="2"/>
        <v>0</v>
      </c>
      <c r="S24" s="134">
        <f t="shared" si="2"/>
        <v>0</v>
      </c>
      <c r="T24" s="138"/>
      <c r="U24" s="134">
        <f>SUM(U22:U23)</f>
        <v>0</v>
      </c>
      <c r="V24" s="134">
        <f>SUM(V22:V23)</f>
        <v>0</v>
      </c>
      <c r="AA24" s="177"/>
    </row>
    <row r="25" spans="3:28" hidden="1" outlineLevel="1" x14ac:dyDescent="0.35">
      <c r="J25" s="112"/>
      <c r="K25" s="112"/>
      <c r="L25" s="112"/>
      <c r="M25" s="112"/>
      <c r="N25" s="112"/>
      <c r="O25" s="112"/>
      <c r="P25" s="112"/>
      <c r="Q25" s="112"/>
      <c r="R25" s="112"/>
      <c r="S25" s="112"/>
      <c r="T25" s="138"/>
      <c r="U25" s="112"/>
      <c r="V25" s="112"/>
      <c r="AA25" s="177"/>
    </row>
    <row r="26" spans="3:28" hidden="1" outlineLevel="1" collapsed="1" x14ac:dyDescent="0.35">
      <c r="C26" s="24" t="str">
        <f>INDEX(InpC!$E$25:$E$42,G26)</f>
        <v>Northumbrian Water</v>
      </c>
      <c r="F26" s="113" t="str">
        <f>INDEX(InpC!$F$25:$F$42,G26,)</f>
        <v>NES</v>
      </c>
      <c r="G26" s="131">
        <v>4</v>
      </c>
      <c r="J26" s="112"/>
      <c r="K26" s="112"/>
      <c r="L26" s="112"/>
      <c r="M26" s="112"/>
      <c r="N26" s="112"/>
      <c r="O26" s="112"/>
      <c r="P26" s="112"/>
      <c r="Q26" s="112"/>
      <c r="R26" s="112"/>
      <c r="S26" s="112"/>
      <c r="T26" s="138"/>
      <c r="U26" s="112"/>
      <c r="V26" s="112"/>
      <c r="AA26" s="177"/>
    </row>
    <row r="27" spans="3:28" hidden="1" outlineLevel="2" x14ac:dyDescent="0.35">
      <c r="E27" s="8" t="s">
        <v>224</v>
      </c>
      <c r="G27" s="22" t="s">
        <v>34</v>
      </c>
      <c r="J27" s="112">
        <f>INDEX('Lane Rental Schemes'!J$71:J$88,'Analysis (LRS)'!$G26,)</f>
        <v>0</v>
      </c>
      <c r="K27" s="112">
        <f>INDEX('Lane Rental Schemes'!K$71:K$88,'Analysis (LRS)'!$G26,)</f>
        <v>0</v>
      </c>
      <c r="L27" s="112">
        <f>INDEX('Lane Rental Schemes'!L$71:L$88,'Analysis (LRS)'!$G26,)</f>
        <v>0</v>
      </c>
      <c r="M27" s="112">
        <f>INDEX('Lane Rental Schemes'!M$71:M$88,'Analysis (LRS)'!$G26,)</f>
        <v>0</v>
      </c>
      <c r="N27" s="112">
        <f>INDEX('Lane Rental Schemes'!N$71:N$88,'Analysis (LRS)'!$G26,)</f>
        <v>0</v>
      </c>
      <c r="O27" s="112">
        <f>INDEX('Lane Rental Schemes'!O$71:O$88,'Analysis (LRS)'!$G26,)</f>
        <v>0</v>
      </c>
      <c r="P27" s="112">
        <f>INDEX('Lane Rental Schemes'!P$71:P$88,'Analysis (LRS)'!$G26,)</f>
        <v>0</v>
      </c>
      <c r="Q27" s="112">
        <f>INDEX('Lane Rental Schemes'!Q$71:Q$88,'Analysis (LRS)'!$G26,)</f>
        <v>0</v>
      </c>
      <c r="R27" s="112">
        <f>INDEX('Lane Rental Schemes'!R$71:R$88,'Analysis (LRS)'!$G26,)</f>
        <v>0</v>
      </c>
      <c r="S27" s="112">
        <f>INDEX('Lane Rental Schemes'!S$71:S$88,'Analysis (LRS)'!$G26,)</f>
        <v>0</v>
      </c>
      <c r="T27" s="138"/>
      <c r="U27" s="112">
        <f>IFERROR(AVERAGE(O27:S27),0)</f>
        <v>0</v>
      </c>
      <c r="V27" s="112">
        <f>SUM(O27:S27)</f>
        <v>0</v>
      </c>
      <c r="X27" s="241" t="s">
        <v>206</v>
      </c>
      <c r="Y27" s="241" t="s">
        <v>206</v>
      </c>
      <c r="Z27" s="191" t="s">
        <v>206</v>
      </c>
      <c r="AA27" s="175" t="s">
        <v>206</v>
      </c>
      <c r="AB27" s="241" t="s">
        <v>206</v>
      </c>
    </row>
    <row r="28" spans="3:28" ht="13.5" hidden="1" outlineLevel="2" thickBot="1" x14ac:dyDescent="0.4">
      <c r="E28" s="8" t="s">
        <v>225</v>
      </c>
      <c r="G28" s="22" t="s">
        <v>34</v>
      </c>
      <c r="J28" s="112">
        <f>INDEX('Lane Rental Schemes'!J$149:J$166,'Analysis (LRS)'!$G26,)</f>
        <v>0</v>
      </c>
      <c r="K28" s="112">
        <f>INDEX('Lane Rental Schemes'!K$149:K$166,'Analysis (LRS)'!$G26,)</f>
        <v>0</v>
      </c>
      <c r="L28" s="112">
        <f>INDEX('Lane Rental Schemes'!L$149:L$166,'Analysis (LRS)'!$G26,)</f>
        <v>0</v>
      </c>
      <c r="M28" s="112">
        <f>INDEX('Lane Rental Schemes'!M$149:M$166,'Analysis (LRS)'!$G26,)</f>
        <v>0</v>
      </c>
      <c r="N28" s="112">
        <f>INDEX('Lane Rental Schemes'!N$149:N$166,'Analysis (LRS)'!$G26,)</f>
        <v>0</v>
      </c>
      <c r="O28" s="112">
        <f>INDEX('Lane Rental Schemes'!O$149:O$166,'Analysis (LRS)'!$G26,)</f>
        <v>0</v>
      </c>
      <c r="P28" s="112">
        <f>INDEX('Lane Rental Schemes'!P$149:P$166,'Analysis (LRS)'!$G26,)</f>
        <v>0</v>
      </c>
      <c r="Q28" s="112">
        <f>INDEX('Lane Rental Schemes'!Q$149:Q$166,'Analysis (LRS)'!$G26,)</f>
        <v>0</v>
      </c>
      <c r="R28" s="112">
        <f>INDEX('Lane Rental Schemes'!R$149:R$166,'Analysis (LRS)'!$G26,)</f>
        <v>0</v>
      </c>
      <c r="S28" s="112">
        <f>INDEX('Lane Rental Schemes'!S$149:S$166,'Analysis (LRS)'!$G26,)</f>
        <v>0</v>
      </c>
      <c r="T28" s="138"/>
      <c r="U28" s="112">
        <f>IFERROR(AVERAGE(O28:S28),0)</f>
        <v>0</v>
      </c>
      <c r="V28" s="112">
        <f>SUM(O28:S28)</f>
        <v>0</v>
      </c>
      <c r="X28" s="242"/>
      <c r="Y28" s="242"/>
      <c r="Z28" s="189"/>
      <c r="AA28" s="176"/>
      <c r="AB28" s="242"/>
    </row>
    <row r="29" spans="3:28" hidden="1" outlineLevel="2" x14ac:dyDescent="0.35">
      <c r="E29" s="8" t="s">
        <v>99</v>
      </c>
      <c r="G29" s="22" t="s">
        <v>34</v>
      </c>
      <c r="J29" s="134">
        <f t="shared" ref="J29:S29" si="3">SUM(J27:J28)</f>
        <v>0</v>
      </c>
      <c r="K29" s="134">
        <f t="shared" si="3"/>
        <v>0</v>
      </c>
      <c r="L29" s="134">
        <f t="shared" si="3"/>
        <v>0</v>
      </c>
      <c r="M29" s="134">
        <f t="shared" si="3"/>
        <v>0</v>
      </c>
      <c r="N29" s="134">
        <f t="shared" si="3"/>
        <v>0</v>
      </c>
      <c r="O29" s="134">
        <f t="shared" si="3"/>
        <v>0</v>
      </c>
      <c r="P29" s="134">
        <f t="shared" si="3"/>
        <v>0</v>
      </c>
      <c r="Q29" s="134">
        <f t="shared" si="3"/>
        <v>0</v>
      </c>
      <c r="R29" s="134">
        <f t="shared" si="3"/>
        <v>0</v>
      </c>
      <c r="S29" s="134">
        <f t="shared" si="3"/>
        <v>0</v>
      </c>
      <c r="T29" s="138"/>
      <c r="U29" s="134">
        <f>SUM(U27:U28)</f>
        <v>0</v>
      </c>
      <c r="V29" s="134">
        <f>SUM(V27:V28)</f>
        <v>0</v>
      </c>
      <c r="AA29" s="177"/>
    </row>
    <row r="30" spans="3:28" hidden="1" outlineLevel="1" x14ac:dyDescent="0.35">
      <c r="J30" s="112"/>
      <c r="K30" s="112"/>
      <c r="L30" s="112"/>
      <c r="M30" s="112"/>
      <c r="N30" s="112"/>
      <c r="O30" s="112"/>
      <c r="P30" s="112"/>
      <c r="Q30" s="112"/>
      <c r="R30" s="112"/>
      <c r="S30" s="112"/>
      <c r="T30" s="138"/>
      <c r="U30" s="112"/>
      <c r="V30" s="112"/>
      <c r="AA30" s="177"/>
    </row>
    <row r="31" spans="3:28" hidden="1" outlineLevel="1" collapsed="1" x14ac:dyDescent="0.35">
      <c r="C31" s="24" t="str">
        <f>INDEX(InpC!$E$25:$E$42,G31)</f>
        <v>Severn Trent Water</v>
      </c>
      <c r="F31" s="113" t="str">
        <f>INDEX(InpC!$F$25:$F$42,G31,)</f>
        <v>SVE</v>
      </c>
      <c r="G31" s="131">
        <v>5</v>
      </c>
      <c r="J31" s="112"/>
      <c r="K31" s="112"/>
      <c r="L31" s="112"/>
      <c r="M31" s="112"/>
      <c r="N31" s="112"/>
      <c r="O31" s="112"/>
      <c r="P31" s="112"/>
      <c r="Q31" s="112"/>
      <c r="R31" s="112"/>
      <c r="S31" s="112"/>
      <c r="T31" s="138"/>
      <c r="U31" s="112"/>
      <c r="V31" s="112"/>
      <c r="AA31" s="177"/>
    </row>
    <row r="32" spans="3:28" hidden="1" outlineLevel="2" x14ac:dyDescent="0.35">
      <c r="E32" s="8" t="s">
        <v>224</v>
      </c>
      <c r="G32" s="22" t="s">
        <v>34</v>
      </c>
      <c r="J32" s="112">
        <f>INDEX('Lane Rental Schemes'!J$71:J$88,'Analysis (LRS)'!$G31,)</f>
        <v>0</v>
      </c>
      <c r="K32" s="112">
        <f>INDEX('Lane Rental Schemes'!K$71:K$88,'Analysis (LRS)'!$G31,)</f>
        <v>0</v>
      </c>
      <c r="L32" s="112">
        <f>INDEX('Lane Rental Schemes'!L$71:L$88,'Analysis (LRS)'!$G31,)</f>
        <v>0</v>
      </c>
      <c r="M32" s="112">
        <f>INDEX('Lane Rental Schemes'!M$71:M$88,'Analysis (LRS)'!$G31,)</f>
        <v>0</v>
      </c>
      <c r="N32" s="112">
        <f>INDEX('Lane Rental Schemes'!N$71:N$88,'Analysis (LRS)'!$G31,)</f>
        <v>0</v>
      </c>
      <c r="O32" s="112">
        <f>INDEX('Lane Rental Schemes'!O$71:O$88,'Analysis (LRS)'!$G31,)</f>
        <v>0</v>
      </c>
      <c r="P32" s="112">
        <f>INDEX('Lane Rental Schemes'!P$71:P$88,'Analysis (LRS)'!$G31,)</f>
        <v>0</v>
      </c>
      <c r="Q32" s="112">
        <f>INDEX('Lane Rental Schemes'!Q$71:Q$88,'Analysis (LRS)'!$G31,)</f>
        <v>0</v>
      </c>
      <c r="R32" s="112">
        <f>INDEX('Lane Rental Schemes'!R$71:R$88,'Analysis (LRS)'!$G31,)</f>
        <v>0</v>
      </c>
      <c r="S32" s="112">
        <f>INDEX('Lane Rental Schemes'!S$71:S$88,'Analysis (LRS)'!$G31,)</f>
        <v>0</v>
      </c>
      <c r="T32" s="138"/>
      <c r="U32" s="112">
        <f>IFERROR(AVERAGE(O32:S32),0)</f>
        <v>0</v>
      </c>
      <c r="V32" s="112">
        <f>SUM(O32:S32)</f>
        <v>0</v>
      </c>
      <c r="X32" s="146" t="s">
        <v>206</v>
      </c>
      <c r="Y32" s="146" t="s">
        <v>206</v>
      </c>
      <c r="Z32" s="191" t="s">
        <v>206</v>
      </c>
      <c r="AA32" s="175" t="s">
        <v>206</v>
      </c>
      <c r="AB32" s="241" t="s">
        <v>206</v>
      </c>
    </row>
    <row r="33" spans="3:28" ht="13.5" hidden="1" outlineLevel="2" thickBot="1" x14ac:dyDescent="0.4">
      <c r="E33" s="8" t="s">
        <v>225</v>
      </c>
      <c r="G33" s="22" t="s">
        <v>34</v>
      </c>
      <c r="J33" s="112">
        <f>INDEX('Lane Rental Schemes'!J$149:J$166,'Analysis (LRS)'!$G31,)</f>
        <v>0</v>
      </c>
      <c r="K33" s="112">
        <f>INDEX('Lane Rental Schemes'!K$149:K$166,'Analysis (LRS)'!$G31,)</f>
        <v>0</v>
      </c>
      <c r="L33" s="112">
        <f>INDEX('Lane Rental Schemes'!L$149:L$166,'Analysis (LRS)'!$G31,)</f>
        <v>0</v>
      </c>
      <c r="M33" s="112">
        <f>INDEX('Lane Rental Schemes'!M$149:M$166,'Analysis (LRS)'!$G31,)</f>
        <v>0</v>
      </c>
      <c r="N33" s="112">
        <f>INDEX('Lane Rental Schemes'!N$149:N$166,'Analysis (LRS)'!$G31,)</f>
        <v>0</v>
      </c>
      <c r="O33" s="112">
        <f>INDEX('Lane Rental Schemes'!O$149:O$166,'Analysis (LRS)'!$G31,)</f>
        <v>0</v>
      </c>
      <c r="P33" s="112">
        <f>INDEX('Lane Rental Schemes'!P$149:P$166,'Analysis (LRS)'!$G31,)</f>
        <v>0</v>
      </c>
      <c r="Q33" s="112">
        <f>INDEX('Lane Rental Schemes'!Q$149:Q$166,'Analysis (LRS)'!$G31,)</f>
        <v>0</v>
      </c>
      <c r="R33" s="112">
        <f>INDEX('Lane Rental Schemes'!R$149:R$166,'Analysis (LRS)'!$G31,)</f>
        <v>0</v>
      </c>
      <c r="S33" s="112">
        <f>INDEX('Lane Rental Schemes'!S$149:S$166,'Analysis (LRS)'!$G31,)</f>
        <v>0</v>
      </c>
      <c r="T33" s="138"/>
      <c r="U33" s="112">
        <f>IFERROR(AVERAGE(O33:S33),0)</f>
        <v>0</v>
      </c>
      <c r="V33" s="112">
        <f>SUM(O33:S33)</f>
        <v>0</v>
      </c>
      <c r="X33" s="147"/>
      <c r="Y33" s="147"/>
      <c r="Z33" s="189"/>
      <c r="AA33" s="176"/>
      <c r="AB33" s="242"/>
    </row>
    <row r="34" spans="3:28" hidden="1" outlineLevel="2" x14ac:dyDescent="0.35">
      <c r="E34" s="8" t="s">
        <v>99</v>
      </c>
      <c r="G34" s="22" t="s">
        <v>34</v>
      </c>
      <c r="J34" s="134">
        <f t="shared" ref="J34:S34" si="4">SUM(J32:J33)</f>
        <v>0</v>
      </c>
      <c r="K34" s="134">
        <f t="shared" si="4"/>
        <v>0</v>
      </c>
      <c r="L34" s="134">
        <f t="shared" si="4"/>
        <v>0</v>
      </c>
      <c r="M34" s="134">
        <f t="shared" si="4"/>
        <v>0</v>
      </c>
      <c r="N34" s="134">
        <f t="shared" si="4"/>
        <v>0</v>
      </c>
      <c r="O34" s="134">
        <f t="shared" si="4"/>
        <v>0</v>
      </c>
      <c r="P34" s="134">
        <f t="shared" si="4"/>
        <v>0</v>
      </c>
      <c r="Q34" s="134">
        <f t="shared" si="4"/>
        <v>0</v>
      </c>
      <c r="R34" s="134">
        <f t="shared" si="4"/>
        <v>0</v>
      </c>
      <c r="S34" s="134">
        <f t="shared" si="4"/>
        <v>0</v>
      </c>
      <c r="T34" s="138"/>
      <c r="U34" s="134">
        <f>SUM(U32:U33)</f>
        <v>0</v>
      </c>
      <c r="V34" s="134">
        <f>SUM(V32:V33)</f>
        <v>0</v>
      </c>
      <c r="AA34" s="177"/>
    </row>
    <row r="35" spans="3:28" hidden="1" outlineLevel="1" x14ac:dyDescent="0.35">
      <c r="J35" s="112"/>
      <c r="K35" s="112"/>
      <c r="L35" s="112"/>
      <c r="M35" s="112"/>
      <c r="N35" s="112"/>
      <c r="O35" s="112"/>
      <c r="P35" s="112"/>
      <c r="Q35" s="112"/>
      <c r="R35" s="112"/>
      <c r="S35" s="112"/>
      <c r="T35" s="138"/>
      <c r="U35" s="112"/>
      <c r="V35" s="112"/>
      <c r="AA35" s="177"/>
    </row>
    <row r="36" spans="3:28" hidden="1" outlineLevel="1" collapsed="1" x14ac:dyDescent="0.35">
      <c r="C36" s="24" t="str">
        <f>INDEX(InpC!$E$25:$E$42,G36)</f>
        <v>Southern Water</v>
      </c>
      <c r="F36" s="113" t="str">
        <f>INDEX(InpC!$F$25:$F$42,G36,)</f>
        <v>SRN</v>
      </c>
      <c r="G36" s="131">
        <v>6</v>
      </c>
      <c r="J36" s="112"/>
      <c r="K36" s="112"/>
      <c r="L36" s="112"/>
      <c r="M36" s="112"/>
      <c r="N36" s="112"/>
      <c r="O36" s="112"/>
      <c r="P36" s="112"/>
      <c r="Q36" s="112"/>
      <c r="R36" s="112"/>
      <c r="S36" s="112"/>
      <c r="T36" s="138"/>
      <c r="U36" s="112"/>
      <c r="V36" s="112"/>
      <c r="AA36" s="177"/>
    </row>
    <row r="37" spans="3:28" ht="25.5" hidden="1" outlineLevel="2" x14ac:dyDescent="0.35">
      <c r="E37" s="8" t="s">
        <v>224</v>
      </c>
      <c r="G37" s="22" t="s">
        <v>34</v>
      </c>
      <c r="J37" s="112">
        <f>INDEX('Lane Rental Schemes'!J$71:J$88,'Analysis (LRS)'!$G36,)</f>
        <v>0.15131962616822431</v>
      </c>
      <c r="K37" s="112">
        <f>INDEX('Lane Rental Schemes'!K$71:K$88,'Analysis (LRS)'!$G36,)</f>
        <v>0.10980294659300187</v>
      </c>
      <c r="L37" s="112">
        <f>INDEX('Lane Rental Schemes'!L$71:L$88,'Analysis (LRS)'!$G36,)</f>
        <v>0.29399999999999998</v>
      </c>
      <c r="M37" s="112">
        <f>INDEX('Lane Rental Schemes'!M$71:M$88,'Analysis (LRS)'!$G36,)</f>
        <v>0.74</v>
      </c>
      <c r="N37" s="112">
        <f>INDEX('Lane Rental Schemes'!N$71:N$88,'Analysis (LRS)'!$G36,)</f>
        <v>0.11</v>
      </c>
      <c r="O37" s="112">
        <f>INDEX('Lane Rental Schemes'!O$71:O$88,'Analysis (LRS)'!$G36,)</f>
        <v>0.7</v>
      </c>
      <c r="P37" s="112">
        <f>INDEX('Lane Rental Schemes'!P$71:P$88,'Analysis (LRS)'!$G36,)</f>
        <v>0.7</v>
      </c>
      <c r="Q37" s="112">
        <f>INDEX('Lane Rental Schemes'!Q$71:Q$88,'Analysis (LRS)'!$G36,)</f>
        <v>0.7</v>
      </c>
      <c r="R37" s="112">
        <f>INDEX('Lane Rental Schemes'!R$71:R$88,'Analysis (LRS)'!$G36,)</f>
        <v>0.7</v>
      </c>
      <c r="S37" s="112">
        <f>INDEX('Lane Rental Schemes'!S$71:S$88,'Analysis (LRS)'!$G36,)</f>
        <v>0.7</v>
      </c>
      <c r="T37" s="138"/>
      <c r="U37" s="112">
        <f>IFERROR(AVERAGE(O37:S37),0)</f>
        <v>0.7</v>
      </c>
      <c r="V37" s="112">
        <f>SUM(O37:S37)</f>
        <v>3.5</v>
      </c>
      <c r="X37" s="241" t="s">
        <v>206</v>
      </c>
      <c r="Y37" s="241" t="s">
        <v>206</v>
      </c>
      <c r="Z37" s="191" t="s">
        <v>226</v>
      </c>
      <c r="AA37" s="175" t="s">
        <v>237</v>
      </c>
      <c r="AB37" s="241" t="s">
        <v>206</v>
      </c>
    </row>
    <row r="38" spans="3:28" ht="13.5" hidden="1" outlineLevel="2" thickBot="1" x14ac:dyDescent="0.4">
      <c r="E38" s="8" t="s">
        <v>225</v>
      </c>
      <c r="G38" s="22" t="s">
        <v>34</v>
      </c>
      <c r="J38" s="112">
        <f>INDEX('Lane Rental Schemes'!J$149:J$166,'Analysis (LRS)'!$G36,)</f>
        <v>7.2592523364485975E-2</v>
      </c>
      <c r="K38" s="112">
        <f>INDEX('Lane Rental Schemes'!K$149:K$166,'Analysis (LRS)'!$G36,)</f>
        <v>8.7640883977900569E-2</v>
      </c>
      <c r="L38" s="112">
        <f>INDEX('Lane Rental Schemes'!L$149:L$166,'Analysis (LRS)'!$G36,)</f>
        <v>0.18</v>
      </c>
      <c r="M38" s="112">
        <f>INDEX('Lane Rental Schemes'!M$149:M$166,'Analysis (LRS)'!$G36,)</f>
        <v>0.376</v>
      </c>
      <c r="N38" s="112">
        <f>INDEX('Lane Rental Schemes'!N$149:N$166,'Analysis (LRS)'!$G36,)</f>
        <v>9.0999999999999998E-2</v>
      </c>
      <c r="O38" s="112">
        <f>INDEX('Lane Rental Schemes'!O$149:O$166,'Analysis (LRS)'!$G36,)</f>
        <v>0.35</v>
      </c>
      <c r="P38" s="112">
        <f>INDEX('Lane Rental Schemes'!P$149:P$166,'Analysis (LRS)'!$G36,)</f>
        <v>0.35</v>
      </c>
      <c r="Q38" s="112">
        <f>INDEX('Lane Rental Schemes'!Q$149:Q$166,'Analysis (LRS)'!$G36,)</f>
        <v>0.35</v>
      </c>
      <c r="R38" s="112">
        <f>INDEX('Lane Rental Schemes'!R$149:R$166,'Analysis (LRS)'!$G36,)</f>
        <v>0.35</v>
      </c>
      <c r="S38" s="112">
        <f>INDEX('Lane Rental Schemes'!S$149:S$166,'Analysis (LRS)'!$G36,)</f>
        <v>0.35</v>
      </c>
      <c r="T38" s="138"/>
      <c r="U38" s="112">
        <f>IFERROR(AVERAGE(O38:S38),0)</f>
        <v>0.35</v>
      </c>
      <c r="V38" s="112">
        <f>SUM(O38:S38)</f>
        <v>1.75</v>
      </c>
      <c r="X38" s="242"/>
      <c r="Y38" s="242"/>
      <c r="Z38" s="189"/>
      <c r="AA38" s="176"/>
      <c r="AB38" s="242"/>
    </row>
    <row r="39" spans="3:28" hidden="1" outlineLevel="2" x14ac:dyDescent="0.35">
      <c r="E39" s="8" t="s">
        <v>99</v>
      </c>
      <c r="G39" s="22" t="s">
        <v>34</v>
      </c>
      <c r="J39" s="134">
        <f t="shared" ref="J39:S39" si="5">SUM(J37:J38)</f>
        <v>0.22391214953271027</v>
      </c>
      <c r="K39" s="134">
        <f t="shared" si="5"/>
        <v>0.19744383057090242</v>
      </c>
      <c r="L39" s="134">
        <f t="shared" si="5"/>
        <v>0.47399999999999998</v>
      </c>
      <c r="M39" s="134">
        <f t="shared" si="5"/>
        <v>1.1160000000000001</v>
      </c>
      <c r="N39" s="134">
        <f t="shared" si="5"/>
        <v>0.20100000000000001</v>
      </c>
      <c r="O39" s="134">
        <f t="shared" si="5"/>
        <v>1.0499999999999998</v>
      </c>
      <c r="P39" s="134">
        <f t="shared" si="5"/>
        <v>1.0499999999999998</v>
      </c>
      <c r="Q39" s="134">
        <f t="shared" si="5"/>
        <v>1.0499999999999998</v>
      </c>
      <c r="R39" s="134">
        <f t="shared" si="5"/>
        <v>1.0499999999999998</v>
      </c>
      <c r="S39" s="134">
        <f t="shared" si="5"/>
        <v>1.0499999999999998</v>
      </c>
      <c r="T39" s="138"/>
      <c r="U39" s="134">
        <f>SUM(U37:U38)</f>
        <v>1.0499999999999998</v>
      </c>
      <c r="V39" s="134">
        <f>SUM(V37:V38)</f>
        <v>5.25</v>
      </c>
      <c r="AA39" s="177"/>
    </row>
    <row r="40" spans="3:28" hidden="1" outlineLevel="1" x14ac:dyDescent="0.35">
      <c r="J40" s="112"/>
      <c r="K40" s="112"/>
      <c r="L40" s="112"/>
      <c r="M40" s="112"/>
      <c r="N40" s="112"/>
      <c r="O40" s="112"/>
      <c r="P40" s="112"/>
      <c r="Q40" s="112"/>
      <c r="R40" s="112"/>
      <c r="S40" s="112"/>
      <c r="T40" s="138"/>
      <c r="U40" s="112"/>
      <c r="V40" s="112"/>
      <c r="AA40" s="177"/>
    </row>
    <row r="41" spans="3:28" hidden="1" outlineLevel="1" collapsed="1" x14ac:dyDescent="0.35">
      <c r="C41" s="24" t="str">
        <f>INDEX(InpC!$E$25:$E$42,G41)</f>
        <v>Thames Water</v>
      </c>
      <c r="F41" s="113" t="str">
        <f>INDEX(InpC!$F$25:$F$42,G41,)</f>
        <v>TMS</v>
      </c>
      <c r="G41" s="131">
        <v>7</v>
      </c>
      <c r="J41" s="112"/>
      <c r="K41" s="112"/>
      <c r="L41" s="112"/>
      <c r="M41" s="112"/>
      <c r="N41" s="112"/>
      <c r="O41" s="112"/>
      <c r="P41" s="112"/>
      <c r="Q41" s="112"/>
      <c r="R41" s="112"/>
      <c r="S41" s="112"/>
      <c r="T41" s="138"/>
      <c r="U41" s="112"/>
      <c r="V41" s="112"/>
      <c r="AA41" s="177"/>
    </row>
    <row r="42" spans="3:28" ht="25.5" hidden="1" outlineLevel="2" x14ac:dyDescent="0.35">
      <c r="E42" s="8" t="s">
        <v>224</v>
      </c>
      <c r="G42" s="22" t="s">
        <v>34</v>
      </c>
      <c r="J42" s="112">
        <f>INDEX('Lane Rental Schemes'!J$71:J$88,'Analysis (LRS)'!$G41,)</f>
        <v>0.8782672897196262</v>
      </c>
      <c r="K42" s="112">
        <f>INDEX('Lane Rental Schemes'!K$71:K$88,'Analysis (LRS)'!$G41,)</f>
        <v>1.0899705340699819</v>
      </c>
      <c r="L42" s="112">
        <f>INDEX('Lane Rental Schemes'!L$71:L$88,'Analysis (LRS)'!$G41,)</f>
        <v>2.7120000000000002</v>
      </c>
      <c r="M42" s="112">
        <f>INDEX('Lane Rental Schemes'!M$71:M$88,'Analysis (LRS)'!$G41,)</f>
        <v>1.611954459203035</v>
      </c>
      <c r="N42" s="112">
        <f>INDEX('Lane Rental Schemes'!N$71:N$88,'Analysis (LRS)'!$G41,)</f>
        <v>1.081</v>
      </c>
      <c r="O42" s="112">
        <f>INDEX('Lane Rental Schemes'!O$71:O$88,'Analysis (LRS)'!$G41,)</f>
        <v>1.109</v>
      </c>
      <c r="P42" s="112">
        <f>INDEX('Lane Rental Schemes'!P$71:P$88,'Analysis (LRS)'!$G41,)</f>
        <v>1.109</v>
      </c>
      <c r="Q42" s="112">
        <f>INDEX('Lane Rental Schemes'!Q$71:Q$88,'Analysis (LRS)'!$G41,)</f>
        <v>1.109</v>
      </c>
      <c r="R42" s="112">
        <f>INDEX('Lane Rental Schemes'!R$71:R$88,'Analysis (LRS)'!$G41,)</f>
        <v>1.109</v>
      </c>
      <c r="S42" s="112">
        <f>INDEX('Lane Rental Schemes'!S$71:S$88,'Analysis (LRS)'!$G41,)</f>
        <v>1.109</v>
      </c>
      <c r="T42" s="138"/>
      <c r="U42" s="112">
        <f>IFERROR(AVERAGE(O42:S42),0)</f>
        <v>1.109</v>
      </c>
      <c r="V42" s="112">
        <f>SUM(O42:S42)</f>
        <v>5.5449999999999999</v>
      </c>
      <c r="X42" s="195" t="s">
        <v>206</v>
      </c>
      <c r="Y42" s="195" t="s">
        <v>206</v>
      </c>
      <c r="Z42" s="191" t="s">
        <v>226</v>
      </c>
      <c r="AA42" s="175" t="s">
        <v>237</v>
      </c>
      <c r="AB42" s="241" t="s">
        <v>206</v>
      </c>
    </row>
    <row r="43" spans="3:28" ht="13.5" hidden="1" outlineLevel="2" thickBot="1" x14ac:dyDescent="0.4">
      <c r="E43" s="8" t="s">
        <v>225</v>
      </c>
      <c r="G43" s="22" t="s">
        <v>34</v>
      </c>
      <c r="J43" s="112">
        <f>INDEX('Lane Rental Schemes'!J$149:J$166,'Analysis (LRS)'!$G41,)</f>
        <v>0.20346355140186917</v>
      </c>
      <c r="K43" s="112">
        <f>INDEX('Lane Rental Schemes'!K$149:K$166,'Analysis (LRS)'!$G41,)</f>
        <v>0.55707366482504617</v>
      </c>
      <c r="L43" s="112">
        <f>INDEX('Lane Rental Schemes'!L$149:L$166,'Analysis (LRS)'!$G41,)</f>
        <v>0.35</v>
      </c>
      <c r="M43" s="112">
        <f>INDEX('Lane Rental Schemes'!M$149:M$166,'Analysis (LRS)'!$G41,)</f>
        <v>0.44402277039848159</v>
      </c>
      <c r="N43" s="112">
        <f>INDEX('Lane Rental Schemes'!N$149:N$166,'Analysis (LRS)'!$G41,)</f>
        <v>0.29599999999999999</v>
      </c>
      <c r="O43" s="112">
        <f>INDEX('Lane Rental Schemes'!O$149:O$166,'Analysis (LRS)'!$G41,)</f>
        <v>0.30399999999999999</v>
      </c>
      <c r="P43" s="112">
        <f>INDEX('Lane Rental Schemes'!P$149:P$166,'Analysis (LRS)'!$G41,)</f>
        <v>0.30399999999999999</v>
      </c>
      <c r="Q43" s="112">
        <f>INDEX('Lane Rental Schemes'!Q$149:Q$166,'Analysis (LRS)'!$G41,)</f>
        <v>0.30399999999999999</v>
      </c>
      <c r="R43" s="112">
        <f>INDEX('Lane Rental Schemes'!R$149:R$166,'Analysis (LRS)'!$G41,)</f>
        <v>0.29699999999999999</v>
      </c>
      <c r="S43" s="112">
        <f>INDEX('Lane Rental Schemes'!S$149:S$166,'Analysis (LRS)'!$G41,)</f>
        <v>0.29699999999999999</v>
      </c>
      <c r="T43" s="138"/>
      <c r="U43" s="112">
        <f>IFERROR(AVERAGE(O43:S43),0)</f>
        <v>0.30119999999999997</v>
      </c>
      <c r="V43" s="112">
        <f>SUM(O43:S43)</f>
        <v>1.5059999999999998</v>
      </c>
      <c r="X43" s="147"/>
      <c r="Y43" s="147"/>
      <c r="Z43" s="189"/>
      <c r="AA43" s="176"/>
      <c r="AB43" s="242"/>
    </row>
    <row r="44" spans="3:28" hidden="1" outlineLevel="2" x14ac:dyDescent="0.35">
      <c r="E44" s="8" t="s">
        <v>99</v>
      </c>
      <c r="G44" s="22" t="s">
        <v>34</v>
      </c>
      <c r="J44" s="134">
        <f t="shared" ref="J44:S44" si="6">SUM(J42:J43)</f>
        <v>1.0817308411214954</v>
      </c>
      <c r="K44" s="134">
        <f t="shared" si="6"/>
        <v>1.6470441988950282</v>
      </c>
      <c r="L44" s="134">
        <f t="shared" si="6"/>
        <v>3.0620000000000003</v>
      </c>
      <c r="M44" s="134">
        <f t="shared" si="6"/>
        <v>2.0559772296015169</v>
      </c>
      <c r="N44" s="134">
        <f t="shared" si="6"/>
        <v>1.377</v>
      </c>
      <c r="O44" s="134">
        <f t="shared" si="6"/>
        <v>1.413</v>
      </c>
      <c r="P44" s="134">
        <f t="shared" si="6"/>
        <v>1.413</v>
      </c>
      <c r="Q44" s="134">
        <f t="shared" si="6"/>
        <v>1.413</v>
      </c>
      <c r="R44" s="134">
        <f t="shared" si="6"/>
        <v>1.4059999999999999</v>
      </c>
      <c r="S44" s="134">
        <f t="shared" si="6"/>
        <v>1.4059999999999999</v>
      </c>
      <c r="T44" s="138"/>
      <c r="U44" s="134">
        <f>SUM(U42:U43)</f>
        <v>1.4101999999999999</v>
      </c>
      <c r="V44" s="134">
        <f>SUM(V42:V43)</f>
        <v>7.0510000000000002</v>
      </c>
      <c r="AA44" s="177"/>
    </row>
    <row r="45" spans="3:28" hidden="1" outlineLevel="1" x14ac:dyDescent="0.35">
      <c r="J45" s="112"/>
      <c r="K45" s="112"/>
      <c r="L45" s="112"/>
      <c r="M45" s="112"/>
      <c r="N45" s="112"/>
      <c r="O45" s="112"/>
      <c r="P45" s="112"/>
      <c r="Q45" s="112"/>
      <c r="R45" s="112"/>
      <c r="S45" s="112"/>
      <c r="T45" s="138"/>
      <c r="U45" s="112"/>
      <c r="V45" s="112"/>
      <c r="AA45" s="177"/>
    </row>
    <row r="46" spans="3:28" hidden="1" outlineLevel="1" collapsed="1" x14ac:dyDescent="0.35">
      <c r="C46" s="24" t="str">
        <f>INDEX(InpC!$E$25:$E$42,G46)</f>
        <v>United Utilities</v>
      </c>
      <c r="F46" s="113" t="str">
        <f>INDEX(InpC!$F$25:$F$42,G46,)</f>
        <v>NWT</v>
      </c>
      <c r="G46" s="131">
        <v>8</v>
      </c>
      <c r="J46" s="112"/>
      <c r="K46" s="112"/>
      <c r="L46" s="112"/>
      <c r="M46" s="112"/>
      <c r="N46" s="112"/>
      <c r="O46" s="112"/>
      <c r="P46" s="112"/>
      <c r="Q46" s="112"/>
      <c r="R46" s="112"/>
      <c r="S46" s="112"/>
      <c r="T46" s="138"/>
      <c r="U46" s="112"/>
      <c r="V46" s="112"/>
      <c r="AA46" s="177"/>
    </row>
    <row r="47" spans="3:28" ht="96.75" hidden="1" customHeight="1" outlineLevel="2" x14ac:dyDescent="0.35">
      <c r="E47" s="8" t="s">
        <v>224</v>
      </c>
      <c r="G47" s="22" t="s">
        <v>34</v>
      </c>
      <c r="J47" s="112">
        <f>INDEX('Lane Rental Schemes'!J$71:J$88,'Analysis (LRS)'!$G46,)</f>
        <v>0</v>
      </c>
      <c r="K47" s="112">
        <f>INDEX('Lane Rental Schemes'!K$71:K$88,'Analysis (LRS)'!$G46,)</f>
        <v>0</v>
      </c>
      <c r="L47" s="112">
        <f>INDEX('Lane Rental Schemes'!L$71:L$88,'Analysis (LRS)'!$G46,)</f>
        <v>0</v>
      </c>
      <c r="M47" s="112">
        <f>INDEX('Lane Rental Schemes'!M$71:M$88,'Analysis (LRS)'!$G46,)</f>
        <v>0</v>
      </c>
      <c r="N47" s="112">
        <f>INDEX('Lane Rental Schemes'!N$71:N$88,'Analysis (LRS)'!$G46,)</f>
        <v>0</v>
      </c>
      <c r="O47" s="112">
        <f>INDEX('Lane Rental Schemes'!O$71:O$88,'Analysis (LRS)'!$G46,)</f>
        <v>0.40621507560380599</v>
      </c>
      <c r="P47" s="112">
        <f>INDEX('Lane Rental Schemes'!P$71:P$88,'Analysis (LRS)'!$G46,)</f>
        <v>0.41068102801783751</v>
      </c>
      <c r="Q47" s="112">
        <f>INDEX('Lane Rental Schemes'!Q$71:Q$88,'Analysis (LRS)'!$G46,)</f>
        <v>0.40984943852449462</v>
      </c>
      <c r="R47" s="112">
        <f>INDEX('Lane Rental Schemes'!R$71:R$88,'Analysis (LRS)'!$G46,)</f>
        <v>0.41381468054647419</v>
      </c>
      <c r="S47" s="112">
        <f>INDEX('Lane Rental Schemes'!S$71:S$88,'Analysis (LRS)'!$G46,)</f>
        <v>0.41393201494067727</v>
      </c>
      <c r="T47" s="138"/>
      <c r="U47" s="112">
        <f>IFERROR(AVERAGE(O47:S47),0)</f>
        <v>0.41089844752665794</v>
      </c>
      <c r="V47" s="112">
        <f>SUM(O47:S47)</f>
        <v>2.0544922376332897</v>
      </c>
      <c r="X47" s="253" t="s">
        <v>227</v>
      </c>
      <c r="Y47" s="253" t="s">
        <v>228</v>
      </c>
      <c r="Z47" s="198" t="s">
        <v>229</v>
      </c>
      <c r="AA47" s="197" t="s">
        <v>230</v>
      </c>
      <c r="AB47" s="243" t="s">
        <v>236</v>
      </c>
    </row>
    <row r="48" spans="3:28" ht="13.5" hidden="1" outlineLevel="2" thickBot="1" x14ac:dyDescent="0.4">
      <c r="E48" s="8" t="s">
        <v>225</v>
      </c>
      <c r="G48" s="22" t="s">
        <v>34</v>
      </c>
      <c r="J48" s="112">
        <f>INDEX('Lane Rental Schemes'!J$149:J$166,'Analysis (LRS)'!$G46,)</f>
        <v>0</v>
      </c>
      <c r="K48" s="112">
        <f>INDEX('Lane Rental Schemes'!K$149:K$166,'Analysis (LRS)'!$G46,)</f>
        <v>0</v>
      </c>
      <c r="L48" s="112">
        <f>INDEX('Lane Rental Schemes'!L$149:L$166,'Analysis (LRS)'!$G46,)</f>
        <v>0</v>
      </c>
      <c r="M48" s="112">
        <f>INDEX('Lane Rental Schemes'!M$149:M$166,'Analysis (LRS)'!$G46,)</f>
        <v>0</v>
      </c>
      <c r="N48" s="112">
        <f>INDEX('Lane Rental Schemes'!N$149:N$166,'Analysis (LRS)'!$G46,)</f>
        <v>0</v>
      </c>
      <c r="O48" s="112">
        <f>INDEX('Lane Rental Schemes'!O$149:O$166,'Analysis (LRS)'!$G46,)</f>
        <v>4.1708182918053713E-2</v>
      </c>
      <c r="P48" s="112">
        <f>INDEX('Lane Rental Schemes'!P$149:P$166,'Analysis (LRS)'!$G46,)</f>
        <v>4.2160256588246632E-2</v>
      </c>
      <c r="Q48" s="112">
        <f>INDEX('Lane Rental Schemes'!Q$149:Q$166,'Analysis (LRS)'!$G46,)</f>
        <v>4.2058886769113388E-2</v>
      </c>
      <c r="R48" s="112">
        <f>INDEX('Lane Rental Schemes'!R$149:R$166,'Analysis (LRS)'!$G46,)</f>
        <v>4.2484226429666379E-2</v>
      </c>
      <c r="S48" s="112">
        <f>INDEX('Lane Rental Schemes'!S$149:S$166,'Analysis (LRS)'!$G46,)</f>
        <v>4.2491635905242187E-2</v>
      </c>
      <c r="T48" s="138"/>
      <c r="U48" s="112">
        <f>IFERROR(AVERAGE(O48:S48),0)</f>
        <v>4.2180637722064464E-2</v>
      </c>
      <c r="V48" s="112">
        <f>SUM(O48:S48)</f>
        <v>0.21090318861032231</v>
      </c>
      <c r="X48" s="254"/>
      <c r="Y48" s="254"/>
      <c r="Z48" s="189"/>
      <c r="AA48" s="176"/>
      <c r="AB48" s="248"/>
    </row>
    <row r="49" spans="3:28" hidden="1" outlineLevel="2" x14ac:dyDescent="0.35">
      <c r="E49" s="8" t="s">
        <v>99</v>
      </c>
      <c r="G49" s="22" t="s">
        <v>34</v>
      </c>
      <c r="J49" s="134">
        <f t="shared" ref="J49:S49" si="7">SUM(J47:J48)</f>
        <v>0</v>
      </c>
      <c r="K49" s="134">
        <f t="shared" si="7"/>
        <v>0</v>
      </c>
      <c r="L49" s="134">
        <f t="shared" si="7"/>
        <v>0</v>
      </c>
      <c r="M49" s="134">
        <f t="shared" si="7"/>
        <v>0</v>
      </c>
      <c r="N49" s="134">
        <f t="shared" si="7"/>
        <v>0</v>
      </c>
      <c r="O49" s="134">
        <f t="shared" si="7"/>
        <v>0.44792325852185971</v>
      </c>
      <c r="P49" s="134">
        <f t="shared" si="7"/>
        <v>0.45284128460608414</v>
      </c>
      <c r="Q49" s="134">
        <f t="shared" si="7"/>
        <v>0.45190832529360803</v>
      </c>
      <c r="R49" s="134">
        <f t="shared" si="7"/>
        <v>0.45629890697614056</v>
      </c>
      <c r="S49" s="134">
        <f t="shared" si="7"/>
        <v>0.45642365084591946</v>
      </c>
      <c r="T49" s="138"/>
      <c r="U49" s="134">
        <f>SUM(U47:U48)</f>
        <v>0.45307908524872242</v>
      </c>
      <c r="V49" s="134">
        <f>SUM(V47:V48)</f>
        <v>2.2653954262436118</v>
      </c>
      <c r="AA49" s="177"/>
    </row>
    <row r="50" spans="3:28" hidden="1" outlineLevel="1" x14ac:dyDescent="0.35">
      <c r="J50" s="112"/>
      <c r="K50" s="112"/>
      <c r="L50" s="112"/>
      <c r="M50" s="112"/>
      <c r="N50" s="112"/>
      <c r="O50" s="112"/>
      <c r="P50" s="112"/>
      <c r="Q50" s="112"/>
      <c r="R50" s="112"/>
      <c r="S50" s="112"/>
      <c r="T50" s="138"/>
      <c r="U50" s="112"/>
      <c r="V50" s="112"/>
      <c r="AA50" s="177"/>
    </row>
    <row r="51" spans="3:28" hidden="1" outlineLevel="1" collapsed="1" x14ac:dyDescent="0.35">
      <c r="C51" s="24" t="str">
        <f>INDEX(InpC!$E$25:$E$42,G51)</f>
        <v>Wessex Water</v>
      </c>
      <c r="F51" s="113" t="str">
        <f>INDEX(InpC!$F$25:$F$42,G51,)</f>
        <v>WSX</v>
      </c>
      <c r="G51" s="131">
        <v>9</v>
      </c>
      <c r="J51" s="112"/>
      <c r="K51" s="112"/>
      <c r="L51" s="112"/>
      <c r="M51" s="112"/>
      <c r="N51" s="112"/>
      <c r="O51" s="112"/>
      <c r="P51" s="112"/>
      <c r="Q51" s="112"/>
      <c r="R51" s="112"/>
      <c r="S51" s="112"/>
      <c r="T51" s="138"/>
      <c r="U51" s="112"/>
      <c r="V51" s="112"/>
      <c r="AA51" s="177"/>
    </row>
    <row r="52" spans="3:28" hidden="1" outlineLevel="2" x14ac:dyDescent="0.35">
      <c r="E52" s="8" t="s">
        <v>224</v>
      </c>
      <c r="G52" s="22" t="s">
        <v>34</v>
      </c>
      <c r="J52" s="112">
        <f>INDEX('Lane Rental Schemes'!J$71:J$88,'Analysis (LRS)'!$G51,)</f>
        <v>0</v>
      </c>
      <c r="K52" s="112">
        <f>INDEX('Lane Rental Schemes'!K$71:K$88,'Analysis (LRS)'!$G51,)</f>
        <v>0</v>
      </c>
      <c r="L52" s="112">
        <f>INDEX('Lane Rental Schemes'!L$71:L$88,'Analysis (LRS)'!$G51,)</f>
        <v>0</v>
      </c>
      <c r="M52" s="112">
        <f>INDEX('Lane Rental Schemes'!M$71:M$88,'Analysis (LRS)'!$G51,)</f>
        <v>0</v>
      </c>
      <c r="N52" s="112">
        <f>INDEX('Lane Rental Schemes'!N$71:N$88,'Analysis (LRS)'!$G51,)</f>
        <v>0</v>
      </c>
      <c r="O52" s="112">
        <f>INDEX('Lane Rental Schemes'!O$71:O$88,'Analysis (LRS)'!$G51,)</f>
        <v>0</v>
      </c>
      <c r="P52" s="112">
        <f>INDEX('Lane Rental Schemes'!P$71:P$88,'Analysis (LRS)'!$G51,)</f>
        <v>0</v>
      </c>
      <c r="Q52" s="112">
        <f>INDEX('Lane Rental Schemes'!Q$71:Q$88,'Analysis (LRS)'!$G51,)</f>
        <v>0</v>
      </c>
      <c r="R52" s="112">
        <f>INDEX('Lane Rental Schemes'!R$71:R$88,'Analysis (LRS)'!$G51,)</f>
        <v>0</v>
      </c>
      <c r="S52" s="112">
        <f>INDEX('Lane Rental Schemes'!S$71:S$88,'Analysis (LRS)'!$G51,)</f>
        <v>0</v>
      </c>
      <c r="T52" s="138"/>
      <c r="U52" s="112">
        <f>IFERROR(AVERAGE(O52:S52),0)</f>
        <v>0</v>
      </c>
      <c r="V52" s="112">
        <f>SUM(O52:S52)</f>
        <v>0</v>
      </c>
      <c r="X52" s="146" t="s">
        <v>206</v>
      </c>
      <c r="Y52" s="146" t="s">
        <v>206</v>
      </c>
      <c r="Z52" s="191" t="s">
        <v>206</v>
      </c>
      <c r="AA52" s="175" t="s">
        <v>206</v>
      </c>
      <c r="AB52" s="241" t="s">
        <v>206</v>
      </c>
    </row>
    <row r="53" spans="3:28" ht="13.5" hidden="1" outlineLevel="2" thickBot="1" x14ac:dyDescent="0.4">
      <c r="E53" s="8" t="s">
        <v>225</v>
      </c>
      <c r="G53" s="22" t="s">
        <v>34</v>
      </c>
      <c r="J53" s="112">
        <f>INDEX('Lane Rental Schemes'!J$149:J$166,'Analysis (LRS)'!$G51,)</f>
        <v>0</v>
      </c>
      <c r="K53" s="112">
        <f>INDEX('Lane Rental Schemes'!K$149:K$166,'Analysis (LRS)'!$G51,)</f>
        <v>0</v>
      </c>
      <c r="L53" s="112">
        <f>INDEX('Lane Rental Schemes'!L$149:L$166,'Analysis (LRS)'!$G51,)</f>
        <v>0</v>
      </c>
      <c r="M53" s="112">
        <f>INDEX('Lane Rental Schemes'!M$149:M$166,'Analysis (LRS)'!$G51,)</f>
        <v>0</v>
      </c>
      <c r="N53" s="112">
        <f>INDEX('Lane Rental Schemes'!N$149:N$166,'Analysis (LRS)'!$G51,)</f>
        <v>0</v>
      </c>
      <c r="O53" s="112">
        <f>INDEX('Lane Rental Schemes'!O$149:O$166,'Analysis (LRS)'!$G51,)</f>
        <v>0</v>
      </c>
      <c r="P53" s="112">
        <f>INDEX('Lane Rental Schemes'!P$149:P$166,'Analysis (LRS)'!$G51,)</f>
        <v>0</v>
      </c>
      <c r="Q53" s="112">
        <f>INDEX('Lane Rental Schemes'!Q$149:Q$166,'Analysis (LRS)'!$G51,)</f>
        <v>0</v>
      </c>
      <c r="R53" s="112">
        <f>INDEX('Lane Rental Schemes'!R$149:R$166,'Analysis (LRS)'!$G51,)</f>
        <v>0</v>
      </c>
      <c r="S53" s="112">
        <f>INDEX('Lane Rental Schemes'!S$149:S$166,'Analysis (LRS)'!$G51,)</f>
        <v>0</v>
      </c>
      <c r="T53" s="138"/>
      <c r="U53" s="112">
        <f>IFERROR(AVERAGE(O53:S53),0)</f>
        <v>0</v>
      </c>
      <c r="V53" s="112">
        <f>SUM(O53:S53)</f>
        <v>0</v>
      </c>
      <c r="X53" s="147"/>
      <c r="Y53" s="147"/>
      <c r="Z53" s="189"/>
      <c r="AA53" s="176"/>
      <c r="AB53" s="242"/>
    </row>
    <row r="54" spans="3:28" hidden="1" outlineLevel="2" x14ac:dyDescent="0.35">
      <c r="E54" s="8" t="s">
        <v>99</v>
      </c>
      <c r="G54" s="22" t="s">
        <v>34</v>
      </c>
      <c r="J54" s="134">
        <f t="shared" ref="J54:S54" si="8">SUM(J52:J53)</f>
        <v>0</v>
      </c>
      <c r="K54" s="134">
        <f t="shared" si="8"/>
        <v>0</v>
      </c>
      <c r="L54" s="134">
        <f t="shared" si="8"/>
        <v>0</v>
      </c>
      <c r="M54" s="134">
        <f t="shared" si="8"/>
        <v>0</v>
      </c>
      <c r="N54" s="134">
        <f t="shared" si="8"/>
        <v>0</v>
      </c>
      <c r="O54" s="134">
        <f t="shared" si="8"/>
        <v>0</v>
      </c>
      <c r="P54" s="134">
        <f t="shared" si="8"/>
        <v>0</v>
      </c>
      <c r="Q54" s="134">
        <f t="shared" si="8"/>
        <v>0</v>
      </c>
      <c r="R54" s="134">
        <f t="shared" si="8"/>
        <v>0</v>
      </c>
      <c r="S54" s="134">
        <f t="shared" si="8"/>
        <v>0</v>
      </c>
      <c r="T54" s="138"/>
      <c r="U54" s="134">
        <f>SUM(U52:U53)</f>
        <v>0</v>
      </c>
      <c r="V54" s="134">
        <f>SUM(V52:V53)</f>
        <v>0</v>
      </c>
      <c r="AA54" s="177"/>
    </row>
    <row r="55" spans="3:28" hidden="1" outlineLevel="1" x14ac:dyDescent="0.35">
      <c r="J55" s="112"/>
      <c r="K55" s="112"/>
      <c r="L55" s="112"/>
      <c r="M55" s="112"/>
      <c r="N55" s="112"/>
      <c r="O55" s="112"/>
      <c r="P55" s="112"/>
      <c r="Q55" s="112"/>
      <c r="R55" s="112"/>
      <c r="S55" s="112"/>
      <c r="T55" s="138"/>
      <c r="U55" s="112"/>
      <c r="V55" s="112"/>
      <c r="AA55" s="177"/>
    </row>
    <row r="56" spans="3:28" hidden="1" outlineLevel="1" collapsed="1" x14ac:dyDescent="0.35">
      <c r="C56" s="24" t="str">
        <f>INDEX(InpC!$E$25:$E$42,G56)</f>
        <v>Yorkshire Water</v>
      </c>
      <c r="F56" s="113" t="str">
        <f>INDEX(InpC!$F$25:$F$42,G56,)</f>
        <v>YKY</v>
      </c>
      <c r="G56" s="131">
        <v>10</v>
      </c>
      <c r="J56" s="112"/>
      <c r="K56" s="112"/>
      <c r="L56" s="112"/>
      <c r="M56" s="112"/>
      <c r="N56" s="112"/>
      <c r="O56" s="112"/>
      <c r="P56" s="112"/>
      <c r="Q56" s="112"/>
      <c r="R56" s="112"/>
      <c r="S56" s="112"/>
      <c r="T56" s="138"/>
      <c r="U56" s="112"/>
      <c r="V56" s="112"/>
      <c r="AA56" s="177"/>
    </row>
    <row r="57" spans="3:28" ht="26.65" hidden="1" customHeight="1" outlineLevel="2" x14ac:dyDescent="0.35">
      <c r="E57" s="8" t="s">
        <v>224</v>
      </c>
      <c r="G57" s="22" t="s">
        <v>34</v>
      </c>
      <c r="J57" s="112">
        <f>INDEX('Lane Rental Schemes'!J$71:J$88,'Analysis (LRS)'!$G56,)</f>
        <v>0</v>
      </c>
      <c r="K57" s="112">
        <f>INDEX('Lane Rental Schemes'!K$71:K$88,'Analysis (LRS)'!$G56,)</f>
        <v>0</v>
      </c>
      <c r="L57" s="112">
        <f>INDEX('Lane Rental Schemes'!L$71:L$88,'Analysis (LRS)'!$G56,)</f>
        <v>0</v>
      </c>
      <c r="M57" s="112">
        <f>INDEX('Lane Rental Schemes'!M$71:M$88,'Analysis (LRS)'!$G56,)</f>
        <v>0</v>
      </c>
      <c r="N57" s="112">
        <f>INDEX('Lane Rental Schemes'!N$71:N$88,'Analysis (LRS)'!$G56,)</f>
        <v>0</v>
      </c>
      <c r="O57" s="112">
        <f>INDEX('Lane Rental Schemes'!O$71:O$88,'Analysis (LRS)'!$G56,)</f>
        <v>0.96099999999999997</v>
      </c>
      <c r="P57" s="112">
        <f>INDEX('Lane Rental Schemes'!P$71:P$88,'Analysis (LRS)'!$G56,)</f>
        <v>0.96099999999999997</v>
      </c>
      <c r="Q57" s="112">
        <f>INDEX('Lane Rental Schemes'!Q$71:Q$88,'Analysis (LRS)'!$G56,)</f>
        <v>0.96099999999999997</v>
      </c>
      <c r="R57" s="112">
        <f>INDEX('Lane Rental Schemes'!R$71:R$88,'Analysis (LRS)'!$G56,)</f>
        <v>0.96099999999999997</v>
      </c>
      <c r="S57" s="112">
        <f>INDEX('Lane Rental Schemes'!S$71:S$88,'Analysis (LRS)'!$G56,)</f>
        <v>0.96099999999999997</v>
      </c>
      <c r="T57" s="138"/>
      <c r="U57" s="112">
        <f>IFERROR(AVERAGE(O57:S57),0)</f>
        <v>0.96099999999999997</v>
      </c>
      <c r="V57" s="112">
        <f>SUM(O57:S57)</f>
        <v>4.8049999999999997</v>
      </c>
      <c r="X57" s="241" t="s">
        <v>206</v>
      </c>
      <c r="Y57" s="241" t="s">
        <v>206</v>
      </c>
      <c r="Z57" s="191" t="s">
        <v>206</v>
      </c>
      <c r="AA57" s="191" t="s">
        <v>206</v>
      </c>
      <c r="AB57" s="243" t="s">
        <v>238</v>
      </c>
    </row>
    <row r="58" spans="3:28" ht="25.5" hidden="1" customHeight="1" outlineLevel="2" thickBot="1" x14ac:dyDescent="0.4">
      <c r="E58" s="8" t="s">
        <v>225</v>
      </c>
      <c r="G58" s="22" t="s">
        <v>34</v>
      </c>
      <c r="J58" s="112">
        <f>INDEX('Lane Rental Schemes'!J$149:J$166,'Analysis (LRS)'!$G56,)</f>
        <v>0</v>
      </c>
      <c r="K58" s="112">
        <f>INDEX('Lane Rental Schemes'!K$149:K$166,'Analysis (LRS)'!$G56,)</f>
        <v>0</v>
      </c>
      <c r="L58" s="112">
        <f>INDEX('Lane Rental Schemes'!L$149:L$166,'Analysis (LRS)'!$G56,)</f>
        <v>0</v>
      </c>
      <c r="M58" s="112">
        <f>INDEX('Lane Rental Schemes'!M$149:M$166,'Analysis (LRS)'!$G56,)</f>
        <v>0</v>
      </c>
      <c r="N58" s="112">
        <f>INDEX('Lane Rental Schemes'!N$149:N$166,'Analysis (LRS)'!$G56,)</f>
        <v>0</v>
      </c>
      <c r="O58" s="112">
        <f>INDEX('Lane Rental Schemes'!O$149:O$166,'Analysis (LRS)'!$G56,)</f>
        <v>0.107</v>
      </c>
      <c r="P58" s="112">
        <f>INDEX('Lane Rental Schemes'!P$149:P$166,'Analysis (LRS)'!$G56,)</f>
        <v>0.107</v>
      </c>
      <c r="Q58" s="112">
        <f>INDEX('Lane Rental Schemes'!Q$149:Q$166,'Analysis (LRS)'!$G56,)</f>
        <v>0.107</v>
      </c>
      <c r="R58" s="112">
        <f>INDEX('Lane Rental Schemes'!R$149:R$166,'Analysis (LRS)'!$G56,)</f>
        <v>0.107</v>
      </c>
      <c r="S58" s="112">
        <f>INDEX('Lane Rental Schemes'!S$149:S$166,'Analysis (LRS)'!$G56,)</f>
        <v>0.107</v>
      </c>
      <c r="T58" s="138"/>
      <c r="U58" s="112">
        <f>IFERROR(AVERAGE(O58:S58),0)</f>
        <v>0.10700000000000001</v>
      </c>
      <c r="V58" s="112">
        <f>SUM(O58:S58)</f>
        <v>0.53500000000000003</v>
      </c>
      <c r="X58" s="242"/>
      <c r="Y58" s="242"/>
      <c r="Z58" s="189"/>
      <c r="AA58" s="176"/>
      <c r="AB58" s="248"/>
    </row>
    <row r="59" spans="3:28" hidden="1" outlineLevel="2" x14ac:dyDescent="0.35">
      <c r="E59" s="8" t="s">
        <v>99</v>
      </c>
      <c r="G59" s="22" t="s">
        <v>34</v>
      </c>
      <c r="J59" s="134">
        <f t="shared" ref="J59:S59" si="9">SUM(J57:J58)</f>
        <v>0</v>
      </c>
      <c r="K59" s="134">
        <f t="shared" si="9"/>
        <v>0</v>
      </c>
      <c r="L59" s="134">
        <f t="shared" si="9"/>
        <v>0</v>
      </c>
      <c r="M59" s="134">
        <f t="shared" si="9"/>
        <v>0</v>
      </c>
      <c r="N59" s="134">
        <f t="shared" si="9"/>
        <v>0</v>
      </c>
      <c r="O59" s="134">
        <f t="shared" si="9"/>
        <v>1.0680000000000001</v>
      </c>
      <c r="P59" s="134">
        <f t="shared" si="9"/>
        <v>1.0680000000000001</v>
      </c>
      <c r="Q59" s="134">
        <f t="shared" si="9"/>
        <v>1.0680000000000001</v>
      </c>
      <c r="R59" s="134">
        <f t="shared" si="9"/>
        <v>1.0680000000000001</v>
      </c>
      <c r="S59" s="134">
        <f t="shared" si="9"/>
        <v>1.0680000000000001</v>
      </c>
      <c r="T59" s="138"/>
      <c r="U59" s="134">
        <f>SUM(U57:U58)</f>
        <v>1.0680000000000001</v>
      </c>
      <c r="V59" s="134">
        <f>SUM(V57:V58)</f>
        <v>5.34</v>
      </c>
      <c r="AA59" s="177"/>
    </row>
    <row r="60" spans="3:28" hidden="1" outlineLevel="1" x14ac:dyDescent="0.35">
      <c r="J60" s="112"/>
      <c r="K60" s="112"/>
      <c r="L60" s="112"/>
      <c r="M60" s="112"/>
      <c r="N60" s="112"/>
      <c r="O60" s="112"/>
      <c r="P60" s="112"/>
      <c r="Q60" s="112"/>
      <c r="R60" s="112"/>
      <c r="S60" s="112"/>
      <c r="T60" s="138"/>
      <c r="U60" s="112"/>
      <c r="V60" s="112"/>
      <c r="AA60" s="177"/>
    </row>
    <row r="61" spans="3:28" hidden="1" outlineLevel="1" collapsed="1" x14ac:dyDescent="0.35">
      <c r="C61" s="24" t="str">
        <f>INDEX(InpC!$E$25:$E$42,G61)</f>
        <v>Affinity Water</v>
      </c>
      <c r="F61" s="113" t="str">
        <f>INDEX(InpC!$F$25:$F$42,G61,)</f>
        <v>AFW</v>
      </c>
      <c r="G61" s="131">
        <v>11</v>
      </c>
      <c r="J61" s="112"/>
      <c r="K61" s="112"/>
      <c r="L61" s="112"/>
      <c r="M61" s="112"/>
      <c r="N61" s="112"/>
      <c r="O61" s="112"/>
      <c r="P61" s="112"/>
      <c r="Q61" s="112"/>
      <c r="R61" s="112"/>
      <c r="S61" s="112"/>
      <c r="T61" s="138"/>
      <c r="U61" s="112"/>
      <c r="V61" s="112"/>
      <c r="AA61" s="177"/>
    </row>
    <row r="62" spans="3:28" ht="25.5" hidden="1" outlineLevel="2" x14ac:dyDescent="0.35">
      <c r="E62" s="8" t="s">
        <v>224</v>
      </c>
      <c r="G62" s="22" t="s">
        <v>34</v>
      </c>
      <c r="J62" s="112">
        <f>INDEX('Lane Rental Schemes'!J$71:J$88,'Analysis (LRS)'!$G61,)</f>
        <v>0</v>
      </c>
      <c r="K62" s="112">
        <f>INDEX('Lane Rental Schemes'!K$71:K$88,'Analysis (LRS)'!$G61,)</f>
        <v>3.0220994475138128E-2</v>
      </c>
      <c r="L62" s="112">
        <f>INDEX('Lane Rental Schemes'!L$71:L$88,'Analysis (LRS)'!$G61,)</f>
        <v>1.2999999999999999E-2</v>
      </c>
      <c r="M62" s="112">
        <f>INDEX('Lane Rental Schemes'!M$71:M$88,'Analysis (LRS)'!$G61,)</f>
        <v>7.0000000000000001E-3</v>
      </c>
      <c r="N62" s="112">
        <f>INDEX('Lane Rental Schemes'!N$71:N$88,'Analysis (LRS)'!$G61,)</f>
        <v>1.4999999999999999E-2</v>
      </c>
      <c r="O62" s="112">
        <f>INDEX('Lane Rental Schemes'!O$71:O$88,'Analysis (LRS)'!$G61,)</f>
        <v>1.4999999999999999E-2</v>
      </c>
      <c r="P62" s="112">
        <f>INDEX('Lane Rental Schemes'!P$71:P$88,'Analysis (LRS)'!$G61,)</f>
        <v>1.4999999999999999E-2</v>
      </c>
      <c r="Q62" s="112">
        <f>INDEX('Lane Rental Schemes'!Q$71:Q$88,'Analysis (LRS)'!$G61,)</f>
        <v>1.4999999999999999E-2</v>
      </c>
      <c r="R62" s="112">
        <f>INDEX('Lane Rental Schemes'!R$71:R$88,'Analysis (LRS)'!$G61,)</f>
        <v>1.4999999999999999E-2</v>
      </c>
      <c r="S62" s="112">
        <f>INDEX('Lane Rental Schemes'!S$71:S$88,'Analysis (LRS)'!$G61,)</f>
        <v>1.4999999999999999E-2</v>
      </c>
      <c r="T62" s="138"/>
      <c r="U62" s="112">
        <f>IFERROR(AVERAGE(O62:S62),0)</f>
        <v>1.4999999999999999E-2</v>
      </c>
      <c r="V62" s="112">
        <f>SUM(O62:S62)</f>
        <v>7.4999999999999997E-2</v>
      </c>
      <c r="X62" s="146" t="s">
        <v>206</v>
      </c>
      <c r="Y62" s="146" t="s">
        <v>206</v>
      </c>
      <c r="Z62" s="191" t="s">
        <v>226</v>
      </c>
      <c r="AA62" s="175" t="s">
        <v>237</v>
      </c>
      <c r="AB62" s="146" t="s">
        <v>206</v>
      </c>
    </row>
    <row r="63" spans="3:28" ht="13.5" hidden="1" outlineLevel="2" thickBot="1" x14ac:dyDescent="0.4">
      <c r="E63" s="8" t="s">
        <v>225</v>
      </c>
      <c r="G63" s="22" t="s">
        <v>34</v>
      </c>
      <c r="J63" s="112">
        <f>INDEX('Lane Rental Schemes'!J$149:J$166,'Analysis (LRS)'!$G61,)</f>
        <v>0</v>
      </c>
      <c r="K63" s="112">
        <f>INDEX('Lane Rental Schemes'!K$149:K$166,'Analysis (LRS)'!$G61,)</f>
        <v>0</v>
      </c>
      <c r="L63" s="112">
        <f>INDEX('Lane Rental Schemes'!L$149:L$166,'Analysis (LRS)'!$G61,)</f>
        <v>0</v>
      </c>
      <c r="M63" s="112">
        <f>INDEX('Lane Rental Schemes'!M$149:M$166,'Analysis (LRS)'!$G61,)</f>
        <v>0</v>
      </c>
      <c r="N63" s="112">
        <f>INDEX('Lane Rental Schemes'!N$149:N$166,'Analysis (LRS)'!$G61,)</f>
        <v>0</v>
      </c>
      <c r="O63" s="112">
        <f>INDEX('Lane Rental Schemes'!O$149:O$166,'Analysis (LRS)'!$G61,)</f>
        <v>0</v>
      </c>
      <c r="P63" s="112">
        <f>INDEX('Lane Rental Schemes'!P$149:P$166,'Analysis (LRS)'!$G61,)</f>
        <v>0</v>
      </c>
      <c r="Q63" s="112">
        <f>INDEX('Lane Rental Schemes'!Q$149:Q$166,'Analysis (LRS)'!$G61,)</f>
        <v>0</v>
      </c>
      <c r="R63" s="112">
        <f>INDEX('Lane Rental Schemes'!R$149:R$166,'Analysis (LRS)'!$G61,)</f>
        <v>0</v>
      </c>
      <c r="S63" s="112">
        <f>INDEX('Lane Rental Schemes'!S$149:S$166,'Analysis (LRS)'!$G61,)</f>
        <v>0</v>
      </c>
      <c r="T63" s="138"/>
      <c r="U63" s="112">
        <f>IFERROR(AVERAGE(O63:S63),0)</f>
        <v>0</v>
      </c>
      <c r="V63" s="112">
        <f>SUM(O63:S63)</f>
        <v>0</v>
      </c>
      <c r="X63" s="147"/>
      <c r="Y63" s="147"/>
      <c r="Z63" s="189"/>
      <c r="AA63" s="176"/>
      <c r="AB63" s="147"/>
    </row>
    <row r="64" spans="3:28" hidden="1" outlineLevel="2" x14ac:dyDescent="0.35">
      <c r="E64" s="8" t="s">
        <v>99</v>
      </c>
      <c r="G64" s="22" t="s">
        <v>34</v>
      </c>
      <c r="J64" s="134">
        <f t="shared" ref="J64:S64" si="10">SUM(J62:J63)</f>
        <v>0</v>
      </c>
      <c r="K64" s="134">
        <f t="shared" si="10"/>
        <v>3.0220994475138128E-2</v>
      </c>
      <c r="L64" s="134">
        <f t="shared" si="10"/>
        <v>1.2999999999999999E-2</v>
      </c>
      <c r="M64" s="134">
        <f t="shared" si="10"/>
        <v>7.0000000000000001E-3</v>
      </c>
      <c r="N64" s="134">
        <f t="shared" si="10"/>
        <v>1.4999999999999999E-2</v>
      </c>
      <c r="O64" s="134">
        <f t="shared" si="10"/>
        <v>1.4999999999999999E-2</v>
      </c>
      <c r="P64" s="134">
        <f t="shared" si="10"/>
        <v>1.4999999999999999E-2</v>
      </c>
      <c r="Q64" s="134">
        <f t="shared" si="10"/>
        <v>1.4999999999999999E-2</v>
      </c>
      <c r="R64" s="134">
        <f t="shared" si="10"/>
        <v>1.4999999999999999E-2</v>
      </c>
      <c r="S64" s="134">
        <f t="shared" si="10"/>
        <v>1.4999999999999999E-2</v>
      </c>
      <c r="T64" s="138"/>
      <c r="U64" s="134">
        <f>SUM(U62:U63)</f>
        <v>1.4999999999999999E-2</v>
      </c>
      <c r="V64" s="134">
        <f>SUM(V62:V63)</f>
        <v>7.4999999999999997E-2</v>
      </c>
      <c r="AA64" s="177"/>
    </row>
    <row r="65" spans="3:28" hidden="1" outlineLevel="1" x14ac:dyDescent="0.35">
      <c r="J65" s="112"/>
      <c r="K65" s="112"/>
      <c r="L65" s="112"/>
      <c r="M65" s="112"/>
      <c r="N65" s="112"/>
      <c r="O65" s="112"/>
      <c r="P65" s="112"/>
      <c r="Q65" s="112"/>
      <c r="R65" s="112"/>
      <c r="S65" s="112"/>
      <c r="T65" s="138"/>
      <c r="U65" s="112"/>
      <c r="V65" s="112"/>
      <c r="AA65" s="177"/>
    </row>
    <row r="66" spans="3:28" hidden="1" outlineLevel="1" collapsed="1" x14ac:dyDescent="0.35">
      <c r="C66" s="24" t="str">
        <f>INDEX(InpC!$E$25:$E$42,G66)</f>
        <v>Portsmouth Water</v>
      </c>
      <c r="F66" s="113" t="str">
        <f>INDEX(InpC!$F$25:$F$42,G66,)</f>
        <v>PRT</v>
      </c>
      <c r="G66" s="131">
        <v>12</v>
      </c>
      <c r="J66" s="112"/>
      <c r="K66" s="112"/>
      <c r="L66" s="112"/>
      <c r="M66" s="112"/>
      <c r="N66" s="112"/>
      <c r="O66" s="112"/>
      <c r="P66" s="112"/>
      <c r="Q66" s="112"/>
      <c r="R66" s="112"/>
      <c r="S66" s="112"/>
      <c r="T66" s="138"/>
      <c r="U66" s="112"/>
      <c r="V66" s="112"/>
      <c r="AA66" s="177"/>
    </row>
    <row r="67" spans="3:28" ht="122.25" hidden="1" customHeight="1" outlineLevel="2" x14ac:dyDescent="0.35">
      <c r="E67" s="8" t="s">
        <v>224</v>
      </c>
      <c r="G67" s="22" t="s">
        <v>34</v>
      </c>
      <c r="J67" s="112">
        <f>INDEX('Lane Rental Schemes'!J$71:J$88,'Analysis (LRS)'!$G66,)</f>
        <v>0</v>
      </c>
      <c r="K67" s="112">
        <f>INDEX('Lane Rental Schemes'!K$71:K$88,'Analysis (LRS)'!$G66,)</f>
        <v>0</v>
      </c>
      <c r="L67" s="112">
        <f>INDEX('Lane Rental Schemes'!L$71:L$88,'Analysis (LRS)'!$G66,)</f>
        <v>0</v>
      </c>
      <c r="M67" s="112">
        <f>INDEX('Lane Rental Schemes'!M$71:M$88,'Analysis (LRS)'!$G66,)</f>
        <v>0.15159137577002049</v>
      </c>
      <c r="N67" s="112">
        <f>INDEX('Lane Rental Schemes'!N$71:N$88,'Analysis (LRS)'!$G66,)</f>
        <v>0.15</v>
      </c>
      <c r="O67" s="112">
        <f>INDEX('Lane Rental Schemes'!O$71:O$88,'Analysis (LRS)'!$G66,)</f>
        <v>0.20200000000000001</v>
      </c>
      <c r="P67" s="112">
        <f>INDEX('Lane Rental Schemes'!P$71:P$88,'Analysis (LRS)'!$G66,)</f>
        <v>0.20399999999999999</v>
      </c>
      <c r="Q67" s="112">
        <f>INDEX('Lane Rental Schemes'!Q$71:Q$88,'Analysis (LRS)'!$G66,)</f>
        <v>0.20200000000000001</v>
      </c>
      <c r="R67" s="112">
        <f>INDEX('Lane Rental Schemes'!R$71:R$88,'Analysis (LRS)'!$G66,)</f>
        <v>0.20200000000000001</v>
      </c>
      <c r="S67" s="112">
        <f>INDEX('Lane Rental Schemes'!S$71:S$88,'Analysis (LRS)'!$G66,)</f>
        <v>0.20200000000000001</v>
      </c>
      <c r="T67" s="138"/>
      <c r="U67" s="112">
        <f>IFERROR(AVERAGE(O67:S67),0)</f>
        <v>0.2024</v>
      </c>
      <c r="V67" s="112">
        <f>SUM(O67:S67)</f>
        <v>1.012</v>
      </c>
      <c r="X67" s="241" t="s">
        <v>231</v>
      </c>
      <c r="Y67" s="249" t="s">
        <v>232</v>
      </c>
      <c r="Z67" s="191" t="s">
        <v>226</v>
      </c>
      <c r="AA67" s="175" t="s">
        <v>237</v>
      </c>
      <c r="AB67" s="241" t="s">
        <v>206</v>
      </c>
    </row>
    <row r="68" spans="3:28" ht="51" hidden="1" customHeight="1" outlineLevel="2" thickBot="1" x14ac:dyDescent="0.4">
      <c r="E68" s="8" t="s">
        <v>225</v>
      </c>
      <c r="G68" s="22" t="s">
        <v>34</v>
      </c>
      <c r="J68" s="112">
        <f>INDEX('Lane Rental Schemes'!J$149:J$166,'Analysis (LRS)'!$G66,)</f>
        <v>0</v>
      </c>
      <c r="K68" s="112">
        <f>INDEX('Lane Rental Schemes'!K$149:K$166,'Analysis (LRS)'!$G66,)</f>
        <v>0</v>
      </c>
      <c r="L68" s="112">
        <f>INDEX('Lane Rental Schemes'!L$149:L$166,'Analysis (LRS)'!$G66,)</f>
        <v>0</v>
      </c>
      <c r="M68" s="112">
        <f>INDEX('Lane Rental Schemes'!M$149:M$166,'Analysis (LRS)'!$G66,)</f>
        <v>0</v>
      </c>
      <c r="N68" s="112">
        <f>INDEX('Lane Rental Schemes'!N$149:N$166,'Analysis (LRS)'!$G66,)</f>
        <v>0</v>
      </c>
      <c r="O68" s="112">
        <f>INDEX('Lane Rental Schemes'!O$149:O$166,'Analysis (LRS)'!$G66,)</f>
        <v>0</v>
      </c>
      <c r="P68" s="112">
        <f>INDEX('Lane Rental Schemes'!P$149:P$166,'Analysis (LRS)'!$G66,)</f>
        <v>0</v>
      </c>
      <c r="Q68" s="112">
        <f>INDEX('Lane Rental Schemes'!Q$149:Q$166,'Analysis (LRS)'!$G66,)</f>
        <v>0</v>
      </c>
      <c r="R68" s="112">
        <f>INDEX('Lane Rental Schemes'!R$149:R$166,'Analysis (LRS)'!$G66,)</f>
        <v>0</v>
      </c>
      <c r="S68" s="112">
        <f>INDEX('Lane Rental Schemes'!S$149:S$166,'Analysis (LRS)'!$G66,)</f>
        <v>0</v>
      </c>
      <c r="T68" s="138"/>
      <c r="U68" s="112">
        <f>IFERROR(AVERAGE(O68:S68),0)</f>
        <v>0</v>
      </c>
      <c r="V68" s="112">
        <f>SUM(O68:S68)</f>
        <v>0</v>
      </c>
      <c r="X68" s="242"/>
      <c r="Y68" s="250"/>
      <c r="Z68" s="189"/>
      <c r="AA68" s="176"/>
      <c r="AB68" s="242"/>
    </row>
    <row r="69" spans="3:28" hidden="1" outlineLevel="2" x14ac:dyDescent="0.35">
      <c r="E69" s="8" t="s">
        <v>99</v>
      </c>
      <c r="G69" s="22" t="s">
        <v>34</v>
      </c>
      <c r="J69" s="134">
        <f t="shared" ref="J69:S69" si="11">SUM(J67:J68)</f>
        <v>0</v>
      </c>
      <c r="K69" s="134">
        <f t="shared" si="11"/>
        <v>0</v>
      </c>
      <c r="L69" s="134">
        <f t="shared" si="11"/>
        <v>0</v>
      </c>
      <c r="M69" s="134">
        <f t="shared" si="11"/>
        <v>0.15159137577002049</v>
      </c>
      <c r="N69" s="134">
        <f t="shared" si="11"/>
        <v>0.15</v>
      </c>
      <c r="O69" s="134">
        <f t="shared" si="11"/>
        <v>0.20200000000000001</v>
      </c>
      <c r="P69" s="134">
        <f t="shared" si="11"/>
        <v>0.20399999999999999</v>
      </c>
      <c r="Q69" s="134">
        <f t="shared" si="11"/>
        <v>0.20200000000000001</v>
      </c>
      <c r="R69" s="134">
        <f t="shared" si="11"/>
        <v>0.20200000000000001</v>
      </c>
      <c r="S69" s="134">
        <f t="shared" si="11"/>
        <v>0.20200000000000001</v>
      </c>
      <c r="T69" s="138"/>
      <c r="U69" s="134">
        <f>SUM(U67:U68)</f>
        <v>0.2024</v>
      </c>
      <c r="V69" s="134">
        <f>SUM(V67:V68)</f>
        <v>1.012</v>
      </c>
      <c r="AA69" s="177"/>
    </row>
    <row r="70" spans="3:28" hidden="1" outlineLevel="1" x14ac:dyDescent="0.35">
      <c r="J70" s="112"/>
      <c r="K70" s="112"/>
      <c r="L70" s="112"/>
      <c r="M70" s="112"/>
      <c r="N70" s="112"/>
      <c r="O70" s="112"/>
      <c r="P70" s="112"/>
      <c r="Q70" s="112"/>
      <c r="R70" s="112"/>
      <c r="S70" s="112"/>
      <c r="T70" s="138"/>
      <c r="U70" s="112"/>
      <c r="V70" s="112"/>
      <c r="AA70" s="177"/>
    </row>
    <row r="71" spans="3:28" hidden="1" outlineLevel="1" collapsed="1" x14ac:dyDescent="0.35">
      <c r="C71" s="24" t="str">
        <f>INDEX(InpC!$E$25:$E$42,G71)</f>
        <v>South East Water</v>
      </c>
      <c r="F71" s="113" t="str">
        <f>INDEX(InpC!$F$25:$F$42,G71,)</f>
        <v>SEW</v>
      </c>
      <c r="G71" s="131">
        <v>13</v>
      </c>
      <c r="J71" s="112"/>
      <c r="K71" s="112"/>
      <c r="L71" s="112"/>
      <c r="M71" s="112"/>
      <c r="N71" s="112"/>
      <c r="O71" s="112"/>
      <c r="P71" s="112"/>
      <c r="Q71" s="112"/>
      <c r="R71" s="112"/>
      <c r="S71" s="112"/>
      <c r="T71" s="138"/>
      <c r="U71" s="112"/>
      <c r="V71" s="112"/>
      <c r="AA71" s="177"/>
    </row>
    <row r="72" spans="3:28" ht="38.25" hidden="1" outlineLevel="2" x14ac:dyDescent="0.35">
      <c r="E72" s="8" t="s">
        <v>224</v>
      </c>
      <c r="G72" s="22" t="s">
        <v>34</v>
      </c>
      <c r="J72" s="112">
        <f>INDEX('Lane Rental Schemes'!J$71:J$88,'Analysis (LRS)'!$G71,)</f>
        <v>7.2592523364485975E-2</v>
      </c>
      <c r="K72" s="112">
        <f>INDEX('Lane Rental Schemes'!K$71:K$88,'Analysis (LRS)'!$G71,)</f>
        <v>0.19341436464088402</v>
      </c>
      <c r="L72" s="112">
        <f>INDEX('Lane Rental Schemes'!L$71:L$88,'Analysis (LRS)'!$G71,)</f>
        <v>0.109</v>
      </c>
      <c r="M72" s="112">
        <f>INDEX('Lane Rental Schemes'!M$71:M$88,'Analysis (LRS)'!$G71,)</f>
        <v>0.3695040310471483</v>
      </c>
      <c r="N72" s="112">
        <f>INDEX('Lane Rental Schemes'!N$71:N$88,'Analysis (LRS)'!$G71,)</f>
        <v>0.48036680478063809</v>
      </c>
      <c r="O72" s="112">
        <f>INDEX('Lane Rental Schemes'!O$71:O$88,'Analysis (LRS)'!$G71,)</f>
        <v>0.48</v>
      </c>
      <c r="P72" s="112">
        <f>INDEX('Lane Rental Schemes'!P$71:P$88,'Analysis (LRS)'!$G71,)</f>
        <v>0.48</v>
      </c>
      <c r="Q72" s="112">
        <f>INDEX('Lane Rental Schemes'!Q$71:Q$88,'Analysis (LRS)'!$G71,)</f>
        <v>0.48</v>
      </c>
      <c r="R72" s="112">
        <f>INDEX('Lane Rental Schemes'!R$71:R$88,'Analysis (LRS)'!$G71,)</f>
        <v>0.48</v>
      </c>
      <c r="S72" s="112">
        <f>INDEX('Lane Rental Schemes'!S$71:S$88,'Analysis (LRS)'!$G71,)</f>
        <v>0.48</v>
      </c>
      <c r="T72" s="138"/>
      <c r="U72" s="112">
        <f>IFERROR(AVERAGE(O72:S72),0)</f>
        <v>0.48</v>
      </c>
      <c r="V72" s="112">
        <f>SUM(O72:S72)</f>
        <v>2.4</v>
      </c>
      <c r="X72" s="146" t="s">
        <v>206</v>
      </c>
      <c r="Y72" s="146" t="s">
        <v>206</v>
      </c>
      <c r="Z72" s="191" t="s">
        <v>226</v>
      </c>
      <c r="AA72" s="175" t="s">
        <v>237</v>
      </c>
      <c r="AB72" s="175" t="s">
        <v>239</v>
      </c>
    </row>
    <row r="73" spans="3:28" ht="13.5" hidden="1" outlineLevel="2" thickBot="1" x14ac:dyDescent="0.4">
      <c r="E73" s="8" t="s">
        <v>225</v>
      </c>
      <c r="G73" s="22" t="s">
        <v>34</v>
      </c>
      <c r="J73" s="112">
        <f>INDEX('Lane Rental Schemes'!J$149:J$166,'Analysis (LRS)'!$G71,)</f>
        <v>0</v>
      </c>
      <c r="K73" s="112">
        <f>INDEX('Lane Rental Schemes'!K$149:K$166,'Analysis (LRS)'!$G71,)</f>
        <v>0</v>
      </c>
      <c r="L73" s="112">
        <f>INDEX('Lane Rental Schemes'!L$149:L$166,'Analysis (LRS)'!$G71,)</f>
        <v>0</v>
      </c>
      <c r="M73" s="112">
        <f>INDEX('Lane Rental Schemes'!M$149:M$166,'Analysis (LRS)'!$G71,)</f>
        <v>0</v>
      </c>
      <c r="N73" s="112">
        <f>INDEX('Lane Rental Schemes'!N$149:N$166,'Analysis (LRS)'!$G71,)</f>
        <v>0</v>
      </c>
      <c r="O73" s="112">
        <f>INDEX('Lane Rental Schemes'!O$149:O$166,'Analysis (LRS)'!$G71,)</f>
        <v>0</v>
      </c>
      <c r="P73" s="112">
        <f>INDEX('Lane Rental Schemes'!P$149:P$166,'Analysis (LRS)'!$G71,)</f>
        <v>0</v>
      </c>
      <c r="Q73" s="112">
        <f>INDEX('Lane Rental Schemes'!Q$149:Q$166,'Analysis (LRS)'!$G71,)</f>
        <v>0</v>
      </c>
      <c r="R73" s="112">
        <f>INDEX('Lane Rental Schemes'!R$149:R$166,'Analysis (LRS)'!$G71,)</f>
        <v>0</v>
      </c>
      <c r="S73" s="112">
        <f>INDEX('Lane Rental Schemes'!S$149:S$166,'Analysis (LRS)'!$G71,)</f>
        <v>0</v>
      </c>
      <c r="T73" s="138"/>
      <c r="U73" s="112">
        <f>IFERROR(AVERAGE(O73:S73),0)</f>
        <v>0</v>
      </c>
      <c r="V73" s="112">
        <f>SUM(O73:S73)</f>
        <v>0</v>
      </c>
      <c r="X73" s="147"/>
      <c r="Y73" s="147"/>
      <c r="Z73" s="189"/>
      <c r="AA73" s="176"/>
      <c r="AB73" s="147"/>
    </row>
    <row r="74" spans="3:28" hidden="1" outlineLevel="2" x14ac:dyDescent="0.35">
      <c r="E74" s="8" t="s">
        <v>99</v>
      </c>
      <c r="G74" s="22" t="s">
        <v>34</v>
      </c>
      <c r="J74" s="134">
        <f t="shared" ref="J74:S74" si="12">SUM(J72:J73)</f>
        <v>7.2592523364485975E-2</v>
      </c>
      <c r="K74" s="134">
        <f t="shared" si="12"/>
        <v>0.19341436464088402</v>
      </c>
      <c r="L74" s="134">
        <f t="shared" si="12"/>
        <v>0.109</v>
      </c>
      <c r="M74" s="134">
        <f t="shared" si="12"/>
        <v>0.3695040310471483</v>
      </c>
      <c r="N74" s="134">
        <f t="shared" si="12"/>
        <v>0.48036680478063809</v>
      </c>
      <c r="O74" s="134">
        <f t="shared" si="12"/>
        <v>0.48</v>
      </c>
      <c r="P74" s="134">
        <f t="shared" si="12"/>
        <v>0.48</v>
      </c>
      <c r="Q74" s="134">
        <f t="shared" si="12"/>
        <v>0.48</v>
      </c>
      <c r="R74" s="134">
        <f t="shared" si="12"/>
        <v>0.48</v>
      </c>
      <c r="S74" s="134">
        <f t="shared" si="12"/>
        <v>0.48</v>
      </c>
      <c r="T74" s="138"/>
      <c r="U74" s="134">
        <f>SUM(U72:U73)</f>
        <v>0.48</v>
      </c>
      <c r="V74" s="134">
        <f>SUM(V72:V73)</f>
        <v>2.4</v>
      </c>
      <c r="AA74" s="177"/>
    </row>
    <row r="75" spans="3:28" hidden="1" outlineLevel="1" x14ac:dyDescent="0.35">
      <c r="J75" s="112"/>
      <c r="K75" s="112"/>
      <c r="L75" s="112"/>
      <c r="M75" s="112"/>
      <c r="N75" s="112"/>
      <c r="O75" s="112"/>
      <c r="P75" s="112"/>
      <c r="Q75" s="112"/>
      <c r="R75" s="112"/>
      <c r="S75" s="112"/>
      <c r="T75" s="138"/>
      <c r="U75" s="112"/>
      <c r="V75" s="112"/>
      <c r="AA75" s="177"/>
    </row>
    <row r="76" spans="3:28" hidden="1" outlineLevel="1" collapsed="1" x14ac:dyDescent="0.35">
      <c r="C76" s="24" t="str">
        <f>INDEX(InpC!$E$25:$E$42,G76)</f>
        <v>South Staffs Water</v>
      </c>
      <c r="F76" s="113" t="str">
        <f>INDEX(InpC!$F$25:$F$42,G76,)</f>
        <v>SSC</v>
      </c>
      <c r="G76" s="131">
        <v>14</v>
      </c>
      <c r="J76" s="112"/>
      <c r="K76" s="112"/>
      <c r="L76" s="112"/>
      <c r="M76" s="112"/>
      <c r="N76" s="112"/>
      <c r="O76" s="112"/>
      <c r="P76" s="112"/>
      <c r="Q76" s="112"/>
      <c r="R76" s="112"/>
      <c r="S76" s="112"/>
      <c r="T76" s="138"/>
      <c r="U76" s="112"/>
      <c r="V76" s="112"/>
      <c r="AA76" s="177"/>
    </row>
    <row r="77" spans="3:28" ht="25.5" hidden="1" outlineLevel="2" x14ac:dyDescent="0.35">
      <c r="E77" s="8" t="s">
        <v>224</v>
      </c>
      <c r="G77" s="22" t="s">
        <v>34</v>
      </c>
      <c r="J77" s="112">
        <f>INDEX('Lane Rental Schemes'!J$71:J$88,'Analysis (LRS)'!$G76,)</f>
        <v>0.22902429906542057</v>
      </c>
      <c r="K77" s="112">
        <f>INDEX('Lane Rental Schemes'!K$71:K$88,'Analysis (LRS)'!$G76,)</f>
        <v>0.27299631675874775</v>
      </c>
      <c r="L77" s="112">
        <f>INDEX('Lane Rental Schemes'!L$71:L$88,'Analysis (LRS)'!$G76,)</f>
        <v>0.253</v>
      </c>
      <c r="M77" s="112">
        <f>INDEX('Lane Rental Schemes'!M$71:M$88,'Analysis (LRS)'!$G76,)</f>
        <v>0.253</v>
      </c>
      <c r="N77" s="112">
        <f>INDEX('Lane Rental Schemes'!N$71:N$88,'Analysis (LRS)'!$G76,)</f>
        <v>0.253</v>
      </c>
      <c r="O77" s="112">
        <f>INDEX('Lane Rental Schemes'!O$71:O$88,'Analysis (LRS)'!$G76,)</f>
        <v>0.253</v>
      </c>
      <c r="P77" s="112">
        <f>INDEX('Lane Rental Schemes'!P$71:P$88,'Analysis (LRS)'!$G76,)</f>
        <v>0.253</v>
      </c>
      <c r="Q77" s="112">
        <f>INDEX('Lane Rental Schemes'!Q$71:Q$88,'Analysis (LRS)'!$G76,)</f>
        <v>0.253</v>
      </c>
      <c r="R77" s="112">
        <f>INDEX('Lane Rental Schemes'!R$71:R$88,'Analysis (LRS)'!$G76,)</f>
        <v>0.253</v>
      </c>
      <c r="S77" s="112">
        <f>INDEX('Lane Rental Schemes'!S$71:S$88,'Analysis (LRS)'!$G76,)</f>
        <v>0.253</v>
      </c>
      <c r="T77" s="138"/>
      <c r="U77" s="112">
        <f>IFERROR(AVERAGE(O77:S77),0)</f>
        <v>0.253</v>
      </c>
      <c r="V77" s="112">
        <f>SUM(O77:S77)</f>
        <v>1.2650000000000001</v>
      </c>
      <c r="X77" s="241" t="s">
        <v>206</v>
      </c>
      <c r="Y77" s="243" t="s">
        <v>219</v>
      </c>
      <c r="Z77" s="191" t="s">
        <v>226</v>
      </c>
      <c r="AA77" s="175" t="s">
        <v>237</v>
      </c>
      <c r="AB77" s="241" t="s">
        <v>206</v>
      </c>
    </row>
    <row r="78" spans="3:28" ht="13.5" hidden="1" outlineLevel="2" thickBot="1" x14ac:dyDescent="0.4">
      <c r="E78" s="8" t="s">
        <v>225</v>
      </c>
      <c r="G78" s="22" t="s">
        <v>34</v>
      </c>
      <c r="J78" s="112">
        <f>INDEX('Lane Rental Schemes'!J$149:J$166,'Analysis (LRS)'!$G76,)</f>
        <v>0</v>
      </c>
      <c r="K78" s="112">
        <f>INDEX('Lane Rental Schemes'!K$149:K$166,'Analysis (LRS)'!$G76,)</f>
        <v>0</v>
      </c>
      <c r="L78" s="112">
        <f>INDEX('Lane Rental Schemes'!L$149:L$166,'Analysis (LRS)'!$G76,)</f>
        <v>0</v>
      </c>
      <c r="M78" s="112">
        <f>INDEX('Lane Rental Schemes'!M$149:M$166,'Analysis (LRS)'!$G76,)</f>
        <v>0</v>
      </c>
      <c r="N78" s="112">
        <f>INDEX('Lane Rental Schemes'!N$149:N$166,'Analysis (LRS)'!$G76,)</f>
        <v>0</v>
      </c>
      <c r="O78" s="112">
        <f>INDEX('Lane Rental Schemes'!O$149:O$166,'Analysis (LRS)'!$G76,)</f>
        <v>0</v>
      </c>
      <c r="P78" s="112">
        <f>INDEX('Lane Rental Schemes'!P$149:P$166,'Analysis (LRS)'!$G76,)</f>
        <v>0</v>
      </c>
      <c r="Q78" s="112">
        <f>INDEX('Lane Rental Schemes'!Q$149:Q$166,'Analysis (LRS)'!$G76,)</f>
        <v>0</v>
      </c>
      <c r="R78" s="112">
        <f>INDEX('Lane Rental Schemes'!R$149:R$166,'Analysis (LRS)'!$G76,)</f>
        <v>0</v>
      </c>
      <c r="S78" s="112">
        <f>INDEX('Lane Rental Schemes'!S$149:S$166,'Analysis (LRS)'!$G76,)</f>
        <v>0</v>
      </c>
      <c r="T78" s="138"/>
      <c r="U78" s="112">
        <f>IFERROR(AVERAGE(O78:S78),0)</f>
        <v>0</v>
      </c>
      <c r="V78" s="112">
        <f>SUM(O78:S78)</f>
        <v>0</v>
      </c>
      <c r="X78" s="242"/>
      <c r="Y78" s="248"/>
      <c r="Z78" s="189"/>
      <c r="AA78" s="176"/>
      <c r="AB78" s="242"/>
    </row>
    <row r="79" spans="3:28" hidden="1" outlineLevel="2" x14ac:dyDescent="0.35">
      <c r="E79" s="8" t="s">
        <v>99</v>
      </c>
      <c r="G79" s="22" t="s">
        <v>34</v>
      </c>
      <c r="J79" s="134">
        <f t="shared" ref="J79:S79" si="13">SUM(J77:J78)</f>
        <v>0.22902429906542057</v>
      </c>
      <c r="K79" s="134">
        <f t="shared" si="13"/>
        <v>0.27299631675874775</v>
      </c>
      <c r="L79" s="134">
        <f t="shared" si="13"/>
        <v>0.253</v>
      </c>
      <c r="M79" s="134">
        <f t="shared" si="13"/>
        <v>0.253</v>
      </c>
      <c r="N79" s="134">
        <f t="shared" si="13"/>
        <v>0.253</v>
      </c>
      <c r="O79" s="134">
        <f t="shared" si="13"/>
        <v>0.253</v>
      </c>
      <c r="P79" s="134">
        <f t="shared" si="13"/>
        <v>0.253</v>
      </c>
      <c r="Q79" s="134">
        <f t="shared" si="13"/>
        <v>0.253</v>
      </c>
      <c r="R79" s="134">
        <f t="shared" si="13"/>
        <v>0.253</v>
      </c>
      <c r="S79" s="134">
        <f t="shared" si="13"/>
        <v>0.253</v>
      </c>
      <c r="T79" s="138"/>
      <c r="U79" s="134">
        <f>SUM(U77:U78)</f>
        <v>0.253</v>
      </c>
      <c r="V79" s="134">
        <f>SUM(V77:V78)</f>
        <v>1.2650000000000001</v>
      </c>
      <c r="AA79" s="177"/>
    </row>
    <row r="80" spans="3:28" hidden="1" outlineLevel="1" x14ac:dyDescent="0.35">
      <c r="J80" s="112"/>
      <c r="K80" s="112"/>
      <c r="L80" s="112"/>
      <c r="M80" s="112"/>
      <c r="N80" s="112"/>
      <c r="O80" s="112"/>
      <c r="P80" s="112"/>
      <c r="Q80" s="112"/>
      <c r="R80" s="112"/>
      <c r="S80" s="112"/>
      <c r="T80" s="138"/>
      <c r="U80" s="112"/>
      <c r="V80" s="112"/>
      <c r="AA80" s="177"/>
    </row>
    <row r="81" spans="3:28" hidden="1" outlineLevel="1" collapsed="1" x14ac:dyDescent="0.35">
      <c r="C81" s="24" t="str">
        <f>INDEX(InpC!$E$25:$E$42,G81)</f>
        <v>SES Water</v>
      </c>
      <c r="F81" s="113" t="str">
        <f>INDEX(InpC!$F$25:$F$42,G81,)</f>
        <v>SES</v>
      </c>
      <c r="G81" s="131">
        <v>15</v>
      </c>
      <c r="J81" s="112"/>
      <c r="K81" s="112"/>
      <c r="L81" s="112"/>
      <c r="M81" s="112"/>
      <c r="N81" s="112"/>
      <c r="O81" s="112"/>
      <c r="P81" s="112"/>
      <c r="Q81" s="112"/>
      <c r="R81" s="112"/>
      <c r="S81" s="112"/>
      <c r="T81" s="138"/>
      <c r="U81" s="112"/>
      <c r="V81" s="112"/>
      <c r="AA81" s="177"/>
    </row>
    <row r="82" spans="3:28" hidden="1" outlineLevel="2" x14ac:dyDescent="0.35">
      <c r="E82" s="8" t="s">
        <v>224</v>
      </c>
      <c r="G82" s="22" t="s">
        <v>34</v>
      </c>
      <c r="J82" s="112">
        <f>INDEX('Lane Rental Schemes'!J$71:J$88,'Analysis (LRS)'!$G81,)</f>
        <v>0</v>
      </c>
      <c r="K82" s="112">
        <f>INDEX('Lane Rental Schemes'!K$71:K$88,'Analysis (LRS)'!$G81,)</f>
        <v>0</v>
      </c>
      <c r="L82" s="112">
        <f>INDEX('Lane Rental Schemes'!L$71:L$88,'Analysis (LRS)'!$G81,)</f>
        <v>0</v>
      </c>
      <c r="M82" s="112">
        <f>INDEX('Lane Rental Schemes'!M$71:M$88,'Analysis (LRS)'!$G81,)</f>
        <v>0</v>
      </c>
      <c r="N82" s="112">
        <f>INDEX('Lane Rental Schemes'!N$71:N$88,'Analysis (LRS)'!$G81,)</f>
        <v>0</v>
      </c>
      <c r="O82" s="112">
        <f>INDEX('Lane Rental Schemes'!O$71:O$88,'Analysis (LRS)'!$G81,)</f>
        <v>0</v>
      </c>
      <c r="P82" s="112">
        <f>INDEX('Lane Rental Schemes'!P$71:P$88,'Analysis (LRS)'!$G81,)</f>
        <v>0</v>
      </c>
      <c r="Q82" s="112">
        <f>INDEX('Lane Rental Schemes'!Q$71:Q$88,'Analysis (LRS)'!$G81,)</f>
        <v>0</v>
      </c>
      <c r="R82" s="112">
        <f>INDEX('Lane Rental Schemes'!R$71:R$88,'Analysis (LRS)'!$G81,)</f>
        <v>0</v>
      </c>
      <c r="S82" s="112">
        <f>INDEX('Lane Rental Schemes'!S$71:S$88,'Analysis (LRS)'!$G81,)</f>
        <v>0</v>
      </c>
      <c r="T82" s="138"/>
      <c r="U82" s="112">
        <f>IFERROR(AVERAGE(O82:S82),0)</f>
        <v>0</v>
      </c>
      <c r="V82" s="112">
        <f>SUM(O82:S82)</f>
        <v>0</v>
      </c>
      <c r="X82" s="146" t="s">
        <v>206</v>
      </c>
      <c r="Y82" s="146" t="s">
        <v>206</v>
      </c>
      <c r="Z82" s="191" t="s">
        <v>206</v>
      </c>
      <c r="AA82" s="175" t="s">
        <v>206</v>
      </c>
      <c r="AB82" s="146" t="s">
        <v>206</v>
      </c>
    </row>
    <row r="83" spans="3:28" ht="13.5" hidden="1" outlineLevel="2" thickBot="1" x14ac:dyDescent="0.4">
      <c r="E83" s="8" t="s">
        <v>225</v>
      </c>
      <c r="G83" s="22" t="s">
        <v>34</v>
      </c>
      <c r="J83" s="112">
        <f>INDEX('Lane Rental Schemes'!J$149:J$166,'Analysis (LRS)'!$G81,)</f>
        <v>0</v>
      </c>
      <c r="K83" s="112">
        <f>INDEX('Lane Rental Schemes'!K$149:K$166,'Analysis (LRS)'!$G81,)</f>
        <v>0</v>
      </c>
      <c r="L83" s="112">
        <f>INDEX('Lane Rental Schemes'!L$149:L$166,'Analysis (LRS)'!$G81,)</f>
        <v>0</v>
      </c>
      <c r="M83" s="112">
        <f>INDEX('Lane Rental Schemes'!M$149:M$166,'Analysis (LRS)'!$G81,)</f>
        <v>0</v>
      </c>
      <c r="N83" s="112">
        <f>INDEX('Lane Rental Schemes'!N$149:N$166,'Analysis (LRS)'!$G81,)</f>
        <v>0</v>
      </c>
      <c r="O83" s="112">
        <f>INDEX('Lane Rental Schemes'!O$149:O$166,'Analysis (LRS)'!$G81,)</f>
        <v>0</v>
      </c>
      <c r="P83" s="112">
        <f>INDEX('Lane Rental Schemes'!P$149:P$166,'Analysis (LRS)'!$G81,)</f>
        <v>0</v>
      </c>
      <c r="Q83" s="112">
        <f>INDEX('Lane Rental Schemes'!Q$149:Q$166,'Analysis (LRS)'!$G81,)</f>
        <v>0</v>
      </c>
      <c r="R83" s="112">
        <f>INDEX('Lane Rental Schemes'!R$149:R$166,'Analysis (LRS)'!$G81,)</f>
        <v>0</v>
      </c>
      <c r="S83" s="112">
        <f>INDEX('Lane Rental Schemes'!S$149:S$166,'Analysis (LRS)'!$G81,)</f>
        <v>0</v>
      </c>
      <c r="T83" s="138"/>
      <c r="U83" s="112">
        <f>IFERROR(AVERAGE(O83:S83),0)</f>
        <v>0</v>
      </c>
      <c r="V83" s="112">
        <f>SUM(O83:S83)</f>
        <v>0</v>
      </c>
      <c r="X83" s="147"/>
      <c r="Y83" s="147"/>
      <c r="Z83" s="189"/>
      <c r="AA83" s="176"/>
      <c r="AB83" s="147"/>
    </row>
    <row r="84" spans="3:28" hidden="1" outlineLevel="2" x14ac:dyDescent="0.35">
      <c r="E84" s="8" t="s">
        <v>99</v>
      </c>
      <c r="G84" s="22" t="s">
        <v>34</v>
      </c>
      <c r="J84" s="134">
        <f t="shared" ref="J84:S84" si="14">SUM(J82:J83)</f>
        <v>0</v>
      </c>
      <c r="K84" s="134">
        <f t="shared" si="14"/>
        <v>0</v>
      </c>
      <c r="L84" s="134">
        <f t="shared" si="14"/>
        <v>0</v>
      </c>
      <c r="M84" s="134">
        <f t="shared" si="14"/>
        <v>0</v>
      </c>
      <c r="N84" s="134">
        <f t="shared" si="14"/>
        <v>0</v>
      </c>
      <c r="O84" s="134">
        <f t="shared" si="14"/>
        <v>0</v>
      </c>
      <c r="P84" s="134">
        <f t="shared" si="14"/>
        <v>0</v>
      </c>
      <c r="Q84" s="134">
        <f t="shared" si="14"/>
        <v>0</v>
      </c>
      <c r="R84" s="134">
        <f t="shared" si="14"/>
        <v>0</v>
      </c>
      <c r="S84" s="134">
        <f t="shared" si="14"/>
        <v>0</v>
      </c>
      <c r="T84" s="138"/>
      <c r="U84" s="134">
        <f>SUM(U82:U83)</f>
        <v>0</v>
      </c>
      <c r="V84" s="134">
        <f>SUM(V82:V83)</f>
        <v>0</v>
      </c>
      <c r="AA84" s="177"/>
    </row>
    <row r="85" spans="3:28" hidden="1" outlineLevel="1" x14ac:dyDescent="0.35">
      <c r="J85" s="112"/>
      <c r="K85" s="112"/>
      <c r="L85" s="112"/>
      <c r="M85" s="112"/>
      <c r="N85" s="112"/>
      <c r="O85" s="112"/>
      <c r="P85" s="112"/>
      <c r="Q85" s="112"/>
      <c r="R85" s="112"/>
      <c r="S85" s="112"/>
      <c r="T85" s="138"/>
      <c r="U85" s="112"/>
      <c r="V85" s="112"/>
      <c r="AA85" s="177"/>
    </row>
    <row r="86" spans="3:28" hidden="1" outlineLevel="1" collapsed="1" x14ac:dyDescent="0.35">
      <c r="C86" s="24" t="str">
        <f>INDEX(InpC!$E$25:$E$42,G86)</f>
        <v>South West Water</v>
      </c>
      <c r="F86" s="113" t="str">
        <f>INDEX(InpC!$F$25:$F$42,G86,)</f>
        <v>SWB</v>
      </c>
      <c r="G86" s="131">
        <v>16</v>
      </c>
      <c r="J86" s="112"/>
      <c r="K86" s="112"/>
      <c r="L86" s="112"/>
      <c r="M86" s="112"/>
      <c r="N86" s="112"/>
      <c r="O86" s="112"/>
      <c r="P86" s="112"/>
      <c r="Q86" s="112"/>
      <c r="R86" s="112"/>
      <c r="S86" s="112"/>
      <c r="T86" s="138"/>
      <c r="U86" s="112"/>
      <c r="V86" s="112"/>
      <c r="AA86" s="177"/>
    </row>
    <row r="87" spans="3:28" hidden="1" outlineLevel="2" x14ac:dyDescent="0.35">
      <c r="E87" s="8" t="s">
        <v>224</v>
      </c>
      <c r="G87" s="22" t="s">
        <v>34</v>
      </c>
      <c r="J87" s="112">
        <f>INDEX('Lane Rental Schemes'!J$71:J$88,'Analysis (LRS)'!$G86,)</f>
        <v>0</v>
      </c>
      <c r="K87" s="112">
        <f>INDEX('Lane Rental Schemes'!K$71:K$88,'Analysis (LRS)'!$G86,)</f>
        <v>0</v>
      </c>
      <c r="L87" s="112">
        <f>INDEX('Lane Rental Schemes'!L$71:L$88,'Analysis (LRS)'!$G86,)</f>
        <v>0</v>
      </c>
      <c r="M87" s="112">
        <f>INDEX('Lane Rental Schemes'!M$71:M$88,'Analysis (LRS)'!$G86,)</f>
        <v>0</v>
      </c>
      <c r="N87" s="112">
        <f>INDEX('Lane Rental Schemes'!N$71:N$88,'Analysis (LRS)'!$G86,)</f>
        <v>0</v>
      </c>
      <c r="O87" s="112">
        <f>INDEX('Lane Rental Schemes'!O$71:O$88,'Analysis (LRS)'!$G86,)</f>
        <v>0</v>
      </c>
      <c r="P87" s="112">
        <f>INDEX('Lane Rental Schemes'!P$71:P$88,'Analysis (LRS)'!$G86,)</f>
        <v>0</v>
      </c>
      <c r="Q87" s="112">
        <f>INDEX('Lane Rental Schemes'!Q$71:Q$88,'Analysis (LRS)'!$G86,)</f>
        <v>0</v>
      </c>
      <c r="R87" s="112">
        <f>INDEX('Lane Rental Schemes'!R$71:R$88,'Analysis (LRS)'!$G86,)</f>
        <v>0</v>
      </c>
      <c r="S87" s="112">
        <f>INDEX('Lane Rental Schemes'!S$71:S$88,'Analysis (LRS)'!$G86,)</f>
        <v>0</v>
      </c>
      <c r="T87" s="138"/>
      <c r="U87" s="112">
        <f>IFERROR(AVERAGE(O87:S87),0)</f>
        <v>0</v>
      </c>
      <c r="V87" s="112">
        <f>SUM(O87:S87)</f>
        <v>0</v>
      </c>
      <c r="X87" s="146" t="s">
        <v>206</v>
      </c>
      <c r="Y87" s="146" t="s">
        <v>206</v>
      </c>
      <c r="Z87" s="191" t="s">
        <v>206</v>
      </c>
      <c r="AA87" s="175" t="s">
        <v>206</v>
      </c>
      <c r="AB87" s="241" t="s">
        <v>206</v>
      </c>
    </row>
    <row r="88" spans="3:28" ht="13.5" hidden="1" outlineLevel="2" thickBot="1" x14ac:dyDescent="0.4">
      <c r="E88" s="8" t="s">
        <v>225</v>
      </c>
      <c r="G88" s="22" t="s">
        <v>34</v>
      </c>
      <c r="J88" s="112">
        <f>INDEX('Lane Rental Schemes'!J$149:J$166,'Analysis (LRS)'!$G86,)</f>
        <v>0</v>
      </c>
      <c r="K88" s="112">
        <f>INDEX('Lane Rental Schemes'!K$149:K$166,'Analysis (LRS)'!$G86,)</f>
        <v>0</v>
      </c>
      <c r="L88" s="112">
        <f>INDEX('Lane Rental Schemes'!L$149:L$166,'Analysis (LRS)'!$G86,)</f>
        <v>0</v>
      </c>
      <c r="M88" s="112">
        <f>INDEX('Lane Rental Schemes'!M$149:M$166,'Analysis (LRS)'!$G86,)</f>
        <v>0</v>
      </c>
      <c r="N88" s="112">
        <f>INDEX('Lane Rental Schemes'!N$149:N$166,'Analysis (LRS)'!$G86,)</f>
        <v>0</v>
      </c>
      <c r="O88" s="112">
        <f>INDEX('Lane Rental Schemes'!O$149:O$166,'Analysis (LRS)'!$G86,)</f>
        <v>0</v>
      </c>
      <c r="P88" s="112">
        <f>INDEX('Lane Rental Schemes'!P$149:P$166,'Analysis (LRS)'!$G86,)</f>
        <v>0</v>
      </c>
      <c r="Q88" s="112">
        <f>INDEX('Lane Rental Schemes'!Q$149:Q$166,'Analysis (LRS)'!$G86,)</f>
        <v>0</v>
      </c>
      <c r="R88" s="112">
        <f>INDEX('Lane Rental Schemes'!R$149:R$166,'Analysis (LRS)'!$G86,)</f>
        <v>0</v>
      </c>
      <c r="S88" s="112">
        <f>INDEX('Lane Rental Schemes'!S$149:S$166,'Analysis (LRS)'!$G86,)</f>
        <v>0</v>
      </c>
      <c r="T88" s="138"/>
      <c r="U88" s="112">
        <f>IFERROR(AVERAGE(O88:S88),0)</f>
        <v>0</v>
      </c>
      <c r="V88" s="112">
        <f>SUM(O88:S88)</f>
        <v>0</v>
      </c>
      <c r="X88" s="192"/>
      <c r="Y88" s="192"/>
      <c r="Z88" s="189"/>
      <c r="AA88" s="176"/>
      <c r="AB88" s="242"/>
    </row>
    <row r="89" spans="3:28" hidden="1" outlineLevel="2" x14ac:dyDescent="0.35">
      <c r="E89" s="8" t="s">
        <v>99</v>
      </c>
      <c r="G89" s="22" t="s">
        <v>34</v>
      </c>
      <c r="J89" s="134">
        <f t="shared" ref="J89:S89" si="15">SUM(J87:J88)</f>
        <v>0</v>
      </c>
      <c r="K89" s="134">
        <f t="shared" si="15"/>
        <v>0</v>
      </c>
      <c r="L89" s="134">
        <f t="shared" si="15"/>
        <v>0</v>
      </c>
      <c r="M89" s="134">
        <f t="shared" si="15"/>
        <v>0</v>
      </c>
      <c r="N89" s="134">
        <f t="shared" si="15"/>
        <v>0</v>
      </c>
      <c r="O89" s="134">
        <f t="shared" si="15"/>
        <v>0</v>
      </c>
      <c r="P89" s="134">
        <f t="shared" si="15"/>
        <v>0</v>
      </c>
      <c r="Q89" s="134">
        <f t="shared" si="15"/>
        <v>0</v>
      </c>
      <c r="R89" s="134">
        <f t="shared" si="15"/>
        <v>0</v>
      </c>
      <c r="S89" s="134">
        <f t="shared" si="15"/>
        <v>0</v>
      </c>
      <c r="T89" s="138"/>
      <c r="U89" s="134">
        <f>SUM(U87:U88)</f>
        <v>0</v>
      </c>
      <c r="V89" s="134">
        <f>SUM(V87:V88)</f>
        <v>0</v>
      </c>
      <c r="AA89" s="177"/>
    </row>
    <row r="90" spans="3:28" hidden="1" outlineLevel="1" x14ac:dyDescent="0.35">
      <c r="J90" s="112"/>
      <c r="K90" s="112"/>
      <c r="L90" s="112"/>
      <c r="M90" s="112"/>
      <c r="N90" s="112"/>
      <c r="O90" s="112"/>
      <c r="P90" s="112"/>
      <c r="Q90" s="112"/>
      <c r="R90" s="112"/>
      <c r="S90" s="112"/>
      <c r="T90" s="138"/>
      <c r="U90" s="112"/>
      <c r="V90" s="112"/>
      <c r="AA90" s="177"/>
    </row>
    <row r="91" spans="3:28" hidden="1" outlineLevel="1" collapsed="1" x14ac:dyDescent="0.35">
      <c r="C91" s="24" t="str">
        <f>INDEX(InpC!$E$25:$E$42,G91)</f>
        <v>Bristol Water</v>
      </c>
      <c r="F91" s="113" t="str">
        <f>INDEX(InpC!$F$25:$F$42,G91,)</f>
        <v>BRL</v>
      </c>
      <c r="G91" s="131">
        <v>17</v>
      </c>
      <c r="J91" s="112"/>
      <c r="K91" s="112"/>
      <c r="L91" s="112"/>
      <c r="M91" s="112"/>
      <c r="N91" s="112"/>
      <c r="O91" s="112"/>
      <c r="P91" s="112"/>
      <c r="Q91" s="112"/>
      <c r="R91" s="112"/>
      <c r="S91" s="112"/>
      <c r="T91" s="138"/>
      <c r="U91" s="112"/>
      <c r="V91" s="112"/>
      <c r="AA91" s="177"/>
    </row>
    <row r="92" spans="3:28" hidden="1" outlineLevel="2" x14ac:dyDescent="0.35">
      <c r="E92" s="8" t="s">
        <v>224</v>
      </c>
      <c r="G92" s="22" t="s">
        <v>34</v>
      </c>
      <c r="J92" s="112">
        <f>INDEX('Lane Rental Schemes'!J$71:J$88,'Analysis (LRS)'!$G91,)</f>
        <v>0</v>
      </c>
      <c r="K92" s="112">
        <f>INDEX('Lane Rental Schemes'!K$71:K$88,'Analysis (LRS)'!$G91,)</f>
        <v>0</v>
      </c>
      <c r="L92" s="112">
        <f>INDEX('Lane Rental Schemes'!L$71:L$88,'Analysis (LRS)'!$G91,)</f>
        <v>0</v>
      </c>
      <c r="M92" s="112">
        <f>INDEX('Lane Rental Schemes'!M$71:M$88,'Analysis (LRS)'!$G91,)</f>
        <v>0</v>
      </c>
      <c r="N92" s="112">
        <f>INDEX('Lane Rental Schemes'!N$71:N$88,'Analysis (LRS)'!$G91,)</f>
        <v>0</v>
      </c>
      <c r="O92" s="112">
        <f>INDEX('Lane Rental Schemes'!O$71:O$88,'Analysis (LRS)'!$G91,)</f>
        <v>0</v>
      </c>
      <c r="P92" s="112">
        <f>INDEX('Lane Rental Schemes'!P$71:P$88,'Analysis (LRS)'!$G91,)</f>
        <v>0</v>
      </c>
      <c r="Q92" s="112">
        <f>INDEX('Lane Rental Schemes'!Q$71:Q$88,'Analysis (LRS)'!$G91,)</f>
        <v>0</v>
      </c>
      <c r="R92" s="112">
        <f>INDEX('Lane Rental Schemes'!R$71:R$88,'Analysis (LRS)'!$G91,)</f>
        <v>0</v>
      </c>
      <c r="S92" s="112">
        <f>INDEX('Lane Rental Schemes'!S$71:S$88,'Analysis (LRS)'!$G91,)</f>
        <v>0</v>
      </c>
      <c r="T92" s="138"/>
      <c r="U92" s="112">
        <f>IFERROR(AVERAGE(O92:S92),0)</f>
        <v>0</v>
      </c>
      <c r="V92" s="112">
        <f>SUM(O92:S92)</f>
        <v>0</v>
      </c>
      <c r="X92" s="146" t="s">
        <v>206</v>
      </c>
      <c r="Y92" s="146" t="s">
        <v>206</v>
      </c>
      <c r="Z92" s="191" t="s">
        <v>206</v>
      </c>
      <c r="AA92" s="175" t="s">
        <v>206</v>
      </c>
      <c r="AB92" s="146" t="s">
        <v>206</v>
      </c>
    </row>
    <row r="93" spans="3:28" ht="13.5" hidden="1" outlineLevel="2" thickBot="1" x14ac:dyDescent="0.4">
      <c r="E93" s="8" t="s">
        <v>225</v>
      </c>
      <c r="G93" s="22" t="s">
        <v>34</v>
      </c>
      <c r="J93" s="112">
        <f>INDEX('Lane Rental Schemes'!J$149:J$166,'Analysis (LRS)'!$G91,)</f>
        <v>0</v>
      </c>
      <c r="K93" s="112">
        <f>INDEX('Lane Rental Schemes'!K$149:K$166,'Analysis (LRS)'!$G91,)</f>
        <v>0</v>
      </c>
      <c r="L93" s="112">
        <f>INDEX('Lane Rental Schemes'!L$149:L$166,'Analysis (LRS)'!$G91,)</f>
        <v>0</v>
      </c>
      <c r="M93" s="112">
        <f>INDEX('Lane Rental Schemes'!M$149:M$166,'Analysis (LRS)'!$G91,)</f>
        <v>0</v>
      </c>
      <c r="N93" s="112">
        <f>INDEX('Lane Rental Schemes'!N$149:N$166,'Analysis (LRS)'!$G91,)</f>
        <v>0</v>
      </c>
      <c r="O93" s="112">
        <f>INDEX('Lane Rental Schemes'!O$149:O$166,'Analysis (LRS)'!$G91,)</f>
        <v>0</v>
      </c>
      <c r="P93" s="112">
        <f>INDEX('Lane Rental Schemes'!P$149:P$166,'Analysis (LRS)'!$G91,)</f>
        <v>0</v>
      </c>
      <c r="Q93" s="112">
        <f>INDEX('Lane Rental Schemes'!Q$149:Q$166,'Analysis (LRS)'!$G91,)</f>
        <v>0</v>
      </c>
      <c r="R93" s="112">
        <f>INDEX('Lane Rental Schemes'!R$149:R$166,'Analysis (LRS)'!$G91,)</f>
        <v>0</v>
      </c>
      <c r="S93" s="112">
        <f>INDEX('Lane Rental Schemes'!S$149:S$166,'Analysis (LRS)'!$G91,)</f>
        <v>0</v>
      </c>
      <c r="T93" s="138"/>
      <c r="U93" s="112">
        <f>IFERROR(AVERAGE(O93:S93),0)</f>
        <v>0</v>
      </c>
      <c r="V93" s="112">
        <f>SUM(O93:S93)</f>
        <v>0</v>
      </c>
      <c r="X93" s="147"/>
      <c r="Y93" s="147"/>
      <c r="Z93" s="189"/>
      <c r="AA93" s="176"/>
      <c r="AB93" s="147"/>
    </row>
    <row r="94" spans="3:28" hidden="1" outlineLevel="2" x14ac:dyDescent="0.35">
      <c r="E94" s="8" t="s">
        <v>99</v>
      </c>
      <c r="G94" s="22" t="s">
        <v>34</v>
      </c>
      <c r="J94" s="134">
        <f t="shared" ref="J94:S94" si="16">SUM(J92:J93)</f>
        <v>0</v>
      </c>
      <c r="K94" s="134">
        <f t="shared" si="16"/>
        <v>0</v>
      </c>
      <c r="L94" s="134">
        <f t="shared" si="16"/>
        <v>0</v>
      </c>
      <c r="M94" s="134">
        <f t="shared" si="16"/>
        <v>0</v>
      </c>
      <c r="N94" s="134">
        <f t="shared" si="16"/>
        <v>0</v>
      </c>
      <c r="O94" s="134">
        <f t="shared" si="16"/>
        <v>0</v>
      </c>
      <c r="P94" s="134">
        <f t="shared" si="16"/>
        <v>0</v>
      </c>
      <c r="Q94" s="134">
        <f t="shared" si="16"/>
        <v>0</v>
      </c>
      <c r="R94" s="134">
        <f t="shared" si="16"/>
        <v>0</v>
      </c>
      <c r="S94" s="134">
        <f t="shared" si="16"/>
        <v>0</v>
      </c>
      <c r="T94" s="138"/>
      <c r="U94" s="134">
        <f>SUM(U92:U93)</f>
        <v>0</v>
      </c>
      <c r="V94" s="134">
        <f>SUM(V92:V93)</f>
        <v>0</v>
      </c>
    </row>
    <row r="95" spans="3:28" hidden="1" outlineLevel="1" x14ac:dyDescent="0.35">
      <c r="J95" s="112"/>
      <c r="K95" s="112"/>
      <c r="L95" s="112"/>
      <c r="M95" s="112"/>
      <c r="N95" s="112"/>
      <c r="O95" s="112"/>
      <c r="P95" s="112"/>
      <c r="Q95" s="112"/>
      <c r="R95" s="112"/>
      <c r="S95" s="112"/>
      <c r="T95" s="138"/>
      <c r="U95" s="112"/>
      <c r="V95" s="112"/>
    </row>
    <row r="96" spans="3:28" hidden="1" outlineLevel="1" collapsed="1" x14ac:dyDescent="0.35">
      <c r="C96" s="24" t="str">
        <f>INDEX(InpC!$E$25:$E$42,G96)</f>
        <v>Industry total</v>
      </c>
      <c r="F96" s="113">
        <f>INDEX(InpC!$F$25:$F$42,G96,)</f>
        <v>0</v>
      </c>
      <c r="G96" s="131">
        <v>18</v>
      </c>
      <c r="J96" s="112"/>
      <c r="K96" s="112"/>
      <c r="L96" s="112"/>
      <c r="M96" s="112"/>
      <c r="N96" s="112"/>
      <c r="O96" s="112"/>
      <c r="P96" s="112"/>
      <c r="Q96" s="112"/>
      <c r="R96" s="112"/>
      <c r="S96" s="112"/>
      <c r="T96" s="138"/>
      <c r="U96" s="112"/>
      <c r="V96" s="112"/>
    </row>
    <row r="97" spans="1:28" hidden="1" outlineLevel="2" x14ac:dyDescent="0.35">
      <c r="E97" s="8" t="s">
        <v>224</v>
      </c>
      <c r="G97" s="22" t="s">
        <v>34</v>
      </c>
      <c r="J97" s="112">
        <f>INDEX('Lane Rental Schemes'!J$71:J$88,'Analysis (LRS)'!$G96,)</f>
        <v>1.3312037383177571</v>
      </c>
      <c r="K97" s="112">
        <f>INDEX('Lane Rental Schemes'!K$71:K$88,'Analysis (LRS)'!$G96,)</f>
        <v>1.6964051565377538</v>
      </c>
      <c r="L97" s="112">
        <f>INDEX('Lane Rental Schemes'!L$71:L$88,'Analysis (LRS)'!$G96,)</f>
        <v>3.3810000000000002</v>
      </c>
      <c r="M97" s="112">
        <f>INDEX('Lane Rental Schemes'!M$71:M$88,'Analysis (LRS)'!$G96,)</f>
        <v>3.1330498660202042</v>
      </c>
      <c r="N97" s="112">
        <f>INDEX('Lane Rental Schemes'!N$71:N$88,'Analysis (LRS)'!$G96,)</f>
        <v>2.0893668047806382</v>
      </c>
      <c r="O97" s="112">
        <f>INDEX('Lane Rental Schemes'!O$71:O$88,'Analysis (LRS)'!$G96,)</f>
        <v>4.1262150756038061</v>
      </c>
      <c r="P97" s="112">
        <f>INDEX('Lane Rental Schemes'!P$71:P$88,'Analysis (LRS)'!$G96,)</f>
        <v>4.1326810280178377</v>
      </c>
      <c r="Q97" s="112">
        <f>INDEX('Lane Rental Schemes'!Q$71:Q$88,'Analysis (LRS)'!$G96,)</f>
        <v>4.1298494385244942</v>
      </c>
      <c r="R97" s="112">
        <f>INDEX('Lane Rental Schemes'!R$71:R$88,'Analysis (LRS)'!$G96,)</f>
        <v>4.1338146805464735</v>
      </c>
      <c r="S97" s="112">
        <f>INDEX('Lane Rental Schemes'!S$71:S$88,'Analysis (LRS)'!$G96,)</f>
        <v>4.1339320149406769</v>
      </c>
      <c r="T97" s="138"/>
      <c r="U97" s="112">
        <f>IFERROR(AVERAGE(O97:S97),0)</f>
        <v>4.1312984475266576</v>
      </c>
      <c r="V97" s="112">
        <f>SUM(O97:S97)</f>
        <v>20.656492237633287</v>
      </c>
      <c r="X97" s="241"/>
      <c r="Y97" s="241"/>
      <c r="Z97" s="191"/>
      <c r="AA97" s="175"/>
      <c r="AB97" s="241"/>
    </row>
    <row r="98" spans="1:28" ht="13.5" hidden="1" outlineLevel="2" thickBot="1" x14ac:dyDescent="0.4">
      <c r="E98" s="8" t="s">
        <v>225</v>
      </c>
      <c r="G98" s="22" t="s">
        <v>34</v>
      </c>
      <c r="J98" s="112">
        <f>INDEX('Lane Rental Schemes'!J$149:J$166,'Analysis (LRS)'!$G96,)</f>
        <v>0.27605607476635513</v>
      </c>
      <c r="K98" s="112">
        <f>INDEX('Lane Rental Schemes'!K$149:K$166,'Analysis (LRS)'!$G96,)</f>
        <v>0.64471454880294676</v>
      </c>
      <c r="L98" s="112">
        <f>INDEX('Lane Rental Schemes'!L$149:L$166,'Analysis (LRS)'!$G96,)</f>
        <v>0.53</v>
      </c>
      <c r="M98" s="112">
        <f>INDEX('Lane Rental Schemes'!M$149:M$166,'Analysis (LRS)'!$G96,)</f>
        <v>0.82002277039848159</v>
      </c>
      <c r="N98" s="112">
        <f>INDEX('Lane Rental Schemes'!N$149:N$166,'Analysis (LRS)'!$G96,)</f>
        <v>0.38700000000000001</v>
      </c>
      <c r="O98" s="112">
        <f>INDEX('Lane Rental Schemes'!O$149:O$166,'Analysis (LRS)'!$G96,)</f>
        <v>0.80270818291805357</v>
      </c>
      <c r="P98" s="112">
        <f>INDEX('Lane Rental Schemes'!P$149:P$166,'Analysis (LRS)'!$G96,)</f>
        <v>0.80316025658824652</v>
      </c>
      <c r="Q98" s="112">
        <f>INDEX('Lane Rental Schemes'!Q$149:Q$166,'Analysis (LRS)'!$G96,)</f>
        <v>0.8030588867691133</v>
      </c>
      <c r="R98" s="112">
        <f>INDEX('Lane Rental Schemes'!R$149:R$166,'Analysis (LRS)'!$G96,)</f>
        <v>0.79648422642966643</v>
      </c>
      <c r="S98" s="112">
        <f>INDEX('Lane Rental Schemes'!S$149:S$166,'Analysis (LRS)'!$G96,)</f>
        <v>0.79649163590524219</v>
      </c>
      <c r="T98" s="138"/>
      <c r="U98" s="112">
        <f>IFERROR(AVERAGE(O98:S98),0)</f>
        <v>0.80038063772206436</v>
      </c>
      <c r="V98" s="112">
        <f>SUM(O98:S98)</f>
        <v>4.0019031886103216</v>
      </c>
      <c r="X98" s="242"/>
      <c r="Y98" s="242"/>
      <c r="Z98" s="189"/>
      <c r="AA98" s="176"/>
      <c r="AB98" s="242"/>
    </row>
    <row r="99" spans="1:28" hidden="1" outlineLevel="2" x14ac:dyDescent="0.35">
      <c r="E99" s="8" t="s">
        <v>99</v>
      </c>
      <c r="G99" s="22" t="s">
        <v>34</v>
      </c>
      <c r="J99" s="134">
        <f t="shared" ref="J99:S99" si="17">SUM(J97:J98)</f>
        <v>1.6072598130841123</v>
      </c>
      <c r="K99" s="134">
        <f t="shared" si="17"/>
        <v>2.3411197053407005</v>
      </c>
      <c r="L99" s="134">
        <f t="shared" si="17"/>
        <v>3.9110000000000005</v>
      </c>
      <c r="M99" s="134">
        <f t="shared" si="17"/>
        <v>3.9530726364186859</v>
      </c>
      <c r="N99" s="134">
        <f t="shared" si="17"/>
        <v>2.4763668047806382</v>
      </c>
      <c r="O99" s="134">
        <f t="shared" si="17"/>
        <v>4.9289232585218592</v>
      </c>
      <c r="P99" s="134">
        <f t="shared" si="17"/>
        <v>4.9358412846060844</v>
      </c>
      <c r="Q99" s="134">
        <f t="shared" si="17"/>
        <v>4.9329083252936075</v>
      </c>
      <c r="R99" s="134">
        <f t="shared" si="17"/>
        <v>4.93029890697614</v>
      </c>
      <c r="S99" s="134">
        <f t="shared" si="17"/>
        <v>4.9304236508459187</v>
      </c>
      <c r="T99" s="138"/>
      <c r="U99" s="134">
        <f>SUM(U97:U98)</f>
        <v>4.9316790852487218</v>
      </c>
      <c r="V99" s="134">
        <f>SUM(V97:V98)</f>
        <v>24.658395426243608</v>
      </c>
    </row>
    <row r="100" spans="1:28" hidden="1" outlineLevel="1" x14ac:dyDescent="0.35">
      <c r="J100" s="112"/>
      <c r="K100" s="112"/>
      <c r="L100" s="112"/>
      <c r="M100" s="112"/>
      <c r="N100" s="112"/>
      <c r="O100" s="112"/>
      <c r="P100" s="112"/>
      <c r="Q100" s="112"/>
      <c r="R100" s="112"/>
      <c r="S100" s="112"/>
      <c r="T100" s="138"/>
      <c r="U100" s="112"/>
      <c r="V100" s="112"/>
    </row>
    <row r="101" spans="1:28" collapsed="1" x14ac:dyDescent="0.35">
      <c r="A101" s="11" t="s">
        <v>222</v>
      </c>
      <c r="J101" s="112"/>
      <c r="K101" s="112"/>
      <c r="L101" s="112"/>
      <c r="M101" s="112"/>
      <c r="N101" s="112"/>
      <c r="O101" s="112"/>
      <c r="P101" s="112"/>
      <c r="Q101" s="112"/>
      <c r="R101" s="112"/>
      <c r="S101" s="112"/>
      <c r="T101" s="138"/>
      <c r="U101" s="112"/>
      <c r="V101" s="112"/>
    </row>
    <row r="102" spans="1:28" hidden="1" outlineLevel="1" x14ac:dyDescent="0.35">
      <c r="J102" s="112"/>
      <c r="K102" s="112"/>
      <c r="L102" s="112"/>
      <c r="M102" s="174"/>
      <c r="N102" s="174"/>
      <c r="O102" s="174"/>
      <c r="P102" s="174"/>
      <c r="Q102" s="174"/>
      <c r="R102" s="174"/>
      <c r="S102" s="174"/>
      <c r="T102" s="138"/>
      <c r="U102" s="112"/>
      <c r="V102" s="112"/>
      <c r="X102" s="251"/>
      <c r="Y102" s="251"/>
      <c r="Z102" s="252"/>
      <c r="AA102" s="251"/>
      <c r="AB102" s="251"/>
    </row>
    <row r="103" spans="1:28" hidden="1" outlineLevel="1" collapsed="1" x14ac:dyDescent="0.35">
      <c r="C103" s="24" t="str">
        <f>INDEX(InpC!$E$25:$E$42,G103)</f>
        <v>Anglian Water</v>
      </c>
      <c r="F103" s="113" t="str">
        <f>INDEX(InpC!$F$25:$F$42,G103,)</f>
        <v>ANH</v>
      </c>
      <c r="G103" s="8">
        <f>G11</f>
        <v>1</v>
      </c>
      <c r="J103" s="112"/>
      <c r="K103" s="112"/>
      <c r="L103" s="112"/>
      <c r="M103" s="112"/>
      <c r="N103" s="112"/>
      <c r="O103" s="112"/>
      <c r="P103" s="112"/>
      <c r="Q103" s="112"/>
      <c r="R103" s="112"/>
      <c r="S103" s="112"/>
      <c r="T103" s="138"/>
      <c r="U103" s="112"/>
      <c r="V103" s="112"/>
      <c r="X103" s="251"/>
      <c r="Y103" s="251"/>
      <c r="Z103" s="252"/>
      <c r="AA103" s="251"/>
      <c r="AB103" s="251"/>
    </row>
    <row r="104" spans="1:28" hidden="1" outlineLevel="2" x14ac:dyDescent="0.35">
      <c r="E104" s="8" t="s">
        <v>82</v>
      </c>
      <c r="G104" s="22" t="s">
        <v>83</v>
      </c>
      <c r="J104" s="193"/>
      <c r="K104" s="193"/>
      <c r="L104" s="193"/>
      <c r="M104" s="193"/>
      <c r="N104" s="193"/>
      <c r="O104" s="193">
        <f xml:space="preserve"> SUMIFS('F_Inputs (EC)'!F$8:F$41, 'F_Inputs (EC)'!$A$8:$A$41, 'Analysis (LRS)'!$F$103, 'F_Inputs (EC)'!$B$8:$B$41, 'F_Inputs (EC)'!$B8)</f>
        <v>0.1</v>
      </c>
      <c r="P104" s="193">
        <f xml:space="preserve"> SUMIFS('F_Inputs (EC)'!G$8:G$41, 'F_Inputs (EC)'!$A$8:$A$41, 'Analysis (LRS)'!$F$103, 'F_Inputs (EC)'!$B$8:$B$41, 'F_Inputs (EC)'!$B8)</f>
        <v>0.1</v>
      </c>
      <c r="Q104" s="193">
        <f xml:space="preserve"> SUMIFS('F_Inputs (EC)'!H$8:H$41, 'F_Inputs (EC)'!$A$8:$A$41, 'Analysis (LRS)'!$F$103, 'F_Inputs (EC)'!$B$8:$B$41, 'F_Inputs (EC)'!$B8)</f>
        <v>0.1</v>
      </c>
      <c r="R104" s="193">
        <f xml:space="preserve"> SUMIFS('F_Inputs (EC)'!I$8:I$41, 'F_Inputs (EC)'!$A$8:$A$41, 'Analysis (LRS)'!$F$103, 'F_Inputs (EC)'!$B$8:$B$41, 'F_Inputs (EC)'!$B8)</f>
        <v>0.1</v>
      </c>
      <c r="S104" s="193">
        <f xml:space="preserve"> SUMIFS('F_Inputs (EC)'!J$8:J$41, 'F_Inputs (EC)'!$A$8:$A$41, 'Analysis (LRS)'!$F$103, 'F_Inputs (EC)'!$B$8:$B$41, 'F_Inputs (EC)'!$B8)</f>
        <v>0.1</v>
      </c>
      <c r="T104" s="138"/>
      <c r="U104" s="112"/>
      <c r="V104" s="112"/>
    </row>
    <row r="105" spans="1:28" hidden="1" outlineLevel="2" x14ac:dyDescent="0.35">
      <c r="E105" s="8" t="s">
        <v>85</v>
      </c>
      <c r="G105" s="22" t="s">
        <v>83</v>
      </c>
      <c r="J105" s="193"/>
      <c r="K105" s="193"/>
      <c r="L105" s="193"/>
      <c r="M105" s="193"/>
      <c r="N105" s="193"/>
      <c r="O105" s="193">
        <f xml:space="preserve"> SUMIFS('F_Inputs (EC)'!F$8:F$41, 'F_Inputs (EC)'!$A$8:$A$41, 'Analysis (LRS)'!$F$103, 'F_Inputs (EC)'!$B$8:$B$41, 'F_Inputs (EC)'!$B9)</f>
        <v>5.8528894660225775E-2</v>
      </c>
      <c r="P105" s="193">
        <f xml:space="preserve"> SUMIFS('F_Inputs (EC)'!G$8:G$41, 'F_Inputs (EC)'!$A$8:$A$41, 'Analysis (LRS)'!$F$103, 'F_Inputs (EC)'!$B$8:$B$41, 'F_Inputs (EC)'!$B9)</f>
        <v>5.8528894660225775E-2</v>
      </c>
      <c r="Q105" s="193">
        <f xml:space="preserve"> SUMIFS('F_Inputs (EC)'!H$8:H$41, 'F_Inputs (EC)'!$A$8:$A$41, 'Analysis (LRS)'!$F$103, 'F_Inputs (EC)'!$B$8:$B$41, 'F_Inputs (EC)'!$B9)</f>
        <v>5.8528894660225775E-2</v>
      </c>
      <c r="R105" s="193">
        <f xml:space="preserve"> SUMIFS('F_Inputs (EC)'!I$8:I$41, 'F_Inputs (EC)'!$A$8:$A$41, 'Analysis (LRS)'!$F$103, 'F_Inputs (EC)'!$B$8:$B$41, 'F_Inputs (EC)'!$B9)</f>
        <v>5.8528894660225775E-2</v>
      </c>
      <c r="S105" s="193">
        <f xml:space="preserve"> SUMIFS('F_Inputs (EC)'!J$8:J$41, 'F_Inputs (EC)'!$A$8:$A$41, 'Analysis (LRS)'!$F$103, 'F_Inputs (EC)'!$B$8:$B$41, 'F_Inputs (EC)'!$B9)</f>
        <v>5.8528894660225775E-2</v>
      </c>
      <c r="T105" s="138"/>
      <c r="U105" s="112"/>
      <c r="V105" s="112"/>
    </row>
    <row r="106" spans="1:28" hidden="1" outlineLevel="2" x14ac:dyDescent="0.35">
      <c r="E106" s="8" t="s">
        <v>224</v>
      </c>
      <c r="G106" s="22" t="s">
        <v>34</v>
      </c>
      <c r="J106" s="112"/>
      <c r="K106" s="112"/>
      <c r="L106" s="112"/>
      <c r="M106" s="112"/>
      <c r="N106" s="112"/>
      <c r="O106" s="112">
        <f t="shared" ref="O106:S107" si="18" xml:space="preserve"> O12 * (1 - O104)</f>
        <v>0</v>
      </c>
      <c r="P106" s="112">
        <f t="shared" si="18"/>
        <v>0</v>
      </c>
      <c r="Q106" s="112">
        <f t="shared" si="18"/>
        <v>0</v>
      </c>
      <c r="R106" s="112">
        <f t="shared" si="18"/>
        <v>0</v>
      </c>
      <c r="S106" s="112">
        <f t="shared" si="18"/>
        <v>0</v>
      </c>
      <c r="T106" s="138"/>
      <c r="U106" s="112">
        <f t="shared" ref="U106:U107" si="19">IFERROR(AVERAGE(O106:S106),0)</f>
        <v>0</v>
      </c>
      <c r="V106" s="112">
        <f t="shared" ref="V106:V107" si="20">SUM(O106:S106)</f>
        <v>0</v>
      </c>
    </row>
    <row r="107" spans="1:28" hidden="1" outlineLevel="2" x14ac:dyDescent="0.35">
      <c r="E107" s="8" t="s">
        <v>225</v>
      </c>
      <c r="G107" s="22" t="s">
        <v>34</v>
      </c>
      <c r="J107" s="112"/>
      <c r="K107" s="112"/>
      <c r="L107" s="112"/>
      <c r="M107" s="112"/>
      <c r="N107" s="112"/>
      <c r="O107" s="112">
        <f t="shared" si="18"/>
        <v>0</v>
      </c>
      <c r="P107" s="112">
        <f t="shared" si="18"/>
        <v>0</v>
      </c>
      <c r="Q107" s="112">
        <f t="shared" si="18"/>
        <v>0</v>
      </c>
      <c r="R107" s="112">
        <f t="shared" si="18"/>
        <v>0</v>
      </c>
      <c r="S107" s="112">
        <f t="shared" si="18"/>
        <v>0</v>
      </c>
      <c r="T107" s="138"/>
      <c r="U107" s="112">
        <f t="shared" si="19"/>
        <v>0</v>
      </c>
      <c r="V107" s="112">
        <f t="shared" si="20"/>
        <v>0</v>
      </c>
    </row>
    <row r="108" spans="1:28" hidden="1" outlineLevel="2" x14ac:dyDescent="0.35">
      <c r="E108" s="8" t="s">
        <v>99</v>
      </c>
      <c r="G108" s="22" t="s">
        <v>34</v>
      </c>
      <c r="J108" s="134">
        <f>SUM(J106:J107)</f>
        <v>0</v>
      </c>
      <c r="K108" s="134">
        <f t="shared" ref="K108:S108" si="21">SUM(K106:K107)</f>
        <v>0</v>
      </c>
      <c r="L108" s="134">
        <f t="shared" si="21"/>
        <v>0</v>
      </c>
      <c r="M108" s="134">
        <f t="shared" si="21"/>
        <v>0</v>
      </c>
      <c r="N108" s="134">
        <f t="shared" si="21"/>
        <v>0</v>
      </c>
      <c r="O108" s="134">
        <f t="shared" si="21"/>
        <v>0</v>
      </c>
      <c r="P108" s="134">
        <f t="shared" si="21"/>
        <v>0</v>
      </c>
      <c r="Q108" s="134">
        <f t="shared" si="21"/>
        <v>0</v>
      </c>
      <c r="R108" s="134">
        <f t="shared" si="21"/>
        <v>0</v>
      </c>
      <c r="S108" s="134">
        <f t="shared" si="21"/>
        <v>0</v>
      </c>
      <c r="T108" s="138"/>
      <c r="U108" s="134">
        <f>SUM(U106:U107)</f>
        <v>0</v>
      </c>
      <c r="V108" s="134">
        <f>SUM(V106:V107)</f>
        <v>0</v>
      </c>
    </row>
    <row r="109" spans="1:28" hidden="1" outlineLevel="1" x14ac:dyDescent="0.35">
      <c r="J109" s="112"/>
      <c r="K109" s="112"/>
      <c r="L109" s="112"/>
      <c r="M109" s="112"/>
      <c r="N109" s="112"/>
      <c r="O109" s="112"/>
      <c r="P109" s="112"/>
      <c r="Q109" s="112"/>
      <c r="R109" s="112"/>
      <c r="S109" s="112"/>
      <c r="T109" s="138"/>
      <c r="U109" s="112"/>
      <c r="V109" s="112"/>
    </row>
    <row r="110" spans="1:28" hidden="1" outlineLevel="1" collapsed="1" x14ac:dyDescent="0.35">
      <c r="C110" s="24" t="str">
        <f>INDEX(InpC!$E$25:$E$42,G110)</f>
        <v>Dŵr Cymru</v>
      </c>
      <c r="F110" s="113" t="str">
        <f>INDEX(InpC!$F$25:$F$42,G110,)</f>
        <v>WSH</v>
      </c>
      <c r="G110" s="8">
        <f>G16</f>
        <v>2</v>
      </c>
      <c r="J110" s="112"/>
      <c r="K110" s="112"/>
      <c r="L110" s="112"/>
      <c r="M110" s="112"/>
      <c r="N110" s="112"/>
      <c r="O110" s="112"/>
      <c r="P110" s="112"/>
      <c r="Q110" s="112"/>
      <c r="R110" s="112"/>
      <c r="S110" s="112"/>
      <c r="T110" s="138"/>
      <c r="U110" s="112"/>
      <c r="V110" s="112"/>
    </row>
    <row r="111" spans="1:28" hidden="1" outlineLevel="2" x14ac:dyDescent="0.35">
      <c r="E111" s="183" t="s">
        <v>82</v>
      </c>
      <c r="G111" s="22" t="s">
        <v>83</v>
      </c>
      <c r="J111" s="193"/>
      <c r="K111" s="193"/>
      <c r="L111" s="193"/>
      <c r="M111" s="193"/>
      <c r="N111" s="193"/>
      <c r="O111" s="193">
        <f xml:space="preserve"> SUMIFS('F_Inputs (EC)'!F$8:F$41, 'F_Inputs (EC)'!$A$8:$A$41, 'Analysis (LRS)'!$F$110, 'F_Inputs (EC)'!$B$8:$B$41, 'F_Inputs (EC)'!$B8)</f>
        <v>7.3588877505634835E-3</v>
      </c>
      <c r="P111" s="193">
        <f xml:space="preserve"> SUMIFS('F_Inputs (EC)'!G$8:G$41, 'F_Inputs (EC)'!$A$8:$A$41, 'Analysis (LRS)'!$F$110, 'F_Inputs (EC)'!$B$8:$B$41, 'F_Inputs (EC)'!$B8)</f>
        <v>7.3588877505634835E-3</v>
      </c>
      <c r="Q111" s="193">
        <f xml:space="preserve"> SUMIFS('F_Inputs (EC)'!H$8:H$41, 'F_Inputs (EC)'!$A$8:$A$41, 'Analysis (LRS)'!$F$110, 'F_Inputs (EC)'!$B$8:$B$41, 'F_Inputs (EC)'!$B8)</f>
        <v>7.3588877505634835E-3</v>
      </c>
      <c r="R111" s="193">
        <f xml:space="preserve"> SUMIFS('F_Inputs (EC)'!I$8:I$41, 'F_Inputs (EC)'!$A$8:$A$41, 'Analysis (LRS)'!$F$110, 'F_Inputs (EC)'!$B$8:$B$41, 'F_Inputs (EC)'!$B8)</f>
        <v>7.3588877505634835E-3</v>
      </c>
      <c r="S111" s="193">
        <f xml:space="preserve"> SUMIFS('F_Inputs (EC)'!J$8:J$41, 'F_Inputs (EC)'!$A$8:$A$41, 'Analysis (LRS)'!$F$110, 'F_Inputs (EC)'!$B$8:$B$41, 'F_Inputs (EC)'!$B8)</f>
        <v>7.3588877505634835E-3</v>
      </c>
      <c r="T111" s="138"/>
      <c r="U111" s="112"/>
      <c r="V111" s="112"/>
    </row>
    <row r="112" spans="1:28" hidden="1" outlineLevel="2" x14ac:dyDescent="0.35">
      <c r="E112" s="183" t="s">
        <v>85</v>
      </c>
      <c r="G112" s="22" t="s">
        <v>83</v>
      </c>
      <c r="J112" s="193"/>
      <c r="K112" s="193"/>
      <c r="L112" s="193"/>
      <c r="M112" s="193"/>
      <c r="N112" s="193"/>
      <c r="O112" s="193">
        <f xml:space="preserve"> SUMIFS('F_Inputs (EC)'!F$8:F$41, 'F_Inputs (EC)'!$A$8:$A$41, 'Analysis (LRS)'!$F$110, 'F_Inputs (EC)'!$B$8:$B$41, 'F_Inputs (EC)'!$B9)</f>
        <v>0</v>
      </c>
      <c r="P112" s="193">
        <f xml:space="preserve"> SUMIFS('F_Inputs (EC)'!G$8:G$41, 'F_Inputs (EC)'!$A$8:$A$41, 'Analysis (LRS)'!$F$110, 'F_Inputs (EC)'!$B$8:$B$41, 'F_Inputs (EC)'!$B9)</f>
        <v>0</v>
      </c>
      <c r="Q112" s="193">
        <f xml:space="preserve"> SUMIFS('F_Inputs (EC)'!H$8:H$41, 'F_Inputs (EC)'!$A$8:$A$41, 'Analysis (LRS)'!$F$110, 'F_Inputs (EC)'!$B$8:$B$41, 'F_Inputs (EC)'!$B9)</f>
        <v>0</v>
      </c>
      <c r="R112" s="193">
        <f xml:space="preserve"> SUMIFS('F_Inputs (EC)'!I$8:I$41, 'F_Inputs (EC)'!$A$8:$A$41, 'Analysis (LRS)'!$F$110, 'F_Inputs (EC)'!$B$8:$B$41, 'F_Inputs (EC)'!$B9)</f>
        <v>0</v>
      </c>
      <c r="S112" s="193">
        <f xml:space="preserve"> SUMIFS('F_Inputs (EC)'!J$8:J$41, 'F_Inputs (EC)'!$A$8:$A$41, 'Analysis (LRS)'!$F$110, 'F_Inputs (EC)'!$B$8:$B$41, 'F_Inputs (EC)'!$B9)</f>
        <v>0</v>
      </c>
      <c r="T112" s="138"/>
      <c r="U112" s="112"/>
      <c r="V112" s="112"/>
    </row>
    <row r="113" spans="3:22" hidden="1" outlineLevel="2" x14ac:dyDescent="0.35">
      <c r="E113" s="8" t="s">
        <v>224</v>
      </c>
      <c r="G113" s="22" t="s">
        <v>34</v>
      </c>
      <c r="J113" s="112"/>
      <c r="K113" s="112"/>
      <c r="L113" s="112"/>
      <c r="M113" s="112"/>
      <c r="N113" s="112"/>
      <c r="O113" s="112">
        <f t="shared" ref="O113:S114" si="22" xml:space="preserve"> O17 * (1 - O111)</f>
        <v>0</v>
      </c>
      <c r="P113" s="112">
        <f t="shared" si="22"/>
        <v>0</v>
      </c>
      <c r="Q113" s="112">
        <f t="shared" si="22"/>
        <v>0</v>
      </c>
      <c r="R113" s="112">
        <f t="shared" si="22"/>
        <v>0</v>
      </c>
      <c r="S113" s="112">
        <f t="shared" si="22"/>
        <v>0</v>
      </c>
      <c r="T113" s="138"/>
      <c r="U113" s="112">
        <f t="shared" ref="U113:U114" si="23">IFERROR(AVERAGE(O113:S113),0)</f>
        <v>0</v>
      </c>
      <c r="V113" s="112">
        <f t="shared" ref="V113:V114" si="24">SUM(O113:S113)</f>
        <v>0</v>
      </c>
    </row>
    <row r="114" spans="3:22" hidden="1" outlineLevel="2" x14ac:dyDescent="0.35">
      <c r="E114" s="8" t="s">
        <v>225</v>
      </c>
      <c r="G114" s="22" t="s">
        <v>34</v>
      </c>
      <c r="J114" s="112"/>
      <c r="K114" s="112"/>
      <c r="L114" s="112"/>
      <c r="M114" s="112"/>
      <c r="N114" s="112"/>
      <c r="O114" s="112">
        <f t="shared" si="22"/>
        <v>0</v>
      </c>
      <c r="P114" s="112">
        <f t="shared" si="22"/>
        <v>0</v>
      </c>
      <c r="Q114" s="112">
        <f t="shared" si="22"/>
        <v>0</v>
      </c>
      <c r="R114" s="112">
        <f t="shared" si="22"/>
        <v>0</v>
      </c>
      <c r="S114" s="112">
        <f t="shared" si="22"/>
        <v>0</v>
      </c>
      <c r="T114" s="138"/>
      <c r="U114" s="112">
        <f t="shared" si="23"/>
        <v>0</v>
      </c>
      <c r="V114" s="112">
        <f t="shared" si="24"/>
        <v>0</v>
      </c>
    </row>
    <row r="115" spans="3:22" hidden="1" outlineLevel="2" x14ac:dyDescent="0.35">
      <c r="E115" s="8" t="s">
        <v>99</v>
      </c>
      <c r="G115" s="22" t="s">
        <v>34</v>
      </c>
      <c r="J115" s="134">
        <f>SUM(J113:J114)</f>
        <v>0</v>
      </c>
      <c r="K115" s="134">
        <f t="shared" ref="K115:S115" si="25">SUM(K113:K114)</f>
        <v>0</v>
      </c>
      <c r="L115" s="134">
        <f t="shared" si="25"/>
        <v>0</v>
      </c>
      <c r="M115" s="134">
        <f t="shared" si="25"/>
        <v>0</v>
      </c>
      <c r="N115" s="134">
        <f t="shared" si="25"/>
        <v>0</v>
      </c>
      <c r="O115" s="134">
        <f t="shared" si="25"/>
        <v>0</v>
      </c>
      <c r="P115" s="134">
        <f t="shared" si="25"/>
        <v>0</v>
      </c>
      <c r="Q115" s="134">
        <f t="shared" si="25"/>
        <v>0</v>
      </c>
      <c r="R115" s="134">
        <f t="shared" si="25"/>
        <v>0</v>
      </c>
      <c r="S115" s="134">
        <f t="shared" si="25"/>
        <v>0</v>
      </c>
      <c r="T115" s="138"/>
      <c r="U115" s="134">
        <f>SUM(U113:U114)</f>
        <v>0</v>
      </c>
      <c r="V115" s="134">
        <f>SUM(V113:V114)</f>
        <v>0</v>
      </c>
    </row>
    <row r="116" spans="3:22" hidden="1" outlineLevel="1" x14ac:dyDescent="0.35">
      <c r="J116" s="112"/>
      <c r="K116" s="112"/>
      <c r="L116" s="112"/>
      <c r="M116" s="112"/>
      <c r="N116" s="112"/>
      <c r="O116" s="112"/>
      <c r="P116" s="112"/>
      <c r="Q116" s="112"/>
      <c r="R116" s="112"/>
      <c r="S116" s="112"/>
      <c r="T116" s="138"/>
      <c r="U116" s="112"/>
      <c r="V116" s="112"/>
    </row>
    <row r="117" spans="3:22" hidden="1" outlineLevel="1" collapsed="1" x14ac:dyDescent="0.35">
      <c r="C117" s="24" t="str">
        <f>INDEX(InpC!$E$25:$E$42,G117)</f>
        <v>Hafren Dyfrdwy</v>
      </c>
      <c r="F117" s="113" t="str">
        <f>INDEX(InpC!$F$25:$F$42,G117,)</f>
        <v>HDD</v>
      </c>
      <c r="G117" s="8">
        <f>G21</f>
        <v>3</v>
      </c>
      <c r="J117" s="112"/>
      <c r="K117" s="112"/>
      <c r="L117" s="112"/>
      <c r="M117" s="112"/>
      <c r="N117" s="112"/>
      <c r="O117" s="112"/>
      <c r="P117" s="112"/>
      <c r="Q117" s="112"/>
      <c r="R117" s="112"/>
      <c r="S117" s="112"/>
      <c r="T117" s="138"/>
      <c r="U117" s="112"/>
      <c r="V117" s="112"/>
    </row>
    <row r="118" spans="3:22" hidden="1" outlineLevel="2" x14ac:dyDescent="0.35">
      <c r="E118" s="183" t="s">
        <v>82</v>
      </c>
      <c r="G118" s="22" t="s">
        <v>83</v>
      </c>
      <c r="J118" s="193"/>
      <c r="K118" s="193"/>
      <c r="L118" s="193"/>
      <c r="M118" s="193"/>
      <c r="N118" s="193"/>
      <c r="O118" s="193">
        <f xml:space="preserve"> SUMIFS('F_Inputs (EC)'!F$8:F$41, 'F_Inputs (EC)'!$A$8:$A$41, 'Analysis (LRS)'!$F$117, 'F_Inputs (EC)'!$B$8:$B$41, 'F_Inputs (EC)'!$B8)</f>
        <v>6.8726762251672541E-2</v>
      </c>
      <c r="P118" s="193">
        <f xml:space="preserve"> SUMIFS('F_Inputs (EC)'!G$8:G$41, 'F_Inputs (EC)'!$A$8:$A$41, 'Analysis (LRS)'!$F$117, 'F_Inputs (EC)'!$B$8:$B$41, 'F_Inputs (EC)'!$B8)</f>
        <v>6.8726762251672541E-2</v>
      </c>
      <c r="Q118" s="193">
        <f xml:space="preserve"> SUMIFS('F_Inputs (EC)'!H$8:H$41, 'F_Inputs (EC)'!$A$8:$A$41, 'Analysis (LRS)'!$F$117, 'F_Inputs (EC)'!$B$8:$B$41, 'F_Inputs (EC)'!$B8)</f>
        <v>6.8726762251672541E-2</v>
      </c>
      <c r="R118" s="193">
        <f xml:space="preserve"> SUMIFS('F_Inputs (EC)'!I$8:I$41, 'F_Inputs (EC)'!$A$8:$A$41, 'Analysis (LRS)'!$F$117, 'F_Inputs (EC)'!$B$8:$B$41, 'F_Inputs (EC)'!$B8)</f>
        <v>6.8726762251672541E-2</v>
      </c>
      <c r="S118" s="193">
        <f xml:space="preserve"> SUMIFS('F_Inputs (EC)'!J$8:J$41, 'F_Inputs (EC)'!$A$8:$A$41, 'Analysis (LRS)'!$F$117, 'F_Inputs (EC)'!$B$8:$B$41, 'F_Inputs (EC)'!$B8)</f>
        <v>6.8726762251672541E-2</v>
      </c>
      <c r="T118" s="138"/>
      <c r="U118" s="112"/>
      <c r="V118" s="112"/>
    </row>
    <row r="119" spans="3:22" hidden="1" outlineLevel="2" x14ac:dyDescent="0.35">
      <c r="E119" s="183" t="s">
        <v>85</v>
      </c>
      <c r="G119" s="22" t="s">
        <v>83</v>
      </c>
      <c r="J119" s="193"/>
      <c r="K119" s="193"/>
      <c r="L119" s="193"/>
      <c r="M119" s="193"/>
      <c r="N119" s="193"/>
      <c r="O119" s="193">
        <f xml:space="preserve"> SUMIFS('F_Inputs (EC)'!F$8:F$41, 'F_Inputs (EC)'!$A$8:$A$41, 'Analysis (LRS)'!$F$117, 'F_Inputs (EC)'!$B$8:$B$41, 'F_Inputs (EC)'!$B9)</f>
        <v>0.1</v>
      </c>
      <c r="P119" s="193">
        <f xml:space="preserve"> SUMIFS('F_Inputs (EC)'!G$8:G$41, 'F_Inputs (EC)'!$A$8:$A$41, 'Analysis (LRS)'!$F$117, 'F_Inputs (EC)'!$B$8:$B$41, 'F_Inputs (EC)'!$B9)</f>
        <v>0.1</v>
      </c>
      <c r="Q119" s="193">
        <f xml:space="preserve"> SUMIFS('F_Inputs (EC)'!H$8:H$41, 'F_Inputs (EC)'!$A$8:$A$41, 'Analysis (LRS)'!$F$117, 'F_Inputs (EC)'!$B$8:$B$41, 'F_Inputs (EC)'!$B9)</f>
        <v>0.1</v>
      </c>
      <c r="R119" s="193">
        <f xml:space="preserve"> SUMIFS('F_Inputs (EC)'!I$8:I$41, 'F_Inputs (EC)'!$A$8:$A$41, 'Analysis (LRS)'!$F$117, 'F_Inputs (EC)'!$B$8:$B$41, 'F_Inputs (EC)'!$B9)</f>
        <v>0.1</v>
      </c>
      <c r="S119" s="193">
        <f xml:space="preserve"> SUMIFS('F_Inputs (EC)'!J$8:J$41, 'F_Inputs (EC)'!$A$8:$A$41, 'Analysis (LRS)'!$F$117, 'F_Inputs (EC)'!$B$8:$B$41, 'F_Inputs (EC)'!$B9)</f>
        <v>0.1</v>
      </c>
      <c r="T119" s="138"/>
      <c r="U119" s="112"/>
      <c r="V119" s="112"/>
    </row>
    <row r="120" spans="3:22" hidden="1" outlineLevel="2" x14ac:dyDescent="0.35">
      <c r="E120" s="8" t="s">
        <v>224</v>
      </c>
      <c r="G120" s="22" t="s">
        <v>34</v>
      </c>
      <c r="J120" s="112"/>
      <c r="K120" s="112"/>
      <c r="L120" s="112"/>
      <c r="M120" s="112"/>
      <c r="N120" s="112"/>
      <c r="O120" s="112">
        <f t="shared" ref="O120:S121" si="26" xml:space="preserve"> O22 * (1 - O118)</f>
        <v>0</v>
      </c>
      <c r="P120" s="112">
        <f t="shared" si="26"/>
        <v>0</v>
      </c>
      <c r="Q120" s="112">
        <f t="shared" si="26"/>
        <v>0</v>
      </c>
      <c r="R120" s="112">
        <f t="shared" si="26"/>
        <v>0</v>
      </c>
      <c r="S120" s="112">
        <f t="shared" si="26"/>
        <v>0</v>
      </c>
      <c r="T120" s="138"/>
      <c r="U120" s="112">
        <f t="shared" ref="U120:U121" si="27">IFERROR(AVERAGE(O120:S120),0)</f>
        <v>0</v>
      </c>
      <c r="V120" s="112">
        <f t="shared" ref="V120:V121" si="28">SUM(O120:S120)</f>
        <v>0</v>
      </c>
    </row>
    <row r="121" spans="3:22" hidden="1" outlineLevel="2" x14ac:dyDescent="0.35">
      <c r="E121" s="8" t="s">
        <v>225</v>
      </c>
      <c r="G121" s="22" t="s">
        <v>34</v>
      </c>
      <c r="J121" s="112"/>
      <c r="K121" s="112"/>
      <c r="L121" s="112"/>
      <c r="M121" s="112"/>
      <c r="N121" s="112"/>
      <c r="O121" s="112">
        <f t="shared" si="26"/>
        <v>0</v>
      </c>
      <c r="P121" s="112">
        <f t="shared" si="26"/>
        <v>0</v>
      </c>
      <c r="Q121" s="112">
        <f t="shared" si="26"/>
        <v>0</v>
      </c>
      <c r="R121" s="112">
        <f t="shared" si="26"/>
        <v>0</v>
      </c>
      <c r="S121" s="112">
        <f t="shared" si="26"/>
        <v>0</v>
      </c>
      <c r="T121" s="138"/>
      <c r="U121" s="112">
        <f t="shared" si="27"/>
        <v>0</v>
      </c>
      <c r="V121" s="112">
        <f t="shared" si="28"/>
        <v>0</v>
      </c>
    </row>
    <row r="122" spans="3:22" hidden="1" outlineLevel="2" x14ac:dyDescent="0.35">
      <c r="E122" s="8" t="s">
        <v>99</v>
      </c>
      <c r="G122" s="22" t="s">
        <v>34</v>
      </c>
      <c r="J122" s="134">
        <f>SUM(J120:J121)</f>
        <v>0</v>
      </c>
      <c r="K122" s="134">
        <f t="shared" ref="K122:S122" si="29">SUM(K120:K121)</f>
        <v>0</v>
      </c>
      <c r="L122" s="134">
        <f t="shared" si="29"/>
        <v>0</v>
      </c>
      <c r="M122" s="134">
        <f t="shared" si="29"/>
        <v>0</v>
      </c>
      <c r="N122" s="134">
        <f t="shared" si="29"/>
        <v>0</v>
      </c>
      <c r="O122" s="134">
        <f t="shared" si="29"/>
        <v>0</v>
      </c>
      <c r="P122" s="134">
        <f t="shared" si="29"/>
        <v>0</v>
      </c>
      <c r="Q122" s="134">
        <f t="shared" si="29"/>
        <v>0</v>
      </c>
      <c r="R122" s="134">
        <f t="shared" si="29"/>
        <v>0</v>
      </c>
      <c r="S122" s="134">
        <f t="shared" si="29"/>
        <v>0</v>
      </c>
      <c r="T122" s="138"/>
      <c r="U122" s="134">
        <f>SUM(U120:U121)</f>
        <v>0</v>
      </c>
      <c r="V122" s="134">
        <f>SUM(V120:V121)</f>
        <v>0</v>
      </c>
    </row>
    <row r="123" spans="3:22" hidden="1" outlineLevel="1" x14ac:dyDescent="0.35">
      <c r="J123" s="112"/>
      <c r="K123" s="112"/>
      <c r="L123" s="112"/>
      <c r="M123" s="112"/>
      <c r="N123" s="112"/>
      <c r="O123" s="112"/>
      <c r="P123" s="112"/>
      <c r="Q123" s="112"/>
      <c r="R123" s="112"/>
      <c r="S123" s="112"/>
      <c r="T123" s="138"/>
      <c r="U123" s="112"/>
      <c r="V123" s="112"/>
    </row>
    <row r="124" spans="3:22" hidden="1" outlineLevel="1" collapsed="1" x14ac:dyDescent="0.35">
      <c r="C124" s="24" t="str">
        <f>INDEX(InpC!$E$25:$E$42,G124)</f>
        <v>Northumbrian Water</v>
      </c>
      <c r="F124" s="113" t="str">
        <f>INDEX(InpC!$F$25:$F$42,G124,)</f>
        <v>NES</v>
      </c>
      <c r="G124" s="8">
        <f>G26</f>
        <v>4</v>
      </c>
      <c r="J124" s="112"/>
      <c r="K124" s="112"/>
      <c r="L124" s="112"/>
      <c r="M124" s="112"/>
      <c r="N124" s="112"/>
      <c r="O124" s="112"/>
      <c r="P124" s="112"/>
      <c r="Q124" s="112"/>
      <c r="R124" s="112"/>
      <c r="S124" s="112"/>
      <c r="T124" s="138"/>
      <c r="U124" s="112"/>
      <c r="V124" s="112"/>
    </row>
    <row r="125" spans="3:22" hidden="1" outlineLevel="2" x14ac:dyDescent="0.35">
      <c r="E125" s="183" t="s">
        <v>82</v>
      </c>
      <c r="G125" s="22" t="s">
        <v>83</v>
      </c>
      <c r="J125" s="193"/>
      <c r="K125" s="193"/>
      <c r="L125" s="193"/>
      <c r="M125" s="193"/>
      <c r="N125" s="193"/>
      <c r="O125" s="193">
        <f xml:space="preserve"> SUMIFS('F_Inputs (EC)'!F$8:F$41, 'F_Inputs (EC)'!$A$8:$A$41, 'Analysis (LRS)'!$F$124, 'F_Inputs (EC)'!$B$8:$B$41, 'F_Inputs (EC)'!$B8)</f>
        <v>5.7853892210834118E-2</v>
      </c>
      <c r="P125" s="193">
        <f xml:space="preserve"> SUMIFS('F_Inputs (EC)'!G$8:G$41, 'F_Inputs (EC)'!$A$8:$A$41, 'Analysis (LRS)'!$F$124, 'F_Inputs (EC)'!$B$8:$B$41, 'F_Inputs (EC)'!$B8)</f>
        <v>5.7853892210834118E-2</v>
      </c>
      <c r="Q125" s="193">
        <f xml:space="preserve"> SUMIFS('F_Inputs (EC)'!H$8:H$41, 'F_Inputs (EC)'!$A$8:$A$41, 'Analysis (LRS)'!$F$124, 'F_Inputs (EC)'!$B$8:$B$41, 'F_Inputs (EC)'!$B8)</f>
        <v>5.7853892210834118E-2</v>
      </c>
      <c r="R125" s="193">
        <f xml:space="preserve"> SUMIFS('F_Inputs (EC)'!I$8:I$41, 'F_Inputs (EC)'!$A$8:$A$41, 'Analysis (LRS)'!$F$124, 'F_Inputs (EC)'!$B$8:$B$41, 'F_Inputs (EC)'!$B8)</f>
        <v>5.7853892210834118E-2</v>
      </c>
      <c r="S125" s="193">
        <f xml:space="preserve"> SUMIFS('F_Inputs (EC)'!J$8:J$41, 'F_Inputs (EC)'!$A$8:$A$41, 'Analysis (LRS)'!$F$124, 'F_Inputs (EC)'!$B$8:$B$41, 'F_Inputs (EC)'!$B8)</f>
        <v>5.7853892210834118E-2</v>
      </c>
      <c r="T125" s="138"/>
      <c r="U125" s="112"/>
      <c r="V125" s="112"/>
    </row>
    <row r="126" spans="3:22" hidden="1" outlineLevel="2" x14ac:dyDescent="0.35">
      <c r="E126" s="183" t="s">
        <v>85</v>
      </c>
      <c r="G126" s="22" t="s">
        <v>83</v>
      </c>
      <c r="J126" s="193"/>
      <c r="K126" s="193"/>
      <c r="L126" s="193"/>
      <c r="M126" s="193"/>
      <c r="N126" s="193"/>
      <c r="O126" s="193">
        <f xml:space="preserve"> SUMIFS('F_Inputs (EC)'!F$8:F$41, 'F_Inputs (EC)'!$A$8:$A$41, 'Analysis (LRS)'!$F$124, 'F_Inputs (EC)'!$B$8:$B$41, 'F_Inputs (EC)'!$B9)</f>
        <v>0.1</v>
      </c>
      <c r="P126" s="193">
        <f xml:space="preserve"> SUMIFS('F_Inputs (EC)'!G$8:G$41, 'F_Inputs (EC)'!$A$8:$A$41, 'Analysis (LRS)'!$F$124, 'F_Inputs (EC)'!$B$8:$B$41, 'F_Inputs (EC)'!$B9)</f>
        <v>0.1</v>
      </c>
      <c r="Q126" s="193">
        <f xml:space="preserve"> SUMIFS('F_Inputs (EC)'!H$8:H$41, 'F_Inputs (EC)'!$A$8:$A$41, 'Analysis (LRS)'!$F$124, 'F_Inputs (EC)'!$B$8:$B$41, 'F_Inputs (EC)'!$B9)</f>
        <v>0.1</v>
      </c>
      <c r="R126" s="193">
        <f xml:space="preserve"> SUMIFS('F_Inputs (EC)'!I$8:I$41, 'F_Inputs (EC)'!$A$8:$A$41, 'Analysis (LRS)'!$F$124, 'F_Inputs (EC)'!$B$8:$B$41, 'F_Inputs (EC)'!$B9)</f>
        <v>0.1</v>
      </c>
      <c r="S126" s="193">
        <f xml:space="preserve"> SUMIFS('F_Inputs (EC)'!J$8:J$41, 'F_Inputs (EC)'!$A$8:$A$41, 'Analysis (LRS)'!$F$124, 'F_Inputs (EC)'!$B$8:$B$41, 'F_Inputs (EC)'!$B9)</f>
        <v>0.1</v>
      </c>
      <c r="T126" s="138"/>
      <c r="U126" s="112"/>
      <c r="V126" s="112"/>
    </row>
    <row r="127" spans="3:22" hidden="1" outlineLevel="2" x14ac:dyDescent="0.35">
      <c r="E127" s="8" t="s">
        <v>224</v>
      </c>
      <c r="G127" s="22" t="s">
        <v>34</v>
      </c>
      <c r="J127" s="112"/>
      <c r="K127" s="112"/>
      <c r="L127" s="112"/>
      <c r="M127" s="112"/>
      <c r="N127" s="112"/>
      <c r="O127" s="112">
        <f t="shared" ref="O127:S128" si="30">O27*(1-O125)</f>
        <v>0</v>
      </c>
      <c r="P127" s="112">
        <f t="shared" si="30"/>
        <v>0</v>
      </c>
      <c r="Q127" s="112">
        <f t="shared" si="30"/>
        <v>0</v>
      </c>
      <c r="R127" s="112">
        <f t="shared" si="30"/>
        <v>0</v>
      </c>
      <c r="S127" s="112">
        <f t="shared" si="30"/>
        <v>0</v>
      </c>
      <c r="T127" s="138"/>
      <c r="U127" s="112">
        <f t="shared" ref="U127:U128" si="31">IFERROR(AVERAGE(O127:S127),0)</f>
        <v>0</v>
      </c>
      <c r="V127" s="112">
        <f t="shared" ref="V127:V128" si="32">SUM(O127:S127)</f>
        <v>0</v>
      </c>
    </row>
    <row r="128" spans="3:22" hidden="1" outlineLevel="2" x14ac:dyDescent="0.35">
      <c r="E128" s="8" t="s">
        <v>225</v>
      </c>
      <c r="G128" s="22" t="s">
        <v>34</v>
      </c>
      <c r="J128" s="112"/>
      <c r="K128" s="112"/>
      <c r="L128" s="112"/>
      <c r="M128" s="112"/>
      <c r="N128" s="112"/>
      <c r="O128" s="112">
        <f t="shared" si="30"/>
        <v>0</v>
      </c>
      <c r="P128" s="112">
        <f t="shared" si="30"/>
        <v>0</v>
      </c>
      <c r="Q128" s="112">
        <f t="shared" si="30"/>
        <v>0</v>
      </c>
      <c r="R128" s="112">
        <f t="shared" si="30"/>
        <v>0</v>
      </c>
      <c r="S128" s="112">
        <f t="shared" si="30"/>
        <v>0</v>
      </c>
      <c r="T128" s="138"/>
      <c r="U128" s="112">
        <f t="shared" si="31"/>
        <v>0</v>
      </c>
      <c r="V128" s="112">
        <f t="shared" si="32"/>
        <v>0</v>
      </c>
    </row>
    <row r="129" spans="3:22" hidden="1" outlineLevel="2" x14ac:dyDescent="0.35">
      <c r="E129" s="8" t="s">
        <v>99</v>
      </c>
      <c r="G129" s="22" t="s">
        <v>34</v>
      </c>
      <c r="J129" s="134">
        <f>SUM(J127:J128)</f>
        <v>0</v>
      </c>
      <c r="K129" s="134">
        <f t="shared" ref="K129:S129" si="33">SUM(K127:K128)</f>
        <v>0</v>
      </c>
      <c r="L129" s="134">
        <f t="shared" si="33"/>
        <v>0</v>
      </c>
      <c r="M129" s="134">
        <f t="shared" si="33"/>
        <v>0</v>
      </c>
      <c r="N129" s="134">
        <f t="shared" si="33"/>
        <v>0</v>
      </c>
      <c r="O129" s="134">
        <f t="shared" si="33"/>
        <v>0</v>
      </c>
      <c r="P129" s="134">
        <f t="shared" si="33"/>
        <v>0</v>
      </c>
      <c r="Q129" s="134">
        <f t="shared" si="33"/>
        <v>0</v>
      </c>
      <c r="R129" s="134">
        <f t="shared" si="33"/>
        <v>0</v>
      </c>
      <c r="S129" s="134">
        <f t="shared" si="33"/>
        <v>0</v>
      </c>
      <c r="T129" s="138"/>
      <c r="U129" s="134">
        <f>SUM(U127:U128)</f>
        <v>0</v>
      </c>
      <c r="V129" s="134">
        <f>SUM(V127:V128)</f>
        <v>0</v>
      </c>
    </row>
    <row r="130" spans="3:22" hidden="1" outlineLevel="1" x14ac:dyDescent="0.35">
      <c r="J130" s="112"/>
      <c r="K130" s="112"/>
      <c r="L130" s="112"/>
      <c r="M130" s="112"/>
      <c r="N130" s="112"/>
      <c r="O130" s="112"/>
      <c r="P130" s="112"/>
      <c r="Q130" s="112"/>
      <c r="R130" s="112"/>
      <c r="S130" s="112"/>
      <c r="T130" s="138"/>
      <c r="U130" s="112"/>
      <c r="V130" s="112"/>
    </row>
    <row r="131" spans="3:22" hidden="1" outlineLevel="1" collapsed="1" x14ac:dyDescent="0.35">
      <c r="C131" s="24" t="str">
        <f>INDEX(InpC!$E$25:$E$42,G131)</f>
        <v>Severn Trent Water</v>
      </c>
      <c r="F131" s="113" t="str">
        <f>INDEX(InpC!$F$25:$F$42,G131,)</f>
        <v>SVE</v>
      </c>
      <c r="G131" s="8">
        <f>G31</f>
        <v>5</v>
      </c>
      <c r="J131" s="112"/>
      <c r="K131" s="112"/>
      <c r="L131" s="112"/>
      <c r="M131" s="112"/>
      <c r="N131" s="112"/>
      <c r="O131" s="112"/>
      <c r="P131" s="112"/>
      <c r="Q131" s="112"/>
      <c r="R131" s="112"/>
      <c r="S131" s="112"/>
      <c r="T131" s="138"/>
      <c r="U131" s="112"/>
      <c r="V131" s="112"/>
    </row>
    <row r="132" spans="3:22" hidden="1" outlineLevel="2" x14ac:dyDescent="0.35">
      <c r="E132" s="183" t="s">
        <v>82</v>
      </c>
      <c r="G132" s="22" t="s">
        <v>83</v>
      </c>
      <c r="J132" s="193"/>
      <c r="K132" s="193"/>
      <c r="L132" s="193"/>
      <c r="M132" s="193"/>
      <c r="N132" s="193"/>
      <c r="O132" s="193">
        <f xml:space="preserve"> SUMIFS('F_Inputs (EC)'!F$8:F$41, 'F_Inputs (EC)'!$A$8:$A$41, 'Analysis (LRS)'!$F$131, 'F_Inputs (EC)'!$B$8:$B$41, 'F_Inputs (EC)'!$B8)</f>
        <v>3.4724658922497778E-2</v>
      </c>
      <c r="P132" s="193">
        <f xml:space="preserve"> SUMIFS('F_Inputs (EC)'!G$8:G$41, 'F_Inputs (EC)'!$A$8:$A$41, 'Analysis (LRS)'!$F$131, 'F_Inputs (EC)'!$B$8:$B$41, 'F_Inputs (EC)'!$B8)</f>
        <v>3.4724658922497778E-2</v>
      </c>
      <c r="Q132" s="193">
        <f xml:space="preserve"> SUMIFS('F_Inputs (EC)'!H$8:H$41, 'F_Inputs (EC)'!$A$8:$A$41, 'Analysis (LRS)'!$F$131, 'F_Inputs (EC)'!$B$8:$B$41, 'F_Inputs (EC)'!$B8)</f>
        <v>3.4724658922497778E-2</v>
      </c>
      <c r="R132" s="193">
        <f xml:space="preserve"> SUMIFS('F_Inputs (EC)'!I$8:I$41, 'F_Inputs (EC)'!$A$8:$A$41, 'Analysis (LRS)'!$F$131, 'F_Inputs (EC)'!$B$8:$B$41, 'F_Inputs (EC)'!$B8)</f>
        <v>3.4724658922497778E-2</v>
      </c>
      <c r="S132" s="193">
        <f xml:space="preserve"> SUMIFS('F_Inputs (EC)'!J$8:J$41, 'F_Inputs (EC)'!$A$8:$A$41, 'Analysis (LRS)'!$F$131, 'F_Inputs (EC)'!$B$8:$B$41, 'F_Inputs (EC)'!$B8)</f>
        <v>3.4724658922497778E-2</v>
      </c>
      <c r="T132" s="138"/>
      <c r="U132" s="112"/>
      <c r="V132" s="112"/>
    </row>
    <row r="133" spans="3:22" hidden="1" outlineLevel="2" x14ac:dyDescent="0.35">
      <c r="E133" s="183" t="s">
        <v>85</v>
      </c>
      <c r="G133" s="22" t="s">
        <v>83</v>
      </c>
      <c r="J133" s="193"/>
      <c r="K133" s="193"/>
      <c r="L133" s="193"/>
      <c r="M133" s="193"/>
      <c r="N133" s="193"/>
      <c r="O133" s="193">
        <f xml:space="preserve"> SUMIFS('F_Inputs (EC)'!F$8:F$41, 'F_Inputs (EC)'!$A$8:$A$41, 'Analysis (LRS)'!$F$131, 'F_Inputs (EC)'!$B$8:$B$41, 'F_Inputs (EC)'!$B9)</f>
        <v>2.2668303493845358E-2</v>
      </c>
      <c r="P133" s="193">
        <f xml:space="preserve"> SUMIFS('F_Inputs (EC)'!G$8:G$41, 'F_Inputs (EC)'!$A$8:$A$41, 'Analysis (LRS)'!$F$131, 'F_Inputs (EC)'!$B$8:$B$41, 'F_Inputs (EC)'!$B9)</f>
        <v>2.2668303493845358E-2</v>
      </c>
      <c r="Q133" s="193">
        <f xml:space="preserve"> SUMIFS('F_Inputs (EC)'!H$8:H$41, 'F_Inputs (EC)'!$A$8:$A$41, 'Analysis (LRS)'!$F$131, 'F_Inputs (EC)'!$B$8:$B$41, 'F_Inputs (EC)'!$B9)</f>
        <v>2.2668303493845358E-2</v>
      </c>
      <c r="R133" s="193">
        <f xml:space="preserve"> SUMIFS('F_Inputs (EC)'!I$8:I$41, 'F_Inputs (EC)'!$A$8:$A$41, 'Analysis (LRS)'!$F$131, 'F_Inputs (EC)'!$B$8:$B$41, 'F_Inputs (EC)'!$B9)</f>
        <v>2.2668303493845358E-2</v>
      </c>
      <c r="S133" s="193">
        <f xml:space="preserve"> SUMIFS('F_Inputs (EC)'!J$8:J$41, 'F_Inputs (EC)'!$A$8:$A$41, 'Analysis (LRS)'!$F$131, 'F_Inputs (EC)'!$B$8:$B$41, 'F_Inputs (EC)'!$B9)</f>
        <v>2.2668303493845358E-2</v>
      </c>
      <c r="T133" s="138"/>
      <c r="U133" s="112"/>
      <c r="V133" s="112"/>
    </row>
    <row r="134" spans="3:22" hidden="1" outlineLevel="2" x14ac:dyDescent="0.35">
      <c r="E134" s="8" t="s">
        <v>224</v>
      </c>
      <c r="G134" s="22" t="s">
        <v>34</v>
      </c>
      <c r="J134" s="112"/>
      <c r="K134" s="112"/>
      <c r="L134" s="112"/>
      <c r="M134" s="112"/>
      <c r="N134" s="112"/>
      <c r="O134" s="112">
        <f t="shared" ref="O134:S135" si="34" xml:space="preserve"> O32 * (1 - O132)</f>
        <v>0</v>
      </c>
      <c r="P134" s="112">
        <f t="shared" si="34"/>
        <v>0</v>
      </c>
      <c r="Q134" s="112">
        <f t="shared" si="34"/>
        <v>0</v>
      </c>
      <c r="R134" s="112">
        <f t="shared" si="34"/>
        <v>0</v>
      </c>
      <c r="S134" s="112">
        <f t="shared" si="34"/>
        <v>0</v>
      </c>
      <c r="T134" s="138"/>
      <c r="U134" s="112">
        <f t="shared" ref="U134:U135" si="35">IFERROR(AVERAGE(O134:S134),0)</f>
        <v>0</v>
      </c>
      <c r="V134" s="112">
        <f t="shared" ref="V134:V135" si="36">SUM(O134:S134)</f>
        <v>0</v>
      </c>
    </row>
    <row r="135" spans="3:22" hidden="1" outlineLevel="2" x14ac:dyDescent="0.35">
      <c r="E135" s="8" t="s">
        <v>225</v>
      </c>
      <c r="G135" s="22" t="s">
        <v>34</v>
      </c>
      <c r="J135" s="112"/>
      <c r="K135" s="112"/>
      <c r="L135" s="112"/>
      <c r="M135" s="112"/>
      <c r="N135" s="112"/>
      <c r="O135" s="112">
        <f t="shared" si="34"/>
        <v>0</v>
      </c>
      <c r="P135" s="112">
        <f t="shared" si="34"/>
        <v>0</v>
      </c>
      <c r="Q135" s="112">
        <f t="shared" si="34"/>
        <v>0</v>
      </c>
      <c r="R135" s="112">
        <f t="shared" si="34"/>
        <v>0</v>
      </c>
      <c r="S135" s="112">
        <f t="shared" si="34"/>
        <v>0</v>
      </c>
      <c r="T135" s="138"/>
      <c r="U135" s="112">
        <f t="shared" si="35"/>
        <v>0</v>
      </c>
      <c r="V135" s="112">
        <f t="shared" si="36"/>
        <v>0</v>
      </c>
    </row>
    <row r="136" spans="3:22" hidden="1" outlineLevel="2" x14ac:dyDescent="0.35">
      <c r="E136" s="8" t="s">
        <v>99</v>
      </c>
      <c r="G136" s="22" t="s">
        <v>34</v>
      </c>
      <c r="J136" s="134">
        <f>SUM(J134:J135)</f>
        <v>0</v>
      </c>
      <c r="K136" s="134">
        <f t="shared" ref="K136:S136" si="37">SUM(K134:K135)</f>
        <v>0</v>
      </c>
      <c r="L136" s="134">
        <f t="shared" si="37"/>
        <v>0</v>
      </c>
      <c r="M136" s="134">
        <f t="shared" si="37"/>
        <v>0</v>
      </c>
      <c r="N136" s="134">
        <f t="shared" si="37"/>
        <v>0</v>
      </c>
      <c r="O136" s="134">
        <f t="shared" si="37"/>
        <v>0</v>
      </c>
      <c r="P136" s="134">
        <f t="shared" si="37"/>
        <v>0</v>
      </c>
      <c r="Q136" s="134">
        <f t="shared" si="37"/>
        <v>0</v>
      </c>
      <c r="R136" s="134">
        <f t="shared" si="37"/>
        <v>0</v>
      </c>
      <c r="S136" s="134">
        <f t="shared" si="37"/>
        <v>0</v>
      </c>
      <c r="T136" s="138"/>
      <c r="U136" s="134">
        <f>SUM(U134:U135)</f>
        <v>0</v>
      </c>
      <c r="V136" s="134">
        <f>SUM(V134:V135)</f>
        <v>0</v>
      </c>
    </row>
    <row r="137" spans="3:22" hidden="1" outlineLevel="1" x14ac:dyDescent="0.35">
      <c r="J137" s="112"/>
      <c r="K137" s="112"/>
      <c r="L137" s="112"/>
      <c r="M137" s="112"/>
      <c r="N137" s="112"/>
      <c r="O137" s="112"/>
      <c r="P137" s="112"/>
      <c r="Q137" s="112"/>
      <c r="R137" s="112"/>
      <c r="S137" s="112"/>
      <c r="T137" s="138"/>
      <c r="U137" s="112"/>
      <c r="V137" s="112"/>
    </row>
    <row r="138" spans="3:22" hidden="1" outlineLevel="1" collapsed="1" x14ac:dyDescent="0.35">
      <c r="C138" s="24" t="str">
        <f>INDEX(InpC!$E$25:$E$42,G138)</f>
        <v>Southern Water</v>
      </c>
      <c r="F138" s="113" t="str">
        <f>INDEX(InpC!$F$25:$F$42,G138,)</f>
        <v>SRN</v>
      </c>
      <c r="G138" s="8">
        <f>G36</f>
        <v>6</v>
      </c>
      <c r="J138" s="112"/>
      <c r="K138" s="112"/>
      <c r="L138" s="112"/>
      <c r="M138" s="112"/>
      <c r="N138" s="112"/>
      <c r="O138" s="112"/>
      <c r="P138" s="112"/>
      <c r="Q138" s="112"/>
      <c r="R138" s="112"/>
      <c r="S138" s="112"/>
      <c r="T138" s="138"/>
      <c r="U138" s="112"/>
      <c r="V138" s="112"/>
    </row>
    <row r="139" spans="3:22" hidden="1" outlineLevel="2" x14ac:dyDescent="0.35">
      <c r="E139" s="183" t="s">
        <v>82</v>
      </c>
      <c r="G139" s="22" t="s">
        <v>83</v>
      </c>
      <c r="J139" s="193"/>
      <c r="K139" s="193"/>
      <c r="L139" s="193"/>
      <c r="M139" s="193"/>
      <c r="N139" s="193"/>
      <c r="O139" s="193">
        <f xml:space="preserve"> SUMIFS('F_Inputs (EC)'!F$8:F$41, 'F_Inputs (EC)'!$A$8:$A$41, 'Analysis (LRS)'!$F$138, 'F_Inputs (EC)'!$B$8:$B$41, 'F_Inputs (EC)'!$B8)</f>
        <v>6.3629748889080837E-2</v>
      </c>
      <c r="P139" s="193">
        <f xml:space="preserve"> SUMIFS('F_Inputs (EC)'!G$8:G$41, 'F_Inputs (EC)'!$A$8:$A$41, 'Analysis (LRS)'!$F$138, 'F_Inputs (EC)'!$B$8:$B$41, 'F_Inputs (EC)'!$B8)</f>
        <v>6.3629748889080837E-2</v>
      </c>
      <c r="Q139" s="193">
        <f xml:space="preserve"> SUMIFS('F_Inputs (EC)'!H$8:H$41, 'F_Inputs (EC)'!$A$8:$A$41, 'Analysis (LRS)'!$F$138, 'F_Inputs (EC)'!$B$8:$B$41, 'F_Inputs (EC)'!$B8)</f>
        <v>6.3629748889080837E-2</v>
      </c>
      <c r="R139" s="193">
        <f xml:space="preserve"> SUMIFS('F_Inputs (EC)'!I$8:I$41, 'F_Inputs (EC)'!$A$8:$A$41, 'Analysis (LRS)'!$F$138, 'F_Inputs (EC)'!$B$8:$B$41, 'F_Inputs (EC)'!$B8)</f>
        <v>6.3629748889080837E-2</v>
      </c>
      <c r="S139" s="193">
        <f xml:space="preserve"> SUMIFS('F_Inputs (EC)'!J$8:J$41, 'F_Inputs (EC)'!$A$8:$A$41, 'Analysis (LRS)'!$F$138, 'F_Inputs (EC)'!$B$8:$B$41, 'F_Inputs (EC)'!$B8)</f>
        <v>6.3629748889080837E-2</v>
      </c>
      <c r="T139" s="138"/>
      <c r="U139" s="112"/>
      <c r="V139" s="112"/>
    </row>
    <row r="140" spans="3:22" hidden="1" outlineLevel="2" x14ac:dyDescent="0.35">
      <c r="E140" s="183" t="s">
        <v>85</v>
      </c>
      <c r="G140" s="22" t="s">
        <v>83</v>
      </c>
      <c r="J140" s="193"/>
      <c r="K140" s="193"/>
      <c r="L140" s="193"/>
      <c r="M140" s="193"/>
      <c r="N140" s="193"/>
      <c r="O140" s="193">
        <f xml:space="preserve"> SUMIFS('F_Inputs (EC)'!F$8:F$41, 'F_Inputs (EC)'!$A$8:$A$41, 'Analysis (LRS)'!$F$138, 'F_Inputs (EC)'!$B$8:$B$41, 'F_Inputs (EC)'!$B9)</f>
        <v>0</v>
      </c>
      <c r="P140" s="193">
        <f xml:space="preserve"> SUMIFS('F_Inputs (EC)'!G$8:G$41, 'F_Inputs (EC)'!$A$8:$A$41, 'Analysis (LRS)'!$F$138, 'F_Inputs (EC)'!$B$8:$B$41, 'F_Inputs (EC)'!$B9)</f>
        <v>0</v>
      </c>
      <c r="Q140" s="193">
        <f xml:space="preserve"> SUMIFS('F_Inputs (EC)'!H$8:H$41, 'F_Inputs (EC)'!$A$8:$A$41, 'Analysis (LRS)'!$F$138, 'F_Inputs (EC)'!$B$8:$B$41, 'F_Inputs (EC)'!$B9)</f>
        <v>0</v>
      </c>
      <c r="R140" s="193">
        <f xml:space="preserve"> SUMIFS('F_Inputs (EC)'!I$8:I$41, 'F_Inputs (EC)'!$A$8:$A$41, 'Analysis (LRS)'!$F$138, 'F_Inputs (EC)'!$B$8:$B$41, 'F_Inputs (EC)'!$B9)</f>
        <v>0</v>
      </c>
      <c r="S140" s="193">
        <f xml:space="preserve"> SUMIFS('F_Inputs (EC)'!J$8:J$41, 'F_Inputs (EC)'!$A$8:$A$41, 'Analysis (LRS)'!$F$138, 'F_Inputs (EC)'!$B$8:$B$41, 'F_Inputs (EC)'!$B9)</f>
        <v>0</v>
      </c>
      <c r="T140" s="138"/>
      <c r="U140" s="112"/>
      <c r="V140" s="112"/>
    </row>
    <row r="141" spans="3:22" hidden="1" outlineLevel="2" x14ac:dyDescent="0.35">
      <c r="E141" s="8" t="s">
        <v>224</v>
      </c>
      <c r="G141" s="22" t="s">
        <v>34</v>
      </c>
      <c r="J141" s="112"/>
      <c r="K141" s="112"/>
      <c r="L141" s="112"/>
      <c r="M141" s="112"/>
      <c r="N141" s="112"/>
      <c r="O141" s="112">
        <f t="shared" ref="O141:S142" si="38" xml:space="preserve"> O37 * (1 - O139)</f>
        <v>0.65545917577764345</v>
      </c>
      <c r="P141" s="112">
        <f t="shared" si="38"/>
        <v>0.65545917577764345</v>
      </c>
      <c r="Q141" s="112">
        <f t="shared" si="38"/>
        <v>0.65545917577764345</v>
      </c>
      <c r="R141" s="112">
        <f t="shared" si="38"/>
        <v>0.65545917577764345</v>
      </c>
      <c r="S141" s="112">
        <f t="shared" si="38"/>
        <v>0.65545917577764345</v>
      </c>
      <c r="T141" s="138"/>
      <c r="U141" s="112">
        <f t="shared" ref="U141:U142" si="39">IFERROR(AVERAGE(O141:S141),0)</f>
        <v>0.65545917577764345</v>
      </c>
      <c r="V141" s="112">
        <f t="shared" ref="V141:V142" si="40">SUM(O141:S141)</f>
        <v>3.2772958788882174</v>
      </c>
    </row>
    <row r="142" spans="3:22" hidden="1" outlineLevel="2" x14ac:dyDescent="0.35">
      <c r="E142" s="8" t="s">
        <v>225</v>
      </c>
      <c r="G142" s="22" t="s">
        <v>34</v>
      </c>
      <c r="J142" s="112"/>
      <c r="K142" s="112"/>
      <c r="L142" s="112"/>
      <c r="M142" s="112"/>
      <c r="N142" s="112"/>
      <c r="O142" s="112">
        <f t="shared" si="38"/>
        <v>0.35</v>
      </c>
      <c r="P142" s="112">
        <f t="shared" si="38"/>
        <v>0.35</v>
      </c>
      <c r="Q142" s="112">
        <f t="shared" si="38"/>
        <v>0.35</v>
      </c>
      <c r="R142" s="112">
        <f t="shared" si="38"/>
        <v>0.35</v>
      </c>
      <c r="S142" s="112">
        <f t="shared" si="38"/>
        <v>0.35</v>
      </c>
      <c r="T142" s="138"/>
      <c r="U142" s="112">
        <f t="shared" si="39"/>
        <v>0.35</v>
      </c>
      <c r="V142" s="112">
        <f t="shared" si="40"/>
        <v>1.75</v>
      </c>
    </row>
    <row r="143" spans="3:22" hidden="1" outlineLevel="2" x14ac:dyDescent="0.35">
      <c r="E143" s="8" t="s">
        <v>99</v>
      </c>
      <c r="G143" s="22" t="s">
        <v>34</v>
      </c>
      <c r="J143" s="134">
        <f>SUM(J141:J142)</f>
        <v>0</v>
      </c>
      <c r="K143" s="134">
        <f t="shared" ref="K143:S143" si="41">SUM(K141:K142)</f>
        <v>0</v>
      </c>
      <c r="L143" s="134">
        <f t="shared" si="41"/>
        <v>0</v>
      </c>
      <c r="M143" s="134">
        <f t="shared" si="41"/>
        <v>0</v>
      </c>
      <c r="N143" s="134">
        <f t="shared" si="41"/>
        <v>0</v>
      </c>
      <c r="O143" s="134">
        <f t="shared" si="41"/>
        <v>1.0054591757776434</v>
      </c>
      <c r="P143" s="134">
        <f t="shared" si="41"/>
        <v>1.0054591757776434</v>
      </c>
      <c r="Q143" s="134">
        <f t="shared" si="41"/>
        <v>1.0054591757776434</v>
      </c>
      <c r="R143" s="134">
        <f t="shared" si="41"/>
        <v>1.0054591757776434</v>
      </c>
      <c r="S143" s="134">
        <f t="shared" si="41"/>
        <v>1.0054591757776434</v>
      </c>
      <c r="T143" s="138"/>
      <c r="U143" s="134">
        <f>SUM(U141:U142)</f>
        <v>1.0054591757776434</v>
      </c>
      <c r="V143" s="134">
        <f>SUM(V141:V142)</f>
        <v>5.0272958788882178</v>
      </c>
    </row>
    <row r="144" spans="3:22" hidden="1" outlineLevel="1" x14ac:dyDescent="0.35">
      <c r="J144" s="112"/>
      <c r="K144" s="112"/>
      <c r="L144" s="112"/>
      <c r="M144" s="112"/>
      <c r="N144" s="112"/>
      <c r="O144" s="112"/>
      <c r="P144" s="112"/>
      <c r="Q144" s="112"/>
      <c r="R144" s="112"/>
      <c r="S144" s="112"/>
      <c r="T144" s="138"/>
      <c r="U144" s="112"/>
      <c r="V144" s="112"/>
    </row>
    <row r="145" spans="3:22" hidden="1" outlineLevel="1" collapsed="1" x14ac:dyDescent="0.35">
      <c r="C145" s="24" t="str">
        <f>INDEX(InpC!$E$25:$E$42,G145)</f>
        <v>Thames Water</v>
      </c>
      <c r="F145" s="113" t="str">
        <f>INDEX(InpC!$F$25:$F$42,G145,)</f>
        <v>TMS</v>
      </c>
      <c r="G145" s="8">
        <f>G41</f>
        <v>7</v>
      </c>
      <c r="J145" s="112"/>
      <c r="K145" s="112"/>
      <c r="L145" s="112"/>
      <c r="M145" s="112"/>
      <c r="N145" s="112"/>
      <c r="O145" s="112"/>
      <c r="P145" s="112"/>
      <c r="Q145" s="112"/>
      <c r="R145" s="112"/>
      <c r="S145" s="112"/>
      <c r="T145" s="138"/>
      <c r="U145" s="112"/>
      <c r="V145" s="112"/>
    </row>
    <row r="146" spans="3:22" hidden="1" outlineLevel="2" x14ac:dyDescent="0.35">
      <c r="E146" s="183" t="s">
        <v>82</v>
      </c>
      <c r="G146" s="22" t="s">
        <v>83</v>
      </c>
      <c r="J146" s="193"/>
      <c r="K146" s="193"/>
      <c r="L146" s="193"/>
      <c r="M146" s="193"/>
      <c r="N146" s="193"/>
      <c r="O146" s="193">
        <f xml:space="preserve"> SUMIFS('F_Inputs (EC)'!F$8:F$41, 'F_Inputs (EC)'!$A$8:$A$41, 'Analysis (LRS)'!$F$145, 'F_Inputs (EC)'!$B$8:$B$41, 'F_Inputs (EC)'!$B8)</f>
        <v>8.9419337322239126E-2</v>
      </c>
      <c r="P146" s="193">
        <f xml:space="preserve"> SUMIFS('F_Inputs (EC)'!G$8:G$41, 'F_Inputs (EC)'!$A$8:$A$41, 'Analysis (LRS)'!$F$145, 'F_Inputs (EC)'!$B$8:$B$41, 'F_Inputs (EC)'!$B8)</f>
        <v>8.9419337322239126E-2</v>
      </c>
      <c r="Q146" s="193">
        <f xml:space="preserve"> SUMIFS('F_Inputs (EC)'!H$8:H$41, 'F_Inputs (EC)'!$A$8:$A$41, 'Analysis (LRS)'!$F$145, 'F_Inputs (EC)'!$B$8:$B$41, 'F_Inputs (EC)'!$B8)</f>
        <v>8.9419337322239126E-2</v>
      </c>
      <c r="R146" s="193">
        <f xml:space="preserve"> SUMIFS('F_Inputs (EC)'!I$8:I$41, 'F_Inputs (EC)'!$A$8:$A$41, 'Analysis (LRS)'!$F$145, 'F_Inputs (EC)'!$B$8:$B$41, 'F_Inputs (EC)'!$B8)</f>
        <v>8.9419337322239126E-2</v>
      </c>
      <c r="S146" s="193">
        <f xml:space="preserve"> SUMIFS('F_Inputs (EC)'!J$8:J$41, 'F_Inputs (EC)'!$A$8:$A$41, 'Analysis (LRS)'!$F$145, 'F_Inputs (EC)'!$B$8:$B$41, 'F_Inputs (EC)'!$B8)</f>
        <v>8.9419337322239126E-2</v>
      </c>
      <c r="T146" s="138"/>
      <c r="U146" s="112"/>
      <c r="V146" s="112"/>
    </row>
    <row r="147" spans="3:22" hidden="1" outlineLevel="2" x14ac:dyDescent="0.35">
      <c r="E147" s="183" t="s">
        <v>85</v>
      </c>
      <c r="G147" s="22" t="s">
        <v>83</v>
      </c>
      <c r="J147" s="193"/>
      <c r="K147" s="193"/>
      <c r="L147" s="193"/>
      <c r="M147" s="193"/>
      <c r="N147" s="193"/>
      <c r="O147" s="193">
        <f xml:space="preserve"> SUMIFS('F_Inputs (EC)'!F$8:F$41, 'F_Inputs (EC)'!$A$8:$A$41, 'Analysis (LRS)'!$F$145, 'F_Inputs (EC)'!$B$8:$B$41, 'F_Inputs (EC)'!$B9)</f>
        <v>0.1</v>
      </c>
      <c r="P147" s="193">
        <f xml:space="preserve"> SUMIFS('F_Inputs (EC)'!G$8:G$41, 'F_Inputs (EC)'!$A$8:$A$41, 'Analysis (LRS)'!$F$145, 'F_Inputs (EC)'!$B$8:$B$41, 'F_Inputs (EC)'!$B9)</f>
        <v>0.1</v>
      </c>
      <c r="Q147" s="193">
        <f xml:space="preserve"> SUMIFS('F_Inputs (EC)'!H$8:H$41, 'F_Inputs (EC)'!$A$8:$A$41, 'Analysis (LRS)'!$F$145, 'F_Inputs (EC)'!$B$8:$B$41, 'F_Inputs (EC)'!$B9)</f>
        <v>0.1</v>
      </c>
      <c r="R147" s="193">
        <f xml:space="preserve"> SUMIFS('F_Inputs (EC)'!I$8:I$41, 'F_Inputs (EC)'!$A$8:$A$41, 'Analysis (LRS)'!$F$145, 'F_Inputs (EC)'!$B$8:$B$41, 'F_Inputs (EC)'!$B9)</f>
        <v>0.1</v>
      </c>
      <c r="S147" s="193">
        <f xml:space="preserve"> SUMIFS('F_Inputs (EC)'!J$8:J$41, 'F_Inputs (EC)'!$A$8:$A$41, 'Analysis (LRS)'!$F$145, 'F_Inputs (EC)'!$B$8:$B$41, 'F_Inputs (EC)'!$B9)</f>
        <v>0.1</v>
      </c>
      <c r="T147" s="138"/>
      <c r="U147" s="112"/>
      <c r="V147" s="112"/>
    </row>
    <row r="148" spans="3:22" hidden="1" outlineLevel="2" x14ac:dyDescent="0.35">
      <c r="E148" s="8" t="s">
        <v>224</v>
      </c>
      <c r="G148" s="22" t="s">
        <v>34</v>
      </c>
      <c r="J148" s="112"/>
      <c r="K148" s="112"/>
      <c r="L148" s="112"/>
      <c r="M148" s="112"/>
      <c r="N148" s="112"/>
      <c r="O148" s="112">
        <f t="shared" ref="O148:S149" si="42" xml:space="preserve"> O42 * (1 - O146)</f>
        <v>1.0098339549096367</v>
      </c>
      <c r="P148" s="112">
        <f t="shared" si="42"/>
        <v>1.0098339549096367</v>
      </c>
      <c r="Q148" s="112">
        <f t="shared" si="42"/>
        <v>1.0098339549096367</v>
      </c>
      <c r="R148" s="112">
        <f t="shared" si="42"/>
        <v>1.0098339549096367</v>
      </c>
      <c r="S148" s="112">
        <f t="shared" si="42"/>
        <v>1.0098339549096367</v>
      </c>
      <c r="T148" s="138"/>
      <c r="U148" s="112">
        <f t="shared" ref="U148:U149" si="43">IFERROR(AVERAGE(O148:S148),0)</f>
        <v>1.0098339549096367</v>
      </c>
      <c r="V148" s="112">
        <f t="shared" ref="V148:V149" si="44">SUM(O148:S148)</f>
        <v>5.0491697745481829</v>
      </c>
    </row>
    <row r="149" spans="3:22" hidden="1" outlineLevel="2" x14ac:dyDescent="0.35">
      <c r="E149" s="8" t="s">
        <v>225</v>
      </c>
      <c r="G149" s="22" t="s">
        <v>34</v>
      </c>
      <c r="J149" s="112"/>
      <c r="K149" s="112"/>
      <c r="L149" s="112"/>
      <c r="M149" s="112"/>
      <c r="N149" s="112"/>
      <c r="O149" s="112">
        <f t="shared" si="42"/>
        <v>0.27360000000000001</v>
      </c>
      <c r="P149" s="112">
        <f t="shared" si="42"/>
        <v>0.27360000000000001</v>
      </c>
      <c r="Q149" s="112">
        <f t="shared" si="42"/>
        <v>0.27360000000000001</v>
      </c>
      <c r="R149" s="112">
        <f t="shared" si="42"/>
        <v>0.26729999999999998</v>
      </c>
      <c r="S149" s="112">
        <f t="shared" si="42"/>
        <v>0.26729999999999998</v>
      </c>
      <c r="T149" s="138"/>
      <c r="U149" s="112">
        <f t="shared" si="43"/>
        <v>0.27107999999999999</v>
      </c>
      <c r="V149" s="112">
        <f t="shared" si="44"/>
        <v>1.3553999999999999</v>
      </c>
    </row>
    <row r="150" spans="3:22" hidden="1" outlineLevel="2" x14ac:dyDescent="0.35">
      <c r="E150" s="8" t="s">
        <v>99</v>
      </c>
      <c r="G150" s="22" t="s">
        <v>34</v>
      </c>
      <c r="J150" s="134">
        <f>SUM(J148:J149)</f>
        <v>0</v>
      </c>
      <c r="K150" s="134">
        <f t="shared" ref="K150:S150" si="45">SUM(K148:K149)</f>
        <v>0</v>
      </c>
      <c r="L150" s="134">
        <f t="shared" si="45"/>
        <v>0</v>
      </c>
      <c r="M150" s="134">
        <f t="shared" si="45"/>
        <v>0</v>
      </c>
      <c r="N150" s="134">
        <f t="shared" si="45"/>
        <v>0</v>
      </c>
      <c r="O150" s="134">
        <f t="shared" si="45"/>
        <v>1.2834339549096367</v>
      </c>
      <c r="P150" s="134">
        <f t="shared" si="45"/>
        <v>1.2834339549096367</v>
      </c>
      <c r="Q150" s="134">
        <f t="shared" si="45"/>
        <v>1.2834339549096367</v>
      </c>
      <c r="R150" s="134">
        <f t="shared" si="45"/>
        <v>1.2771339549096368</v>
      </c>
      <c r="S150" s="134">
        <f t="shared" si="45"/>
        <v>1.2771339549096368</v>
      </c>
      <c r="T150" s="138"/>
      <c r="U150" s="134">
        <f>SUM(U148:U149)</f>
        <v>1.2809139549096367</v>
      </c>
      <c r="V150" s="134">
        <f>SUM(V148:V149)</f>
        <v>6.4045697745481824</v>
      </c>
    </row>
    <row r="151" spans="3:22" hidden="1" outlineLevel="1" x14ac:dyDescent="0.35">
      <c r="J151" s="112"/>
      <c r="K151" s="112"/>
      <c r="L151" s="112"/>
      <c r="M151" s="112"/>
      <c r="N151" s="112"/>
      <c r="O151" s="112"/>
      <c r="P151" s="112"/>
      <c r="Q151" s="112"/>
      <c r="R151" s="112"/>
      <c r="S151" s="112"/>
      <c r="T151" s="138"/>
      <c r="U151" s="112"/>
      <c r="V151" s="112"/>
    </row>
    <row r="152" spans="3:22" hidden="1" outlineLevel="1" collapsed="1" x14ac:dyDescent="0.35">
      <c r="C152" s="24" t="str">
        <f>INDEX(InpC!$E$25:$E$42,G152)</f>
        <v>United Utilities</v>
      </c>
      <c r="F152" s="113" t="str">
        <f>INDEX(InpC!$F$25:$F$42,G152,)</f>
        <v>NWT</v>
      </c>
      <c r="G152" s="8">
        <f>G46</f>
        <v>8</v>
      </c>
      <c r="J152" s="112"/>
      <c r="K152" s="112"/>
      <c r="L152" s="112"/>
      <c r="M152" s="112"/>
      <c r="N152" s="112"/>
      <c r="O152" s="112"/>
      <c r="P152" s="112"/>
      <c r="Q152" s="112"/>
      <c r="R152" s="112"/>
      <c r="S152" s="112"/>
      <c r="T152" s="138"/>
      <c r="U152" s="112"/>
      <c r="V152" s="112"/>
    </row>
    <row r="153" spans="3:22" hidden="1" outlineLevel="2" x14ac:dyDescent="0.35">
      <c r="E153" s="183" t="s">
        <v>82</v>
      </c>
      <c r="G153" s="22" t="s">
        <v>83</v>
      </c>
      <c r="J153" s="128"/>
      <c r="K153" s="128"/>
      <c r="L153" s="128"/>
      <c r="M153" s="128"/>
      <c r="N153" s="128"/>
      <c r="O153" s="186"/>
      <c r="P153" s="186"/>
      <c r="Q153" s="186"/>
      <c r="R153" s="186"/>
      <c r="S153" s="186"/>
      <c r="T153" s="138"/>
      <c r="U153" s="112"/>
      <c r="V153" s="112"/>
    </row>
    <row r="154" spans="3:22" hidden="1" outlineLevel="2" x14ac:dyDescent="0.35">
      <c r="E154" s="183" t="s">
        <v>85</v>
      </c>
      <c r="G154" s="22" t="s">
        <v>83</v>
      </c>
      <c r="J154" s="128"/>
      <c r="K154" s="128"/>
      <c r="L154" s="128"/>
      <c r="M154" s="128"/>
      <c r="N154" s="128"/>
      <c r="O154" s="186"/>
      <c r="P154" s="186"/>
      <c r="Q154" s="186"/>
      <c r="R154" s="186"/>
      <c r="S154" s="186"/>
      <c r="T154" s="138"/>
      <c r="U154" s="112"/>
      <c r="V154" s="112"/>
    </row>
    <row r="155" spans="3:22" hidden="1" outlineLevel="2" x14ac:dyDescent="0.35">
      <c r="E155" s="8" t="s">
        <v>224</v>
      </c>
      <c r="G155" s="22" t="s">
        <v>34</v>
      </c>
      <c r="J155" s="112"/>
      <c r="K155" s="112"/>
      <c r="L155" s="112"/>
      <c r="M155" s="112"/>
      <c r="N155" s="112"/>
      <c r="O155" s="112">
        <f t="shared" ref="O155:S156" si="46" xml:space="preserve"> O47 * (1 - O153)</f>
        <v>0.40621507560380599</v>
      </c>
      <c r="P155" s="112">
        <f t="shared" si="46"/>
        <v>0.41068102801783751</v>
      </c>
      <c r="Q155" s="112">
        <f t="shared" si="46"/>
        <v>0.40984943852449462</v>
      </c>
      <c r="R155" s="112">
        <f t="shared" si="46"/>
        <v>0.41381468054647419</v>
      </c>
      <c r="S155" s="112">
        <f t="shared" si="46"/>
        <v>0.41393201494067727</v>
      </c>
      <c r="T155" s="138"/>
      <c r="U155" s="112">
        <f t="shared" ref="U155:U156" si="47">IFERROR(AVERAGE(O155:S155),0)</f>
        <v>0.41089844752665794</v>
      </c>
      <c r="V155" s="112">
        <f t="shared" ref="V155:V156" si="48">SUM(O155:S155)</f>
        <v>2.0544922376332897</v>
      </c>
    </row>
    <row r="156" spans="3:22" hidden="1" outlineLevel="2" x14ac:dyDescent="0.35">
      <c r="E156" s="8" t="s">
        <v>225</v>
      </c>
      <c r="G156" s="22" t="s">
        <v>34</v>
      </c>
      <c r="J156" s="112"/>
      <c r="K156" s="112"/>
      <c r="L156" s="112"/>
      <c r="M156" s="112"/>
      <c r="N156" s="112"/>
      <c r="O156" s="112">
        <f t="shared" si="46"/>
        <v>4.1708182918053713E-2</v>
      </c>
      <c r="P156" s="112">
        <f t="shared" si="46"/>
        <v>4.2160256588246632E-2</v>
      </c>
      <c r="Q156" s="112">
        <f t="shared" si="46"/>
        <v>4.2058886769113388E-2</v>
      </c>
      <c r="R156" s="112">
        <f t="shared" si="46"/>
        <v>4.2484226429666379E-2</v>
      </c>
      <c r="S156" s="112">
        <f t="shared" si="46"/>
        <v>4.2491635905242187E-2</v>
      </c>
      <c r="T156" s="138"/>
      <c r="U156" s="112">
        <f t="shared" si="47"/>
        <v>4.2180637722064464E-2</v>
      </c>
      <c r="V156" s="112">
        <f t="shared" si="48"/>
        <v>0.21090318861032231</v>
      </c>
    </row>
    <row r="157" spans="3:22" hidden="1" outlineLevel="2" x14ac:dyDescent="0.35">
      <c r="E157" s="8" t="s">
        <v>99</v>
      </c>
      <c r="G157" s="22" t="s">
        <v>34</v>
      </c>
      <c r="J157" s="134">
        <f>SUM(J155:J156)</f>
        <v>0</v>
      </c>
      <c r="K157" s="134">
        <f t="shared" ref="K157:S157" si="49">SUM(K155:K156)</f>
        <v>0</v>
      </c>
      <c r="L157" s="134">
        <f t="shared" si="49"/>
        <v>0</v>
      </c>
      <c r="M157" s="134">
        <f t="shared" si="49"/>
        <v>0</v>
      </c>
      <c r="N157" s="134">
        <f t="shared" si="49"/>
        <v>0</v>
      </c>
      <c r="O157" s="134">
        <f t="shared" si="49"/>
        <v>0.44792325852185971</v>
      </c>
      <c r="P157" s="134">
        <f t="shared" si="49"/>
        <v>0.45284128460608414</v>
      </c>
      <c r="Q157" s="134">
        <f t="shared" si="49"/>
        <v>0.45190832529360803</v>
      </c>
      <c r="R157" s="134">
        <f t="shared" si="49"/>
        <v>0.45629890697614056</v>
      </c>
      <c r="S157" s="134">
        <f t="shared" si="49"/>
        <v>0.45642365084591946</v>
      </c>
      <c r="T157" s="138"/>
      <c r="U157" s="134">
        <f>SUM(U155:U156)</f>
        <v>0.45307908524872242</v>
      </c>
      <c r="V157" s="134">
        <f>SUM(V155:V156)</f>
        <v>2.2653954262436118</v>
      </c>
    </row>
    <row r="158" spans="3:22" hidden="1" outlineLevel="1" x14ac:dyDescent="0.35">
      <c r="J158" s="112"/>
      <c r="K158" s="112"/>
      <c r="L158" s="112"/>
      <c r="M158" s="112"/>
      <c r="N158" s="112"/>
      <c r="O158" s="112"/>
      <c r="P158" s="112"/>
      <c r="Q158" s="112"/>
      <c r="R158" s="112"/>
      <c r="S158" s="112"/>
      <c r="T158" s="138"/>
      <c r="U158" s="112"/>
      <c r="V158" s="112"/>
    </row>
    <row r="159" spans="3:22" hidden="1" outlineLevel="1" collapsed="1" x14ac:dyDescent="0.35">
      <c r="C159" s="24" t="str">
        <f>INDEX(InpC!$E$25:$E$42,G159)</f>
        <v>Wessex Water</v>
      </c>
      <c r="F159" s="113" t="str">
        <f>INDEX(InpC!$F$25:$F$42,G159,)</f>
        <v>WSX</v>
      </c>
      <c r="G159" s="8">
        <f>G51</f>
        <v>9</v>
      </c>
      <c r="J159" s="112"/>
      <c r="K159" s="112"/>
      <c r="L159" s="112"/>
      <c r="M159" s="112"/>
      <c r="N159" s="112"/>
      <c r="O159" s="112"/>
      <c r="P159" s="112"/>
      <c r="Q159" s="112"/>
      <c r="R159" s="112"/>
      <c r="S159" s="112"/>
      <c r="T159" s="138"/>
      <c r="U159" s="112"/>
      <c r="V159" s="112"/>
    </row>
    <row r="160" spans="3:22" hidden="1" outlineLevel="2" x14ac:dyDescent="0.35">
      <c r="E160" s="183" t="s">
        <v>82</v>
      </c>
      <c r="G160" s="22" t="s">
        <v>83</v>
      </c>
      <c r="J160" s="193"/>
      <c r="K160" s="193"/>
      <c r="L160" s="193"/>
      <c r="M160" s="193"/>
      <c r="N160" s="193"/>
      <c r="O160" s="193">
        <f xml:space="preserve"> SUMIFS('F_Inputs (EC)'!F$8:F$41, 'F_Inputs (EC)'!$A$8:$A$41, 'Analysis (LRS)'!$F$159, 'F_Inputs (EC)'!$B$8:$B$41, 'F_Inputs (EC)'!$B8)</f>
        <v>0.1</v>
      </c>
      <c r="P160" s="193">
        <f xml:space="preserve"> SUMIFS('F_Inputs (EC)'!G$8:G$41, 'F_Inputs (EC)'!$A$8:$A$41, 'Analysis (LRS)'!$F$159, 'F_Inputs (EC)'!$B$8:$B$41, 'F_Inputs (EC)'!$B8)</f>
        <v>0.1</v>
      </c>
      <c r="Q160" s="193">
        <f xml:space="preserve"> SUMIFS('F_Inputs (EC)'!H$8:H$41, 'F_Inputs (EC)'!$A$8:$A$41, 'Analysis (LRS)'!$F$159, 'F_Inputs (EC)'!$B$8:$B$41, 'F_Inputs (EC)'!$B8)</f>
        <v>0.1</v>
      </c>
      <c r="R160" s="193">
        <f xml:space="preserve"> SUMIFS('F_Inputs (EC)'!I$8:I$41, 'F_Inputs (EC)'!$A$8:$A$41, 'Analysis (LRS)'!$F$159, 'F_Inputs (EC)'!$B$8:$B$41, 'F_Inputs (EC)'!$B8)</f>
        <v>0.1</v>
      </c>
      <c r="S160" s="193">
        <f xml:space="preserve"> SUMIFS('F_Inputs (EC)'!J$8:J$41, 'F_Inputs (EC)'!$A$8:$A$41, 'Analysis (LRS)'!$F$159, 'F_Inputs (EC)'!$B$8:$B$41, 'F_Inputs (EC)'!$B8)</f>
        <v>0.1</v>
      </c>
      <c r="T160" s="138"/>
      <c r="U160" s="112"/>
      <c r="V160" s="112"/>
    </row>
    <row r="161" spans="3:22" hidden="1" outlineLevel="2" x14ac:dyDescent="0.35">
      <c r="E161" s="183" t="s">
        <v>85</v>
      </c>
      <c r="G161" s="22" t="s">
        <v>83</v>
      </c>
      <c r="J161" s="193"/>
      <c r="K161" s="193"/>
      <c r="L161" s="193"/>
      <c r="M161" s="193"/>
      <c r="N161" s="193"/>
      <c r="O161" s="193">
        <f xml:space="preserve"> SUMIFS('F_Inputs (EC)'!F$8:F$41, 'F_Inputs (EC)'!$A$8:$A$41, 'Analysis (LRS)'!$F$159, 'F_Inputs (EC)'!$B$8:$B$41, 'F_Inputs (EC)'!$B9)</f>
        <v>0.1</v>
      </c>
      <c r="P161" s="193">
        <f xml:space="preserve"> SUMIFS('F_Inputs (EC)'!G$8:G$41, 'F_Inputs (EC)'!$A$8:$A$41, 'Analysis (LRS)'!$F$159, 'F_Inputs (EC)'!$B$8:$B$41, 'F_Inputs (EC)'!$B9)</f>
        <v>0.1</v>
      </c>
      <c r="Q161" s="193">
        <f xml:space="preserve"> SUMIFS('F_Inputs (EC)'!H$8:H$41, 'F_Inputs (EC)'!$A$8:$A$41, 'Analysis (LRS)'!$F$159, 'F_Inputs (EC)'!$B$8:$B$41, 'F_Inputs (EC)'!$B9)</f>
        <v>0.1</v>
      </c>
      <c r="R161" s="193">
        <f xml:space="preserve"> SUMIFS('F_Inputs (EC)'!I$8:I$41, 'F_Inputs (EC)'!$A$8:$A$41, 'Analysis (LRS)'!$F$159, 'F_Inputs (EC)'!$B$8:$B$41, 'F_Inputs (EC)'!$B9)</f>
        <v>0.1</v>
      </c>
      <c r="S161" s="193">
        <f xml:space="preserve"> SUMIFS('F_Inputs (EC)'!J$8:J$41, 'F_Inputs (EC)'!$A$8:$A$41, 'Analysis (LRS)'!$F$159, 'F_Inputs (EC)'!$B$8:$B$41, 'F_Inputs (EC)'!$B9)</f>
        <v>0.1</v>
      </c>
      <c r="T161" s="138"/>
      <c r="U161" s="112"/>
      <c r="V161" s="112"/>
    </row>
    <row r="162" spans="3:22" hidden="1" outlineLevel="2" x14ac:dyDescent="0.35">
      <c r="E162" s="8" t="s">
        <v>224</v>
      </c>
      <c r="G162" s="22" t="s">
        <v>34</v>
      </c>
      <c r="J162" s="112"/>
      <c r="K162" s="112"/>
      <c r="L162" s="112"/>
      <c r="M162" s="112"/>
      <c r="N162" s="112"/>
      <c r="O162" s="112">
        <f t="shared" ref="O162:S163" si="50" xml:space="preserve"> O52 * (1 - O160)</f>
        <v>0</v>
      </c>
      <c r="P162" s="112">
        <f t="shared" si="50"/>
        <v>0</v>
      </c>
      <c r="Q162" s="112">
        <f t="shared" si="50"/>
        <v>0</v>
      </c>
      <c r="R162" s="112">
        <f t="shared" si="50"/>
        <v>0</v>
      </c>
      <c r="S162" s="112">
        <f t="shared" si="50"/>
        <v>0</v>
      </c>
      <c r="T162" s="138"/>
      <c r="U162" s="112">
        <f t="shared" ref="U162:U163" si="51">IFERROR(AVERAGE(O162:S162),0)</f>
        <v>0</v>
      </c>
      <c r="V162" s="112">
        <f t="shared" ref="V162:V163" si="52">SUM(O162:S162)</f>
        <v>0</v>
      </c>
    </row>
    <row r="163" spans="3:22" hidden="1" outlineLevel="2" x14ac:dyDescent="0.35">
      <c r="E163" s="8" t="s">
        <v>225</v>
      </c>
      <c r="G163" s="22" t="s">
        <v>34</v>
      </c>
      <c r="J163" s="112"/>
      <c r="K163" s="112"/>
      <c r="L163" s="112"/>
      <c r="M163" s="112"/>
      <c r="N163" s="112"/>
      <c r="O163" s="112">
        <f t="shared" si="50"/>
        <v>0</v>
      </c>
      <c r="P163" s="112">
        <f t="shared" si="50"/>
        <v>0</v>
      </c>
      <c r="Q163" s="112">
        <f t="shared" si="50"/>
        <v>0</v>
      </c>
      <c r="R163" s="112">
        <f t="shared" si="50"/>
        <v>0</v>
      </c>
      <c r="S163" s="112">
        <f t="shared" si="50"/>
        <v>0</v>
      </c>
      <c r="T163" s="138"/>
      <c r="U163" s="112">
        <f t="shared" si="51"/>
        <v>0</v>
      </c>
      <c r="V163" s="112">
        <f t="shared" si="52"/>
        <v>0</v>
      </c>
    </row>
    <row r="164" spans="3:22" hidden="1" outlineLevel="2" x14ac:dyDescent="0.35">
      <c r="E164" s="8" t="s">
        <v>99</v>
      </c>
      <c r="G164" s="22" t="s">
        <v>34</v>
      </c>
      <c r="J164" s="134">
        <f>SUM(J162:J163)</f>
        <v>0</v>
      </c>
      <c r="K164" s="134">
        <f t="shared" ref="K164:S164" si="53">SUM(K162:K163)</f>
        <v>0</v>
      </c>
      <c r="L164" s="134">
        <f t="shared" si="53"/>
        <v>0</v>
      </c>
      <c r="M164" s="134">
        <f t="shared" si="53"/>
        <v>0</v>
      </c>
      <c r="N164" s="134">
        <f t="shared" si="53"/>
        <v>0</v>
      </c>
      <c r="O164" s="134">
        <f t="shared" si="53"/>
        <v>0</v>
      </c>
      <c r="P164" s="134">
        <f t="shared" si="53"/>
        <v>0</v>
      </c>
      <c r="Q164" s="134">
        <f t="shared" si="53"/>
        <v>0</v>
      </c>
      <c r="R164" s="134">
        <f t="shared" si="53"/>
        <v>0</v>
      </c>
      <c r="S164" s="134">
        <f t="shared" si="53"/>
        <v>0</v>
      </c>
      <c r="T164" s="138"/>
      <c r="U164" s="134">
        <f>SUM(U162:U163)</f>
        <v>0</v>
      </c>
      <c r="V164" s="134">
        <f>SUM(V162:V163)</f>
        <v>0</v>
      </c>
    </row>
    <row r="165" spans="3:22" hidden="1" outlineLevel="1" x14ac:dyDescent="0.35">
      <c r="J165" s="112"/>
      <c r="K165" s="112"/>
      <c r="L165" s="112"/>
      <c r="M165" s="112"/>
      <c r="N165" s="112"/>
      <c r="O165" s="112"/>
      <c r="P165" s="112"/>
      <c r="Q165" s="112"/>
      <c r="R165" s="112"/>
      <c r="S165" s="112"/>
      <c r="T165" s="138"/>
      <c r="U165" s="112"/>
      <c r="V165" s="112"/>
    </row>
    <row r="166" spans="3:22" hidden="1" outlineLevel="1" collapsed="1" x14ac:dyDescent="0.35">
      <c r="C166" s="24" t="str">
        <f>INDEX(InpC!$E$25:$E$42,G166)</f>
        <v>Yorkshire Water</v>
      </c>
      <c r="F166" s="113" t="str">
        <f>INDEX(InpC!$F$25:$F$42,G166,)</f>
        <v>YKY</v>
      </c>
      <c r="G166" s="8">
        <f>G56</f>
        <v>10</v>
      </c>
      <c r="J166" s="112"/>
      <c r="K166" s="112"/>
      <c r="L166" s="112"/>
      <c r="M166" s="112"/>
      <c r="N166" s="112"/>
      <c r="O166" s="112"/>
      <c r="P166" s="112"/>
      <c r="Q166" s="112"/>
      <c r="R166" s="112"/>
      <c r="S166" s="112"/>
      <c r="T166" s="138"/>
      <c r="U166" s="112"/>
      <c r="V166" s="112"/>
    </row>
    <row r="167" spans="3:22" hidden="1" outlineLevel="2" x14ac:dyDescent="0.35">
      <c r="E167" s="183" t="s">
        <v>82</v>
      </c>
      <c r="G167" s="22" t="s">
        <v>83</v>
      </c>
      <c r="J167" s="193"/>
      <c r="K167" s="193"/>
      <c r="L167" s="193"/>
      <c r="M167" s="193"/>
      <c r="N167" s="193"/>
      <c r="O167" s="193">
        <f xml:space="preserve"> SUMIFS('F_Inputs (EC)'!F$8:F$41, 'F_Inputs (EC)'!$A$8:$A$41, 'Analysis (LRS)'!$F$166, 'F_Inputs (EC)'!$B$8:$B$41, 'F_Inputs (EC)'!$B8)</f>
        <v>0.1</v>
      </c>
      <c r="P167" s="193">
        <f xml:space="preserve"> SUMIFS('F_Inputs (EC)'!G$8:G$41, 'F_Inputs (EC)'!$A$8:$A$41, 'Analysis (LRS)'!$F$166, 'F_Inputs (EC)'!$B$8:$B$41, 'F_Inputs (EC)'!$B8)</f>
        <v>0.1</v>
      </c>
      <c r="Q167" s="193">
        <f xml:space="preserve"> SUMIFS('F_Inputs (EC)'!H$8:H$41, 'F_Inputs (EC)'!$A$8:$A$41, 'Analysis (LRS)'!$F$166, 'F_Inputs (EC)'!$B$8:$B$41, 'F_Inputs (EC)'!$B8)</f>
        <v>0.1</v>
      </c>
      <c r="R167" s="193">
        <f xml:space="preserve"> SUMIFS('F_Inputs (EC)'!I$8:I$41, 'F_Inputs (EC)'!$A$8:$A$41, 'Analysis (LRS)'!$F$166, 'F_Inputs (EC)'!$B$8:$B$41, 'F_Inputs (EC)'!$B8)</f>
        <v>0.1</v>
      </c>
      <c r="S167" s="193">
        <f xml:space="preserve"> SUMIFS('F_Inputs (EC)'!J$8:J$41, 'F_Inputs (EC)'!$A$8:$A$41, 'Analysis (LRS)'!$F$166, 'F_Inputs (EC)'!$B$8:$B$41, 'F_Inputs (EC)'!$B8)</f>
        <v>0.1</v>
      </c>
      <c r="T167" s="138"/>
      <c r="U167" s="112"/>
      <c r="V167" s="112"/>
    </row>
    <row r="168" spans="3:22" hidden="1" outlineLevel="2" x14ac:dyDescent="0.35">
      <c r="E168" s="183" t="s">
        <v>85</v>
      </c>
      <c r="G168" s="22" t="s">
        <v>83</v>
      </c>
      <c r="J168" s="193"/>
      <c r="K168" s="193"/>
      <c r="L168" s="193"/>
      <c r="M168" s="193"/>
      <c r="N168" s="193"/>
      <c r="O168" s="193">
        <f xml:space="preserve"> SUMIFS('F_Inputs (EC)'!F$8:F$41, 'F_Inputs (EC)'!$A$8:$A$41, 'Analysis (LRS)'!$F$166, 'F_Inputs (EC)'!$B$8:$B$41, 'F_Inputs (EC)'!$B9)</f>
        <v>0</v>
      </c>
      <c r="P168" s="193">
        <f xml:space="preserve"> SUMIFS('F_Inputs (EC)'!G$8:G$41, 'F_Inputs (EC)'!$A$8:$A$41, 'Analysis (LRS)'!$F$166, 'F_Inputs (EC)'!$B$8:$B$41, 'F_Inputs (EC)'!$B9)</f>
        <v>0</v>
      </c>
      <c r="Q168" s="193">
        <f xml:space="preserve"> SUMIFS('F_Inputs (EC)'!H$8:H$41, 'F_Inputs (EC)'!$A$8:$A$41, 'Analysis (LRS)'!$F$166, 'F_Inputs (EC)'!$B$8:$B$41, 'F_Inputs (EC)'!$B9)</f>
        <v>0</v>
      </c>
      <c r="R168" s="193">
        <f xml:space="preserve"> SUMIFS('F_Inputs (EC)'!I$8:I$41, 'F_Inputs (EC)'!$A$8:$A$41, 'Analysis (LRS)'!$F$166, 'F_Inputs (EC)'!$B$8:$B$41, 'F_Inputs (EC)'!$B9)</f>
        <v>0</v>
      </c>
      <c r="S168" s="193">
        <f xml:space="preserve"> SUMIFS('F_Inputs (EC)'!J$8:J$41, 'F_Inputs (EC)'!$A$8:$A$41, 'Analysis (LRS)'!$F$166, 'F_Inputs (EC)'!$B$8:$B$41, 'F_Inputs (EC)'!$B9)</f>
        <v>0</v>
      </c>
      <c r="T168" s="138"/>
      <c r="U168" s="112"/>
      <c r="V168" s="112"/>
    </row>
    <row r="169" spans="3:22" hidden="1" outlineLevel="2" x14ac:dyDescent="0.35">
      <c r="E169" s="8" t="s">
        <v>224</v>
      </c>
      <c r="G169" s="22" t="s">
        <v>34</v>
      </c>
      <c r="J169" s="112"/>
      <c r="K169" s="112"/>
      <c r="L169" s="112"/>
      <c r="M169" s="112"/>
      <c r="N169" s="112"/>
      <c r="O169" s="112">
        <f t="shared" ref="O169:S170" si="54" xml:space="preserve"> O57 * (1 - O167)</f>
        <v>0.8649</v>
      </c>
      <c r="P169" s="112">
        <f t="shared" si="54"/>
        <v>0.8649</v>
      </c>
      <c r="Q169" s="112">
        <f t="shared" si="54"/>
        <v>0.8649</v>
      </c>
      <c r="R169" s="112">
        <f t="shared" si="54"/>
        <v>0.8649</v>
      </c>
      <c r="S169" s="112">
        <f t="shared" si="54"/>
        <v>0.8649</v>
      </c>
      <c r="T169" s="138"/>
      <c r="U169" s="112">
        <f t="shared" ref="U169:U170" si="55">IFERROR(AVERAGE(O169:S169),0)</f>
        <v>0.86490000000000011</v>
      </c>
      <c r="V169" s="112">
        <f t="shared" ref="V169:V170" si="56">SUM(O169:S169)</f>
        <v>4.3245000000000005</v>
      </c>
    </row>
    <row r="170" spans="3:22" hidden="1" outlineLevel="2" x14ac:dyDescent="0.35">
      <c r="E170" s="8" t="s">
        <v>225</v>
      </c>
      <c r="G170" s="22" t="s">
        <v>34</v>
      </c>
      <c r="J170" s="112"/>
      <c r="K170" s="112"/>
      <c r="L170" s="112"/>
      <c r="M170" s="112"/>
      <c r="N170" s="112"/>
      <c r="O170" s="112">
        <f t="shared" si="54"/>
        <v>0.107</v>
      </c>
      <c r="P170" s="112">
        <f t="shared" si="54"/>
        <v>0.107</v>
      </c>
      <c r="Q170" s="112">
        <f t="shared" si="54"/>
        <v>0.107</v>
      </c>
      <c r="R170" s="112">
        <f t="shared" si="54"/>
        <v>0.107</v>
      </c>
      <c r="S170" s="112">
        <f t="shared" si="54"/>
        <v>0.107</v>
      </c>
      <c r="T170" s="138"/>
      <c r="U170" s="112">
        <f t="shared" si="55"/>
        <v>0.10700000000000001</v>
      </c>
      <c r="V170" s="112">
        <f t="shared" si="56"/>
        <v>0.53500000000000003</v>
      </c>
    </row>
    <row r="171" spans="3:22" hidden="1" outlineLevel="2" x14ac:dyDescent="0.35">
      <c r="E171" s="8" t="s">
        <v>99</v>
      </c>
      <c r="G171" s="22" t="s">
        <v>34</v>
      </c>
      <c r="J171" s="134">
        <f>SUM(J169:J170)</f>
        <v>0</v>
      </c>
      <c r="K171" s="134">
        <f t="shared" ref="K171:S171" si="57">SUM(K169:K170)</f>
        <v>0</v>
      </c>
      <c r="L171" s="134">
        <f t="shared" si="57"/>
        <v>0</v>
      </c>
      <c r="M171" s="134">
        <f t="shared" si="57"/>
        <v>0</v>
      </c>
      <c r="N171" s="134">
        <f t="shared" si="57"/>
        <v>0</v>
      </c>
      <c r="O171" s="134">
        <f t="shared" si="57"/>
        <v>0.97189999999999999</v>
      </c>
      <c r="P171" s="134">
        <f t="shared" si="57"/>
        <v>0.97189999999999999</v>
      </c>
      <c r="Q171" s="134">
        <f t="shared" si="57"/>
        <v>0.97189999999999999</v>
      </c>
      <c r="R171" s="134">
        <f t="shared" si="57"/>
        <v>0.97189999999999999</v>
      </c>
      <c r="S171" s="134">
        <f t="shared" si="57"/>
        <v>0.97189999999999999</v>
      </c>
      <c r="T171" s="138"/>
      <c r="U171" s="134">
        <f>SUM(U169:U170)</f>
        <v>0.9719000000000001</v>
      </c>
      <c r="V171" s="134">
        <f>SUM(V169:V170)</f>
        <v>4.8595000000000006</v>
      </c>
    </row>
    <row r="172" spans="3:22" hidden="1" outlineLevel="1" x14ac:dyDescent="0.35">
      <c r="J172" s="112"/>
      <c r="K172" s="112"/>
      <c r="L172" s="112"/>
      <c r="M172" s="112"/>
      <c r="N172" s="112"/>
      <c r="O172" s="112"/>
      <c r="P172" s="112"/>
      <c r="Q172" s="112"/>
      <c r="R172" s="112"/>
      <c r="S172" s="112"/>
      <c r="T172" s="138"/>
      <c r="U172" s="112"/>
      <c r="V172" s="112"/>
    </row>
    <row r="173" spans="3:22" hidden="1" outlineLevel="1" collapsed="1" x14ac:dyDescent="0.35">
      <c r="C173" s="24" t="str">
        <f>INDEX(InpC!$E$25:$E$42,G173)</f>
        <v>Affinity Water</v>
      </c>
      <c r="F173" s="113" t="str">
        <f>INDEX(InpC!$F$25:$F$42,G173,)</f>
        <v>AFW</v>
      </c>
      <c r="G173" s="8">
        <f>G61</f>
        <v>11</v>
      </c>
      <c r="J173" s="112"/>
      <c r="K173" s="112"/>
      <c r="L173" s="112"/>
      <c r="M173" s="112"/>
      <c r="N173" s="112"/>
      <c r="O173" s="112"/>
      <c r="P173" s="112"/>
      <c r="Q173" s="112"/>
      <c r="R173" s="112"/>
      <c r="S173" s="112"/>
      <c r="T173" s="138"/>
      <c r="U173" s="112"/>
      <c r="V173" s="112"/>
    </row>
    <row r="174" spans="3:22" hidden="1" outlineLevel="2" x14ac:dyDescent="0.35">
      <c r="E174" s="183" t="s">
        <v>82</v>
      </c>
      <c r="G174" s="22" t="s">
        <v>83</v>
      </c>
      <c r="J174" s="193"/>
      <c r="K174" s="193"/>
      <c r="L174" s="193"/>
      <c r="M174" s="193"/>
      <c r="N174" s="193"/>
      <c r="O174" s="193">
        <f xml:space="preserve"> SUMIFS('F_Inputs (EC)'!F$8:F$41, 'F_Inputs (EC)'!$A$8:$A$41, 'Analysis (LRS)'!$F$173, 'F_Inputs (EC)'!$B$8:$B$41, 'F_Inputs (EC)'!$B$8)</f>
        <v>7.779658401263643E-3</v>
      </c>
      <c r="P174" s="193">
        <f xml:space="preserve"> SUMIFS('F_Inputs (EC)'!G$8:G$41, 'F_Inputs (EC)'!$A$8:$A$41, 'Analysis (LRS)'!$F$173, 'F_Inputs (EC)'!$B$8:$B$41, 'F_Inputs (EC)'!$B$8)</f>
        <v>7.779658401263643E-3</v>
      </c>
      <c r="Q174" s="193">
        <f xml:space="preserve"> SUMIFS('F_Inputs (EC)'!H$8:H$41, 'F_Inputs (EC)'!$A$8:$A$41, 'Analysis (LRS)'!$F$173, 'F_Inputs (EC)'!$B$8:$B$41, 'F_Inputs (EC)'!$B$8)</f>
        <v>7.779658401263643E-3</v>
      </c>
      <c r="R174" s="193">
        <f xml:space="preserve"> SUMIFS('F_Inputs (EC)'!I$8:I$41, 'F_Inputs (EC)'!$A$8:$A$41, 'Analysis (LRS)'!$F$173, 'F_Inputs (EC)'!$B$8:$B$41, 'F_Inputs (EC)'!$B$8)</f>
        <v>7.779658401263643E-3</v>
      </c>
      <c r="S174" s="193">
        <f xml:space="preserve"> SUMIFS('F_Inputs (EC)'!J$8:J$41, 'F_Inputs (EC)'!$A$8:$A$41, 'Analysis (LRS)'!$F$173, 'F_Inputs (EC)'!$B$8:$B$41, 'F_Inputs (EC)'!$B$8)</f>
        <v>7.779658401263643E-3</v>
      </c>
      <c r="T174" s="138"/>
      <c r="U174" s="112"/>
      <c r="V174" s="112"/>
    </row>
    <row r="175" spans="3:22" hidden="1" outlineLevel="2" x14ac:dyDescent="0.35">
      <c r="E175" s="183" t="s">
        <v>85</v>
      </c>
      <c r="G175" s="22" t="s">
        <v>83</v>
      </c>
      <c r="J175" s="193"/>
      <c r="K175" s="193"/>
      <c r="L175" s="193"/>
      <c r="M175" s="193"/>
      <c r="N175" s="193"/>
      <c r="O175" s="193"/>
      <c r="P175" s="193"/>
      <c r="Q175" s="193"/>
      <c r="R175" s="193"/>
      <c r="S175" s="193"/>
      <c r="T175" s="138"/>
      <c r="U175" s="112"/>
      <c r="V175" s="112"/>
    </row>
    <row r="176" spans="3:22" hidden="1" outlineLevel="2" x14ac:dyDescent="0.35">
      <c r="E176" s="8" t="s">
        <v>224</v>
      </c>
      <c r="G176" s="22" t="s">
        <v>34</v>
      </c>
      <c r="J176" s="112"/>
      <c r="K176" s="112"/>
      <c r="L176" s="112"/>
      <c r="M176" s="112"/>
      <c r="N176" s="112"/>
      <c r="O176" s="112">
        <f xml:space="preserve"> O62 * (1 - O174)</f>
        <v>1.4883305123981045E-2</v>
      </c>
      <c r="P176" s="112">
        <f xml:space="preserve"> P62 * (1 - P174)</f>
        <v>1.4883305123981045E-2</v>
      </c>
      <c r="Q176" s="112">
        <f xml:space="preserve"> Q62 * (1 - Q174)</f>
        <v>1.4883305123981045E-2</v>
      </c>
      <c r="R176" s="112">
        <f xml:space="preserve"> R62 * (1 - R174)</f>
        <v>1.4883305123981045E-2</v>
      </c>
      <c r="S176" s="112">
        <f xml:space="preserve"> S62 * (1 - S174)</f>
        <v>1.4883305123981045E-2</v>
      </c>
      <c r="T176" s="138"/>
      <c r="U176" s="112">
        <f t="shared" ref="U176:U177" si="58">IFERROR(AVERAGE(O176:S176),0)</f>
        <v>1.4883305123981044E-2</v>
      </c>
      <c r="V176" s="112">
        <f t="shared" ref="V176:V177" si="59">SUM(O176:S176)</f>
        <v>7.4416525619905222E-2</v>
      </c>
    </row>
    <row r="177" spans="3:22" hidden="1" outlineLevel="2" x14ac:dyDescent="0.35">
      <c r="E177" s="8" t="s">
        <v>225</v>
      </c>
      <c r="G177" s="22" t="s">
        <v>34</v>
      </c>
      <c r="J177" s="112"/>
      <c r="K177" s="112"/>
      <c r="L177" s="112"/>
      <c r="M177" s="112"/>
      <c r="N177" s="112"/>
      <c r="O177" s="112"/>
      <c r="P177" s="112"/>
      <c r="Q177" s="112"/>
      <c r="R177" s="112"/>
      <c r="S177" s="112"/>
      <c r="T177" s="138"/>
      <c r="U177" s="112">
        <f t="shared" si="58"/>
        <v>0</v>
      </c>
      <c r="V177" s="112">
        <f t="shared" si="59"/>
        <v>0</v>
      </c>
    </row>
    <row r="178" spans="3:22" hidden="1" outlineLevel="2" x14ac:dyDescent="0.35">
      <c r="E178" s="8" t="s">
        <v>99</v>
      </c>
      <c r="G178" s="22" t="s">
        <v>34</v>
      </c>
      <c r="J178" s="134">
        <f>SUM(J176:J177)</f>
        <v>0</v>
      </c>
      <c r="K178" s="134">
        <f t="shared" ref="K178:S178" si="60">SUM(K176:K177)</f>
        <v>0</v>
      </c>
      <c r="L178" s="134">
        <f t="shared" si="60"/>
        <v>0</v>
      </c>
      <c r="M178" s="134">
        <f t="shared" si="60"/>
        <v>0</v>
      </c>
      <c r="N178" s="134">
        <f t="shared" si="60"/>
        <v>0</v>
      </c>
      <c r="O178" s="134">
        <f t="shared" si="60"/>
        <v>1.4883305123981045E-2</v>
      </c>
      <c r="P178" s="134">
        <f t="shared" si="60"/>
        <v>1.4883305123981045E-2</v>
      </c>
      <c r="Q178" s="134">
        <f t="shared" si="60"/>
        <v>1.4883305123981045E-2</v>
      </c>
      <c r="R178" s="134">
        <f t="shared" si="60"/>
        <v>1.4883305123981045E-2</v>
      </c>
      <c r="S178" s="134">
        <f t="shared" si="60"/>
        <v>1.4883305123981045E-2</v>
      </c>
      <c r="T178" s="138"/>
      <c r="U178" s="134">
        <f>SUM(U176:U177)</f>
        <v>1.4883305123981044E-2</v>
      </c>
      <c r="V178" s="134">
        <f>SUM(V176:V177)</f>
        <v>7.4416525619905222E-2</v>
      </c>
    </row>
    <row r="179" spans="3:22" hidden="1" outlineLevel="1" x14ac:dyDescent="0.35">
      <c r="J179" s="112"/>
      <c r="K179" s="112"/>
      <c r="L179" s="112"/>
      <c r="M179" s="112"/>
      <c r="N179" s="112"/>
      <c r="O179" s="112"/>
      <c r="P179" s="112"/>
      <c r="Q179" s="112"/>
      <c r="R179" s="112"/>
      <c r="S179" s="112"/>
      <c r="T179" s="138"/>
      <c r="U179" s="112"/>
      <c r="V179" s="112"/>
    </row>
    <row r="180" spans="3:22" hidden="1" outlineLevel="1" collapsed="1" x14ac:dyDescent="0.35">
      <c r="C180" s="24" t="str">
        <f>INDEX(InpC!$E$25:$E$42,G180)</f>
        <v>Portsmouth Water</v>
      </c>
      <c r="F180" s="113" t="str">
        <f>INDEX(InpC!$F$25:$F$42,G180,)</f>
        <v>PRT</v>
      </c>
      <c r="G180" s="8">
        <f>G66</f>
        <v>12</v>
      </c>
      <c r="J180" s="112"/>
      <c r="K180" s="112"/>
      <c r="L180" s="112"/>
      <c r="M180" s="112"/>
      <c r="N180" s="112"/>
      <c r="O180" s="112"/>
      <c r="P180" s="112"/>
      <c r="Q180" s="112"/>
      <c r="R180" s="112"/>
      <c r="S180" s="112"/>
      <c r="T180" s="138"/>
      <c r="U180" s="112"/>
      <c r="V180" s="112"/>
    </row>
    <row r="181" spans="3:22" hidden="1" outlineLevel="2" x14ac:dyDescent="0.35">
      <c r="E181" s="183" t="s">
        <v>82</v>
      </c>
      <c r="G181" s="22" t="s">
        <v>83</v>
      </c>
      <c r="J181" s="193"/>
      <c r="K181" s="193"/>
      <c r="L181" s="193"/>
      <c r="M181" s="193"/>
      <c r="N181" s="193"/>
      <c r="O181" s="193">
        <f xml:space="preserve"> SUMIFS('F_Inputs (EC)'!F$8:F$41, 'F_Inputs (EC)'!$A$8:$A$41, 'Analysis (LRS)'!$F$180, 'F_Inputs (EC)'!$B$8:$B$41, 'F_Inputs (EC)'!$B$8)</f>
        <v>0</v>
      </c>
      <c r="P181" s="193">
        <f xml:space="preserve"> SUMIFS('F_Inputs (EC)'!G$8:G$41, 'F_Inputs (EC)'!$A$8:$A$41, 'Analysis (LRS)'!$F$180, 'F_Inputs (EC)'!$B$8:$B$41, 'F_Inputs (EC)'!$B$8)</f>
        <v>0</v>
      </c>
      <c r="Q181" s="193">
        <f xml:space="preserve"> SUMIFS('F_Inputs (EC)'!H$8:H$41, 'F_Inputs (EC)'!$A$8:$A$41, 'Analysis (LRS)'!$F$180, 'F_Inputs (EC)'!$B$8:$B$41, 'F_Inputs (EC)'!$B$8)</f>
        <v>0</v>
      </c>
      <c r="R181" s="193">
        <f xml:space="preserve"> SUMIFS('F_Inputs (EC)'!I$8:I$41, 'F_Inputs (EC)'!$A$8:$A$41, 'Analysis (LRS)'!$F$180, 'F_Inputs (EC)'!$B$8:$B$41, 'F_Inputs (EC)'!$B$8)</f>
        <v>0</v>
      </c>
      <c r="S181" s="193">
        <f xml:space="preserve"> SUMIFS('F_Inputs (EC)'!J$8:J$41, 'F_Inputs (EC)'!$A$8:$A$41, 'Analysis (LRS)'!$F$180, 'F_Inputs (EC)'!$B$8:$B$41, 'F_Inputs (EC)'!$B$8)</f>
        <v>0</v>
      </c>
      <c r="T181" s="138"/>
      <c r="U181" s="112"/>
      <c r="V181" s="112"/>
    </row>
    <row r="182" spans="3:22" hidden="1" outlineLevel="2" x14ac:dyDescent="0.35">
      <c r="E182" s="183" t="s">
        <v>85</v>
      </c>
      <c r="G182" s="22" t="s">
        <v>83</v>
      </c>
      <c r="J182" s="193"/>
      <c r="K182" s="193"/>
      <c r="L182" s="193"/>
      <c r="M182" s="193"/>
      <c r="N182" s="193"/>
      <c r="O182" s="193"/>
      <c r="P182" s="193"/>
      <c r="Q182" s="193"/>
      <c r="R182" s="193"/>
      <c r="S182" s="193"/>
      <c r="T182" s="138"/>
      <c r="U182" s="112"/>
      <c r="V182" s="112"/>
    </row>
    <row r="183" spans="3:22" hidden="1" outlineLevel="2" x14ac:dyDescent="0.35">
      <c r="E183" s="8" t="s">
        <v>224</v>
      </c>
      <c r="G183" s="22" t="s">
        <v>34</v>
      </c>
      <c r="J183" s="112"/>
      <c r="K183" s="112"/>
      <c r="L183" s="112"/>
      <c r="M183" s="112"/>
      <c r="N183" s="112"/>
      <c r="O183" s="112">
        <f xml:space="preserve"> O67 * (1 - O181)</f>
        <v>0.20200000000000001</v>
      </c>
      <c r="P183" s="112">
        <f xml:space="preserve"> P67 * (1 - P181)</f>
        <v>0.20399999999999999</v>
      </c>
      <c r="Q183" s="112">
        <f xml:space="preserve"> Q67 * (1 - Q181)</f>
        <v>0.20200000000000001</v>
      </c>
      <c r="R183" s="112">
        <f xml:space="preserve"> R67 * (1 - R181)</f>
        <v>0.20200000000000001</v>
      </c>
      <c r="S183" s="112">
        <f xml:space="preserve"> S67 * (1 - S181)</f>
        <v>0.20200000000000001</v>
      </c>
      <c r="T183" s="138"/>
      <c r="U183" s="112">
        <f t="shared" ref="U183:U184" si="61">IFERROR(AVERAGE(O183:S183),0)</f>
        <v>0.2024</v>
      </c>
      <c r="V183" s="112">
        <f t="shared" ref="V183:V184" si="62">SUM(O183:S183)</f>
        <v>1.012</v>
      </c>
    </row>
    <row r="184" spans="3:22" hidden="1" outlineLevel="2" x14ac:dyDescent="0.35">
      <c r="E184" s="8" t="s">
        <v>225</v>
      </c>
      <c r="G184" s="22" t="s">
        <v>34</v>
      </c>
      <c r="J184" s="112"/>
      <c r="K184" s="112"/>
      <c r="L184" s="112"/>
      <c r="M184" s="112"/>
      <c r="N184" s="112"/>
      <c r="O184" s="112"/>
      <c r="P184" s="112"/>
      <c r="Q184" s="112"/>
      <c r="R184" s="112"/>
      <c r="S184" s="112"/>
      <c r="T184" s="138"/>
      <c r="U184" s="112">
        <f t="shared" si="61"/>
        <v>0</v>
      </c>
      <c r="V184" s="112">
        <f t="shared" si="62"/>
        <v>0</v>
      </c>
    </row>
    <row r="185" spans="3:22" hidden="1" outlineLevel="2" x14ac:dyDescent="0.35">
      <c r="E185" s="8" t="s">
        <v>99</v>
      </c>
      <c r="G185" s="22" t="s">
        <v>34</v>
      </c>
      <c r="J185" s="134">
        <f>SUM(J183:J184)</f>
        <v>0</v>
      </c>
      <c r="K185" s="134">
        <f t="shared" ref="K185:S185" si="63">SUM(K183:K184)</f>
        <v>0</v>
      </c>
      <c r="L185" s="134">
        <f t="shared" si="63"/>
        <v>0</v>
      </c>
      <c r="M185" s="134">
        <f t="shared" si="63"/>
        <v>0</v>
      </c>
      <c r="N185" s="134">
        <f t="shared" si="63"/>
        <v>0</v>
      </c>
      <c r="O185" s="134">
        <f t="shared" si="63"/>
        <v>0.20200000000000001</v>
      </c>
      <c r="P185" s="134">
        <f t="shared" si="63"/>
        <v>0.20399999999999999</v>
      </c>
      <c r="Q185" s="134">
        <f t="shared" si="63"/>
        <v>0.20200000000000001</v>
      </c>
      <c r="R185" s="134">
        <f t="shared" si="63"/>
        <v>0.20200000000000001</v>
      </c>
      <c r="S185" s="134">
        <f t="shared" si="63"/>
        <v>0.20200000000000001</v>
      </c>
      <c r="T185" s="138"/>
      <c r="U185" s="134">
        <f>SUM(U183:U184)</f>
        <v>0.2024</v>
      </c>
      <c r="V185" s="134">
        <f>SUM(V183:V184)</f>
        <v>1.012</v>
      </c>
    </row>
    <row r="186" spans="3:22" hidden="1" outlineLevel="1" x14ac:dyDescent="0.35">
      <c r="J186" s="112"/>
      <c r="K186" s="112"/>
      <c r="L186" s="112"/>
      <c r="M186" s="112"/>
      <c r="N186" s="112"/>
      <c r="O186" s="112"/>
      <c r="P186" s="112"/>
      <c r="Q186" s="112"/>
      <c r="R186" s="112"/>
      <c r="S186" s="112"/>
      <c r="T186" s="138"/>
      <c r="U186" s="112"/>
      <c r="V186" s="112"/>
    </row>
    <row r="187" spans="3:22" hidden="1" outlineLevel="1" collapsed="1" x14ac:dyDescent="0.35">
      <c r="C187" s="24" t="str">
        <f>INDEX(InpC!$E$25:$E$42,G187)</f>
        <v>South East Water</v>
      </c>
      <c r="F187" s="113" t="str">
        <f>INDEX(InpC!$F$25:$F$42,G187,)</f>
        <v>SEW</v>
      </c>
      <c r="G187" s="8">
        <f>G71</f>
        <v>13</v>
      </c>
      <c r="J187" s="112"/>
      <c r="K187" s="112"/>
      <c r="L187" s="112"/>
      <c r="M187" s="112"/>
      <c r="N187" s="112"/>
      <c r="O187" s="112"/>
      <c r="P187" s="112"/>
      <c r="Q187" s="112"/>
      <c r="R187" s="112"/>
      <c r="S187" s="112"/>
      <c r="T187" s="138"/>
      <c r="U187" s="112"/>
      <c r="V187" s="112"/>
    </row>
    <row r="188" spans="3:22" hidden="1" outlineLevel="2" x14ac:dyDescent="0.35">
      <c r="E188" s="183" t="s">
        <v>82</v>
      </c>
      <c r="G188" s="22" t="s">
        <v>83</v>
      </c>
      <c r="J188" s="193"/>
      <c r="K188" s="193"/>
      <c r="L188" s="193"/>
      <c r="M188" s="193"/>
      <c r="N188" s="193"/>
      <c r="O188" s="193">
        <f xml:space="preserve"> SUMIFS('F_Inputs (EC)'!F$8:F$41, 'F_Inputs (EC)'!$A$8:$A$41, 'Analysis (LRS)'!$F$187, 'F_Inputs (EC)'!$B$8:$B$41, 'F_Inputs (EC)'!$B$8)</f>
        <v>6.5886387183802922E-2</v>
      </c>
      <c r="P188" s="193">
        <f xml:space="preserve"> SUMIFS('F_Inputs (EC)'!G$8:G$41, 'F_Inputs (EC)'!$A$8:$A$41, 'Analysis (LRS)'!$F$187, 'F_Inputs (EC)'!$B$8:$B$41, 'F_Inputs (EC)'!$B$8)</f>
        <v>6.5886387183802922E-2</v>
      </c>
      <c r="Q188" s="193">
        <f xml:space="preserve"> SUMIFS('F_Inputs (EC)'!H$8:H$41, 'F_Inputs (EC)'!$A$8:$A$41, 'Analysis (LRS)'!$F$187, 'F_Inputs (EC)'!$B$8:$B$41, 'F_Inputs (EC)'!$B$8)</f>
        <v>6.5886387183802922E-2</v>
      </c>
      <c r="R188" s="193">
        <f xml:space="preserve"> SUMIFS('F_Inputs (EC)'!I$8:I$41, 'F_Inputs (EC)'!$A$8:$A$41, 'Analysis (LRS)'!$F$187, 'F_Inputs (EC)'!$B$8:$B$41, 'F_Inputs (EC)'!$B$8)</f>
        <v>6.5886387183802922E-2</v>
      </c>
      <c r="S188" s="193">
        <f xml:space="preserve"> SUMIFS('F_Inputs (EC)'!J$8:J$41, 'F_Inputs (EC)'!$A$8:$A$41, 'Analysis (LRS)'!$F$187, 'F_Inputs (EC)'!$B$8:$B$41, 'F_Inputs (EC)'!$B$8)</f>
        <v>6.5886387183802922E-2</v>
      </c>
      <c r="T188" s="138"/>
      <c r="U188" s="112"/>
      <c r="V188" s="112"/>
    </row>
    <row r="189" spans="3:22" hidden="1" outlineLevel="2" x14ac:dyDescent="0.35">
      <c r="E189" s="183" t="s">
        <v>85</v>
      </c>
      <c r="G189" s="22" t="s">
        <v>83</v>
      </c>
      <c r="J189" s="193"/>
      <c r="K189" s="193"/>
      <c r="L189" s="193"/>
      <c r="M189" s="193"/>
      <c r="N189" s="193"/>
      <c r="O189" s="193"/>
      <c r="P189" s="193"/>
      <c r="Q189" s="193"/>
      <c r="R189" s="193"/>
      <c r="S189" s="193"/>
      <c r="T189" s="138"/>
      <c r="U189" s="112"/>
      <c r="V189" s="112"/>
    </row>
    <row r="190" spans="3:22" hidden="1" outlineLevel="2" x14ac:dyDescent="0.35">
      <c r="E190" s="8" t="s">
        <v>224</v>
      </c>
      <c r="G190" s="22" t="s">
        <v>34</v>
      </c>
      <c r="J190" s="112"/>
      <c r="K190" s="112"/>
      <c r="L190" s="112"/>
      <c r="M190" s="112"/>
      <c r="N190" s="112"/>
      <c r="O190" s="112">
        <f xml:space="preserve"> O72 * (1 - O188)</f>
        <v>0.44837453415177458</v>
      </c>
      <c r="P190" s="112">
        <f xml:space="preserve"> P72 * (1 - P188)</f>
        <v>0.44837453415177458</v>
      </c>
      <c r="Q190" s="112">
        <f xml:space="preserve"> Q72 * (1 - Q188)</f>
        <v>0.44837453415177458</v>
      </c>
      <c r="R190" s="112">
        <f xml:space="preserve"> R72 * (1 - R188)</f>
        <v>0.44837453415177458</v>
      </c>
      <c r="S190" s="112">
        <f xml:space="preserve"> S72 * (1 - S188)</f>
        <v>0.44837453415177458</v>
      </c>
      <c r="T190" s="138"/>
      <c r="U190" s="112">
        <f t="shared" ref="U190:U191" si="64">IFERROR(AVERAGE(O190:S190),0)</f>
        <v>0.44837453415177453</v>
      </c>
      <c r="V190" s="112">
        <f t="shared" ref="V190:V191" si="65">SUM(O190:S190)</f>
        <v>2.2418726707588728</v>
      </c>
    </row>
    <row r="191" spans="3:22" hidden="1" outlineLevel="2" x14ac:dyDescent="0.35">
      <c r="E191" s="8" t="s">
        <v>225</v>
      </c>
      <c r="G191" s="22" t="s">
        <v>34</v>
      </c>
      <c r="J191" s="112"/>
      <c r="K191" s="112"/>
      <c r="L191" s="112"/>
      <c r="M191" s="112"/>
      <c r="N191" s="112"/>
      <c r="O191" s="112"/>
      <c r="P191" s="112"/>
      <c r="Q191" s="112"/>
      <c r="R191" s="112"/>
      <c r="S191" s="112"/>
      <c r="T191" s="138"/>
      <c r="U191" s="112">
        <f t="shared" si="64"/>
        <v>0</v>
      </c>
      <c r="V191" s="112">
        <f t="shared" si="65"/>
        <v>0</v>
      </c>
    </row>
    <row r="192" spans="3:22" hidden="1" outlineLevel="2" x14ac:dyDescent="0.35">
      <c r="E192" s="8" t="s">
        <v>99</v>
      </c>
      <c r="G192" s="22" t="s">
        <v>34</v>
      </c>
      <c r="J192" s="134">
        <f>SUM(J190:J191)</f>
        <v>0</v>
      </c>
      <c r="K192" s="134">
        <f t="shared" ref="K192:S192" si="66">SUM(K190:K191)</f>
        <v>0</v>
      </c>
      <c r="L192" s="134">
        <f t="shared" si="66"/>
        <v>0</v>
      </c>
      <c r="M192" s="134">
        <f t="shared" si="66"/>
        <v>0</v>
      </c>
      <c r="N192" s="134">
        <f t="shared" si="66"/>
        <v>0</v>
      </c>
      <c r="O192" s="134">
        <f t="shared" si="66"/>
        <v>0.44837453415177458</v>
      </c>
      <c r="P192" s="134">
        <f t="shared" si="66"/>
        <v>0.44837453415177458</v>
      </c>
      <c r="Q192" s="134">
        <f t="shared" si="66"/>
        <v>0.44837453415177458</v>
      </c>
      <c r="R192" s="134">
        <f t="shared" si="66"/>
        <v>0.44837453415177458</v>
      </c>
      <c r="S192" s="134">
        <f t="shared" si="66"/>
        <v>0.44837453415177458</v>
      </c>
      <c r="T192" s="138"/>
      <c r="U192" s="134">
        <f>SUM(U190:U191)</f>
        <v>0.44837453415177453</v>
      </c>
      <c r="V192" s="134">
        <f>SUM(V190:V191)</f>
        <v>2.2418726707588728</v>
      </c>
    </row>
    <row r="193" spans="3:22" hidden="1" outlineLevel="1" x14ac:dyDescent="0.35">
      <c r="J193" s="112"/>
      <c r="K193" s="112"/>
      <c r="L193" s="112"/>
      <c r="M193" s="112"/>
      <c r="N193" s="112"/>
      <c r="O193" s="112"/>
      <c r="P193" s="112"/>
      <c r="Q193" s="112"/>
      <c r="R193" s="112"/>
      <c r="S193" s="112"/>
      <c r="T193" s="138"/>
      <c r="U193" s="112"/>
      <c r="V193" s="112"/>
    </row>
    <row r="194" spans="3:22" hidden="1" outlineLevel="1" collapsed="1" x14ac:dyDescent="0.35">
      <c r="C194" s="24" t="str">
        <f>INDEX(InpC!$E$25:$E$42,G194)</f>
        <v>South Staffs Water</v>
      </c>
      <c r="F194" s="113" t="str">
        <f>INDEX(InpC!$F$25:$F$42,G194,)</f>
        <v>SSC</v>
      </c>
      <c r="G194" s="8">
        <f>G76</f>
        <v>14</v>
      </c>
      <c r="J194" s="112"/>
      <c r="K194" s="112"/>
      <c r="L194" s="112"/>
      <c r="M194" s="112"/>
      <c r="N194" s="112"/>
      <c r="O194" s="112"/>
      <c r="P194" s="112"/>
      <c r="Q194" s="112"/>
      <c r="R194" s="112"/>
      <c r="S194" s="112"/>
      <c r="T194" s="138"/>
      <c r="U194" s="112"/>
      <c r="V194" s="112"/>
    </row>
    <row r="195" spans="3:22" hidden="1" outlineLevel="2" x14ac:dyDescent="0.35">
      <c r="E195" s="183" t="s">
        <v>82</v>
      </c>
      <c r="G195" s="22" t="s">
        <v>83</v>
      </c>
      <c r="J195" s="193"/>
      <c r="K195" s="193"/>
      <c r="L195" s="193"/>
      <c r="M195" s="193"/>
      <c r="N195" s="193"/>
      <c r="O195" s="193">
        <f xml:space="preserve"> SUMIFS('F_Inputs (EC)'!F$8:F$41, 'F_Inputs (EC)'!$A$8:$A$41, 'Analysis (LRS)'!$F$194, 'F_Inputs (EC)'!$B$8:$B$41, 'F_Inputs (EC)'!$B$8)</f>
        <v>0</v>
      </c>
      <c r="P195" s="193">
        <f xml:space="preserve"> SUMIFS('F_Inputs (EC)'!G$8:G$41, 'F_Inputs (EC)'!$A$8:$A$41, 'Analysis (LRS)'!$F$194, 'F_Inputs (EC)'!$B$8:$B$41, 'F_Inputs (EC)'!$B$8)</f>
        <v>0</v>
      </c>
      <c r="Q195" s="193">
        <f xml:space="preserve"> SUMIFS('F_Inputs (EC)'!H$8:H$41, 'F_Inputs (EC)'!$A$8:$A$41, 'Analysis (LRS)'!$F$194, 'F_Inputs (EC)'!$B$8:$B$41, 'F_Inputs (EC)'!$B$8)</f>
        <v>0</v>
      </c>
      <c r="R195" s="193">
        <f xml:space="preserve"> SUMIFS('F_Inputs (EC)'!I$8:I$41, 'F_Inputs (EC)'!$A$8:$A$41, 'Analysis (LRS)'!$F$194, 'F_Inputs (EC)'!$B$8:$B$41, 'F_Inputs (EC)'!$B$8)</f>
        <v>0</v>
      </c>
      <c r="S195" s="193">
        <f xml:space="preserve"> SUMIFS('F_Inputs (EC)'!J$8:J$41, 'F_Inputs (EC)'!$A$8:$A$41, 'Analysis (LRS)'!$F$194, 'F_Inputs (EC)'!$B$8:$B$41, 'F_Inputs (EC)'!$B$8)</f>
        <v>0</v>
      </c>
      <c r="T195" s="138"/>
      <c r="U195" s="112"/>
      <c r="V195" s="112"/>
    </row>
    <row r="196" spans="3:22" hidden="1" outlineLevel="2" x14ac:dyDescent="0.35">
      <c r="E196" s="183" t="s">
        <v>85</v>
      </c>
      <c r="G196" s="22" t="s">
        <v>83</v>
      </c>
      <c r="J196" s="193"/>
      <c r="K196" s="193"/>
      <c r="L196" s="193"/>
      <c r="M196" s="193"/>
      <c r="N196" s="193"/>
      <c r="O196" s="193"/>
      <c r="P196" s="193"/>
      <c r="Q196" s="193"/>
      <c r="R196" s="193"/>
      <c r="S196" s="193"/>
      <c r="T196" s="138"/>
      <c r="U196" s="112"/>
      <c r="V196" s="112"/>
    </row>
    <row r="197" spans="3:22" hidden="1" outlineLevel="2" x14ac:dyDescent="0.35">
      <c r="E197" s="8" t="s">
        <v>224</v>
      </c>
      <c r="G197" s="22" t="s">
        <v>34</v>
      </c>
      <c r="J197" s="112"/>
      <c r="K197" s="112"/>
      <c r="L197" s="112"/>
      <c r="M197" s="112"/>
      <c r="N197" s="112"/>
      <c r="O197" s="112">
        <f xml:space="preserve"> O77 * (1 - O195)</f>
        <v>0.253</v>
      </c>
      <c r="P197" s="112">
        <f xml:space="preserve"> P77 * (1 - P195)</f>
        <v>0.253</v>
      </c>
      <c r="Q197" s="112">
        <f xml:space="preserve"> Q77 * (1 - Q195)</f>
        <v>0.253</v>
      </c>
      <c r="R197" s="112">
        <f xml:space="preserve"> R77 * (1 - R195)</f>
        <v>0.253</v>
      </c>
      <c r="S197" s="112">
        <f xml:space="preserve"> S77 * (1 - S195)</f>
        <v>0.253</v>
      </c>
      <c r="T197" s="138"/>
      <c r="U197" s="112">
        <f t="shared" ref="U197:U198" si="67">IFERROR(AVERAGE(O197:S197),0)</f>
        <v>0.253</v>
      </c>
      <c r="V197" s="112">
        <f t="shared" ref="V197:V198" si="68">SUM(O197:S197)</f>
        <v>1.2650000000000001</v>
      </c>
    </row>
    <row r="198" spans="3:22" hidden="1" outlineLevel="2" x14ac:dyDescent="0.35">
      <c r="E198" s="8" t="s">
        <v>225</v>
      </c>
      <c r="G198" s="22" t="s">
        <v>34</v>
      </c>
      <c r="J198" s="112"/>
      <c r="K198" s="112"/>
      <c r="L198" s="112"/>
      <c r="M198" s="112"/>
      <c r="N198" s="112"/>
      <c r="O198" s="112"/>
      <c r="P198" s="112"/>
      <c r="Q198" s="112"/>
      <c r="R198" s="112"/>
      <c r="S198" s="112"/>
      <c r="T198" s="138"/>
      <c r="U198" s="112">
        <f t="shared" si="67"/>
        <v>0</v>
      </c>
      <c r="V198" s="112">
        <f t="shared" si="68"/>
        <v>0</v>
      </c>
    </row>
    <row r="199" spans="3:22" hidden="1" outlineLevel="2" x14ac:dyDescent="0.35">
      <c r="E199" s="8" t="s">
        <v>99</v>
      </c>
      <c r="G199" s="22" t="s">
        <v>34</v>
      </c>
      <c r="J199" s="134">
        <f>SUM(J197:J198)</f>
        <v>0</v>
      </c>
      <c r="K199" s="134">
        <f t="shared" ref="K199:S199" si="69">SUM(K197:K198)</f>
        <v>0</v>
      </c>
      <c r="L199" s="134">
        <f t="shared" si="69"/>
        <v>0</v>
      </c>
      <c r="M199" s="134">
        <f t="shared" si="69"/>
        <v>0</v>
      </c>
      <c r="N199" s="134">
        <f t="shared" si="69"/>
        <v>0</v>
      </c>
      <c r="O199" s="134">
        <f t="shared" si="69"/>
        <v>0.253</v>
      </c>
      <c r="P199" s="134">
        <f t="shared" si="69"/>
        <v>0.253</v>
      </c>
      <c r="Q199" s="134">
        <f t="shared" si="69"/>
        <v>0.253</v>
      </c>
      <c r="R199" s="134">
        <f t="shared" si="69"/>
        <v>0.253</v>
      </c>
      <c r="S199" s="134">
        <f t="shared" si="69"/>
        <v>0.253</v>
      </c>
      <c r="T199" s="138"/>
      <c r="U199" s="134">
        <f>SUM(U197:U198)</f>
        <v>0.253</v>
      </c>
      <c r="V199" s="134">
        <f>SUM(V197:V198)</f>
        <v>1.2650000000000001</v>
      </c>
    </row>
    <row r="200" spans="3:22" hidden="1" outlineLevel="1" x14ac:dyDescent="0.35">
      <c r="J200" s="112"/>
      <c r="K200" s="112"/>
      <c r="L200" s="112"/>
      <c r="M200" s="112"/>
      <c r="N200" s="112"/>
      <c r="O200" s="112"/>
      <c r="P200" s="112"/>
      <c r="Q200" s="112"/>
      <c r="R200" s="112"/>
      <c r="S200" s="112"/>
      <c r="T200" s="138"/>
      <c r="U200" s="112"/>
      <c r="V200" s="112"/>
    </row>
    <row r="201" spans="3:22" hidden="1" outlineLevel="1" collapsed="1" x14ac:dyDescent="0.35">
      <c r="C201" s="24" t="str">
        <f>INDEX(InpC!$E$25:$E$42,G201)</f>
        <v>SES Water</v>
      </c>
      <c r="F201" s="113" t="str">
        <f>INDEX(InpC!$F$25:$F$42,G201,)</f>
        <v>SES</v>
      </c>
      <c r="G201" s="8">
        <f>G81</f>
        <v>15</v>
      </c>
      <c r="J201" s="112"/>
      <c r="K201" s="112"/>
      <c r="L201" s="112"/>
      <c r="M201" s="112"/>
      <c r="N201" s="112"/>
      <c r="O201" s="112"/>
      <c r="P201" s="112"/>
      <c r="Q201" s="112"/>
      <c r="R201" s="112"/>
      <c r="S201" s="112"/>
      <c r="T201" s="138"/>
      <c r="U201" s="112"/>
      <c r="V201" s="112"/>
    </row>
    <row r="202" spans="3:22" hidden="1" outlineLevel="2" x14ac:dyDescent="0.35">
      <c r="E202" s="183" t="s">
        <v>82</v>
      </c>
      <c r="G202" s="22" t="s">
        <v>83</v>
      </c>
      <c r="J202" s="193"/>
      <c r="K202" s="193"/>
      <c r="L202" s="193"/>
      <c r="M202" s="193"/>
      <c r="N202" s="193"/>
      <c r="O202" s="193">
        <f xml:space="preserve"> SUMIFS('F_Inputs (EC)'!F$8:F$41, 'F_Inputs (EC)'!$A$8:$A$41, 'Analysis (LRS)'!$F$201, 'F_Inputs (EC)'!$B$8:$B$41, 'F_Inputs (EC)'!$B$8)</f>
        <v>0.1</v>
      </c>
      <c r="P202" s="193">
        <f xml:space="preserve"> SUMIFS('F_Inputs (EC)'!G$8:G$41, 'F_Inputs (EC)'!$A$8:$A$41, 'Analysis (LRS)'!$F$201, 'F_Inputs (EC)'!$B$8:$B$41, 'F_Inputs (EC)'!$B$8)</f>
        <v>0.1</v>
      </c>
      <c r="Q202" s="193">
        <f xml:space="preserve"> SUMIFS('F_Inputs (EC)'!H$8:H$41, 'F_Inputs (EC)'!$A$8:$A$41, 'Analysis (LRS)'!$F$201, 'F_Inputs (EC)'!$B$8:$B$41, 'F_Inputs (EC)'!$B$8)</f>
        <v>0.1</v>
      </c>
      <c r="R202" s="193">
        <f xml:space="preserve"> SUMIFS('F_Inputs (EC)'!I$8:I$41, 'F_Inputs (EC)'!$A$8:$A$41, 'Analysis (LRS)'!$F$201, 'F_Inputs (EC)'!$B$8:$B$41, 'F_Inputs (EC)'!$B$8)</f>
        <v>0.1</v>
      </c>
      <c r="S202" s="193">
        <f xml:space="preserve"> SUMIFS('F_Inputs (EC)'!J$8:J$41, 'F_Inputs (EC)'!$A$8:$A$41, 'Analysis (LRS)'!$F$201, 'F_Inputs (EC)'!$B$8:$B$41, 'F_Inputs (EC)'!$B$8)</f>
        <v>0.1</v>
      </c>
      <c r="T202" s="138"/>
      <c r="U202" s="112"/>
      <c r="V202" s="112"/>
    </row>
    <row r="203" spans="3:22" hidden="1" outlineLevel="2" x14ac:dyDescent="0.35">
      <c r="E203" s="183" t="s">
        <v>85</v>
      </c>
      <c r="G203" s="22" t="s">
        <v>83</v>
      </c>
      <c r="J203" s="193"/>
      <c r="K203" s="193"/>
      <c r="L203" s="193"/>
      <c r="M203" s="193"/>
      <c r="N203" s="193"/>
      <c r="O203" s="193"/>
      <c r="P203" s="193"/>
      <c r="Q203" s="193"/>
      <c r="R203" s="193"/>
      <c r="S203" s="193"/>
      <c r="T203" s="138"/>
      <c r="U203" s="112"/>
      <c r="V203" s="112"/>
    </row>
    <row r="204" spans="3:22" hidden="1" outlineLevel="2" x14ac:dyDescent="0.35">
      <c r="E204" s="8" t="s">
        <v>224</v>
      </c>
      <c r="G204" s="22" t="s">
        <v>34</v>
      </c>
      <c r="J204" s="112"/>
      <c r="K204" s="112"/>
      <c r="L204" s="112"/>
      <c r="M204" s="112"/>
      <c r="N204" s="112"/>
      <c r="O204" s="112">
        <f xml:space="preserve"> O82 * (1 - O202)</f>
        <v>0</v>
      </c>
      <c r="P204" s="112">
        <f xml:space="preserve"> P82 * (1 - P202)</f>
        <v>0</v>
      </c>
      <c r="Q204" s="112">
        <f xml:space="preserve"> Q82 * (1 - Q202)</f>
        <v>0</v>
      </c>
      <c r="R204" s="112">
        <f xml:space="preserve"> R82 * (1 - R202)</f>
        <v>0</v>
      </c>
      <c r="S204" s="112">
        <f xml:space="preserve"> S82 * (1 - S202)</f>
        <v>0</v>
      </c>
      <c r="T204" s="138"/>
      <c r="U204" s="112">
        <f t="shared" ref="U204:U205" si="70">IFERROR(AVERAGE(O204:S204),0)</f>
        <v>0</v>
      </c>
      <c r="V204" s="112">
        <f t="shared" ref="V204:V205" si="71">SUM(O204:S204)</f>
        <v>0</v>
      </c>
    </row>
    <row r="205" spans="3:22" hidden="1" outlineLevel="2" x14ac:dyDescent="0.35">
      <c r="E205" s="8" t="s">
        <v>225</v>
      </c>
      <c r="G205" s="22" t="s">
        <v>34</v>
      </c>
      <c r="J205" s="112"/>
      <c r="K205" s="112"/>
      <c r="L205" s="112"/>
      <c r="M205" s="112"/>
      <c r="N205" s="112"/>
      <c r="O205" s="112"/>
      <c r="P205" s="112"/>
      <c r="Q205" s="112"/>
      <c r="R205" s="112"/>
      <c r="S205" s="112"/>
      <c r="T205" s="138"/>
      <c r="U205" s="112">
        <f t="shared" si="70"/>
        <v>0</v>
      </c>
      <c r="V205" s="112">
        <f t="shared" si="71"/>
        <v>0</v>
      </c>
    </row>
    <row r="206" spans="3:22" hidden="1" outlineLevel="2" x14ac:dyDescent="0.35">
      <c r="E206" s="8" t="s">
        <v>99</v>
      </c>
      <c r="G206" s="22" t="s">
        <v>34</v>
      </c>
      <c r="J206" s="134">
        <f>SUM(J204:J205)</f>
        <v>0</v>
      </c>
      <c r="K206" s="134">
        <f t="shared" ref="K206:S206" si="72">SUM(K204:K205)</f>
        <v>0</v>
      </c>
      <c r="L206" s="134">
        <f t="shared" si="72"/>
        <v>0</v>
      </c>
      <c r="M206" s="134">
        <f t="shared" si="72"/>
        <v>0</v>
      </c>
      <c r="N206" s="134">
        <f t="shared" si="72"/>
        <v>0</v>
      </c>
      <c r="O206" s="134">
        <f t="shared" si="72"/>
        <v>0</v>
      </c>
      <c r="P206" s="134">
        <f t="shared" si="72"/>
        <v>0</v>
      </c>
      <c r="Q206" s="134">
        <f t="shared" si="72"/>
        <v>0</v>
      </c>
      <c r="R206" s="134">
        <f t="shared" si="72"/>
        <v>0</v>
      </c>
      <c r="S206" s="134">
        <f t="shared" si="72"/>
        <v>0</v>
      </c>
      <c r="T206" s="138"/>
      <c r="U206" s="134">
        <f>SUM(U204:U205)</f>
        <v>0</v>
      </c>
      <c r="V206" s="134">
        <f>SUM(V204:V205)</f>
        <v>0</v>
      </c>
    </row>
    <row r="207" spans="3:22" hidden="1" outlineLevel="1" x14ac:dyDescent="0.35">
      <c r="J207" s="112"/>
      <c r="K207" s="112"/>
      <c r="L207" s="112"/>
      <c r="M207" s="112"/>
      <c r="N207" s="112"/>
      <c r="O207" s="112"/>
      <c r="P207" s="112"/>
      <c r="Q207" s="112"/>
      <c r="R207" s="112"/>
      <c r="S207" s="112"/>
      <c r="T207" s="138"/>
      <c r="U207" s="112"/>
      <c r="V207" s="112"/>
    </row>
    <row r="208" spans="3:22" hidden="1" outlineLevel="1" collapsed="1" x14ac:dyDescent="0.35">
      <c r="C208" s="24" t="str">
        <f>INDEX(InpC!$E$25:$E$42,G208)</f>
        <v>South West Water</v>
      </c>
      <c r="F208" s="113" t="str">
        <f>INDEX(InpC!$F$25:$F$42,G208,)</f>
        <v>SWB</v>
      </c>
      <c r="G208" s="8">
        <f>G86</f>
        <v>16</v>
      </c>
      <c r="J208" s="112"/>
      <c r="K208" s="112"/>
      <c r="L208" s="112"/>
      <c r="M208" s="112"/>
      <c r="N208" s="112"/>
      <c r="O208" s="112"/>
      <c r="P208" s="112"/>
      <c r="Q208" s="112"/>
      <c r="R208" s="112"/>
      <c r="S208" s="112"/>
      <c r="T208" s="138"/>
      <c r="U208" s="112"/>
      <c r="V208" s="112"/>
    </row>
    <row r="209" spans="3:22" hidden="1" outlineLevel="2" x14ac:dyDescent="0.35">
      <c r="E209" s="183" t="s">
        <v>82</v>
      </c>
      <c r="G209" s="22" t="s">
        <v>83</v>
      </c>
      <c r="J209" s="193"/>
      <c r="K209" s="193"/>
      <c r="L209" s="193"/>
      <c r="M209" s="193"/>
      <c r="N209" s="193"/>
      <c r="O209" s="193">
        <f xml:space="preserve"> SUMIFS('F_Inputs (EC)'!F$8:F$41, 'F_Inputs (EC)'!$A$8:$A$41, 'Analysis (LRS)'!$F$208, 'F_Inputs (EC)'!$B$8:$B$41, 'F_Inputs (EC)'!$B$8)</f>
        <v>0</v>
      </c>
      <c r="P209" s="193">
        <f xml:space="preserve"> SUMIFS('F_Inputs (EC)'!G$8:G$41, 'F_Inputs (EC)'!$A$8:$A$41, 'Analysis (LRS)'!$F$208, 'F_Inputs (EC)'!$B$8:$B$41, 'F_Inputs (EC)'!$B$8)</f>
        <v>0</v>
      </c>
      <c r="Q209" s="193">
        <f xml:space="preserve"> SUMIFS('F_Inputs (EC)'!H$8:H$41, 'F_Inputs (EC)'!$A$8:$A$41, 'Analysis (LRS)'!$F$208, 'F_Inputs (EC)'!$B$8:$B$41, 'F_Inputs (EC)'!$B$8)</f>
        <v>0</v>
      </c>
      <c r="R209" s="193">
        <f xml:space="preserve"> SUMIFS('F_Inputs (EC)'!I$8:I$41, 'F_Inputs (EC)'!$A$8:$A$41, 'Analysis (LRS)'!$F$208, 'F_Inputs (EC)'!$B$8:$B$41, 'F_Inputs (EC)'!$B$8)</f>
        <v>0</v>
      </c>
      <c r="S209" s="193">
        <f xml:space="preserve"> SUMIFS('F_Inputs (EC)'!J$8:J$41, 'F_Inputs (EC)'!$A$8:$A$41, 'Analysis (LRS)'!$F$208, 'F_Inputs (EC)'!$B$8:$B$41, 'F_Inputs (EC)'!$B$8)</f>
        <v>0</v>
      </c>
      <c r="T209" s="138"/>
      <c r="U209" s="112"/>
      <c r="V209" s="112"/>
    </row>
    <row r="210" spans="3:22" hidden="1" outlineLevel="2" x14ac:dyDescent="0.35">
      <c r="E210" s="183" t="s">
        <v>85</v>
      </c>
      <c r="G210" s="22" t="s">
        <v>83</v>
      </c>
      <c r="J210" s="193"/>
      <c r="K210" s="193"/>
      <c r="L210" s="193"/>
      <c r="M210" s="193"/>
      <c r="N210" s="193"/>
      <c r="O210" s="193">
        <f xml:space="preserve"> SUMIFS('F_Inputs (EC)'!F$8:F$41, 'F_Inputs (EC)'!$A$8:$A$41, 'Analysis (LRS)'!$F$208, 'F_Inputs (EC)'!$B$8:$B$41, 'F_Inputs (EC)'!$B$9)</f>
        <v>5.4494436325620586E-2</v>
      </c>
      <c r="P210" s="193">
        <f xml:space="preserve"> SUMIFS('F_Inputs (EC)'!G$8:G$41, 'F_Inputs (EC)'!$A$8:$A$41, 'Analysis (LRS)'!$F$208, 'F_Inputs (EC)'!$B$8:$B$41, 'F_Inputs (EC)'!$B$9)</f>
        <v>5.4494436325620586E-2</v>
      </c>
      <c r="Q210" s="193">
        <f xml:space="preserve"> SUMIFS('F_Inputs (EC)'!H$8:H$41, 'F_Inputs (EC)'!$A$8:$A$41, 'Analysis (LRS)'!$F$208, 'F_Inputs (EC)'!$B$8:$B$41, 'F_Inputs (EC)'!$B$9)</f>
        <v>5.4494436325620586E-2</v>
      </c>
      <c r="R210" s="193">
        <f xml:space="preserve"> SUMIFS('F_Inputs (EC)'!I$8:I$41, 'F_Inputs (EC)'!$A$8:$A$41, 'Analysis (LRS)'!$F$208, 'F_Inputs (EC)'!$B$8:$B$41, 'F_Inputs (EC)'!$B$9)</f>
        <v>5.4494436325620586E-2</v>
      </c>
      <c r="S210" s="193">
        <f xml:space="preserve"> SUMIFS('F_Inputs (EC)'!J$8:J$41, 'F_Inputs (EC)'!$A$8:$A$41, 'Analysis (LRS)'!$F$208, 'F_Inputs (EC)'!$B$8:$B$41, 'F_Inputs (EC)'!$B$9)</f>
        <v>5.4494436325620586E-2</v>
      </c>
      <c r="T210" s="138"/>
      <c r="U210" s="112"/>
      <c r="V210" s="112"/>
    </row>
    <row r="211" spans="3:22" hidden="1" outlineLevel="2" x14ac:dyDescent="0.35">
      <c r="E211" s="8" t="s">
        <v>224</v>
      </c>
      <c r="G211" s="22" t="s">
        <v>34</v>
      </c>
      <c r="J211" s="112"/>
      <c r="K211" s="112"/>
      <c r="L211" s="112"/>
      <c r="M211" s="112"/>
      <c r="N211" s="112"/>
      <c r="O211" s="112">
        <f t="shared" ref="O211:S212" si="73" xml:space="preserve"> O87 * (1 - O209)</f>
        <v>0</v>
      </c>
      <c r="P211" s="112">
        <f t="shared" si="73"/>
        <v>0</v>
      </c>
      <c r="Q211" s="112">
        <f t="shared" si="73"/>
        <v>0</v>
      </c>
      <c r="R211" s="112">
        <f t="shared" si="73"/>
        <v>0</v>
      </c>
      <c r="S211" s="112">
        <f t="shared" si="73"/>
        <v>0</v>
      </c>
      <c r="T211" s="138"/>
      <c r="U211" s="112">
        <f t="shared" ref="U211:U212" si="74">IFERROR(AVERAGE(O211:S211),0)</f>
        <v>0</v>
      </c>
      <c r="V211" s="112">
        <f t="shared" ref="V211:V212" si="75">SUM(O211:S211)</f>
        <v>0</v>
      </c>
    </row>
    <row r="212" spans="3:22" hidden="1" outlineLevel="2" x14ac:dyDescent="0.35">
      <c r="E212" s="8" t="s">
        <v>225</v>
      </c>
      <c r="G212" s="22" t="s">
        <v>34</v>
      </c>
      <c r="J212" s="112"/>
      <c r="K212" s="112"/>
      <c r="L212" s="112"/>
      <c r="M212" s="112"/>
      <c r="N212" s="112"/>
      <c r="O212" s="112">
        <f t="shared" si="73"/>
        <v>0</v>
      </c>
      <c r="P212" s="112">
        <f t="shared" si="73"/>
        <v>0</v>
      </c>
      <c r="Q212" s="112">
        <f t="shared" si="73"/>
        <v>0</v>
      </c>
      <c r="R212" s="112">
        <f t="shared" si="73"/>
        <v>0</v>
      </c>
      <c r="S212" s="112">
        <f t="shared" si="73"/>
        <v>0</v>
      </c>
      <c r="T212" s="138"/>
      <c r="U212" s="112">
        <f t="shared" si="74"/>
        <v>0</v>
      </c>
      <c r="V212" s="112">
        <f t="shared" si="75"/>
        <v>0</v>
      </c>
    </row>
    <row r="213" spans="3:22" hidden="1" outlineLevel="2" x14ac:dyDescent="0.35">
      <c r="E213" s="8" t="s">
        <v>99</v>
      </c>
      <c r="G213" s="22" t="s">
        <v>34</v>
      </c>
      <c r="J213" s="134">
        <f>SUM(J211:J212)</f>
        <v>0</v>
      </c>
      <c r="K213" s="134">
        <f t="shared" ref="K213:S213" si="76">SUM(K211:K212)</f>
        <v>0</v>
      </c>
      <c r="L213" s="134">
        <f t="shared" si="76"/>
        <v>0</v>
      </c>
      <c r="M213" s="134">
        <f t="shared" si="76"/>
        <v>0</v>
      </c>
      <c r="N213" s="134">
        <f t="shared" si="76"/>
        <v>0</v>
      </c>
      <c r="O213" s="134">
        <f t="shared" si="76"/>
        <v>0</v>
      </c>
      <c r="P213" s="134">
        <f t="shared" si="76"/>
        <v>0</v>
      </c>
      <c r="Q213" s="134">
        <f t="shared" si="76"/>
        <v>0</v>
      </c>
      <c r="R213" s="134">
        <f t="shared" si="76"/>
        <v>0</v>
      </c>
      <c r="S213" s="134">
        <f t="shared" si="76"/>
        <v>0</v>
      </c>
      <c r="T213" s="138"/>
      <c r="U213" s="134">
        <f>SUM(U211:U212)</f>
        <v>0</v>
      </c>
      <c r="V213" s="134">
        <f>SUM(V211:V212)</f>
        <v>0</v>
      </c>
    </row>
    <row r="214" spans="3:22" hidden="1" outlineLevel="1" x14ac:dyDescent="0.35">
      <c r="J214" s="112"/>
      <c r="K214" s="112"/>
      <c r="L214" s="112"/>
      <c r="M214" s="112"/>
      <c r="N214" s="112"/>
      <c r="O214" s="112"/>
      <c r="P214" s="112"/>
      <c r="Q214" s="112"/>
      <c r="R214" s="112"/>
      <c r="S214" s="112"/>
      <c r="T214" s="138"/>
      <c r="U214" s="112"/>
      <c r="V214" s="112"/>
    </row>
    <row r="215" spans="3:22" hidden="1" outlineLevel="1" collapsed="1" x14ac:dyDescent="0.35">
      <c r="C215" s="24" t="str">
        <f>INDEX(InpC!$E$25:$E$42,G215)</f>
        <v>Bristol Water</v>
      </c>
      <c r="F215" s="113" t="str">
        <f>INDEX(InpC!$F$25:$F$42,G215,)</f>
        <v>BRL</v>
      </c>
      <c r="G215" s="8">
        <f>G91</f>
        <v>17</v>
      </c>
      <c r="J215" s="112"/>
      <c r="K215" s="112"/>
      <c r="L215" s="112"/>
      <c r="M215" s="112"/>
      <c r="N215" s="112"/>
      <c r="O215" s="112"/>
      <c r="P215" s="112"/>
      <c r="Q215" s="112"/>
      <c r="R215" s="112"/>
      <c r="S215" s="112"/>
      <c r="T215" s="138"/>
      <c r="U215" s="112"/>
      <c r="V215" s="112"/>
    </row>
    <row r="216" spans="3:22" hidden="1" outlineLevel="2" x14ac:dyDescent="0.35">
      <c r="E216" s="183" t="s">
        <v>82</v>
      </c>
      <c r="G216" s="22" t="s">
        <v>83</v>
      </c>
      <c r="J216" s="193"/>
      <c r="K216" s="193"/>
      <c r="L216" s="193"/>
      <c r="M216" s="193"/>
      <c r="N216" s="193"/>
      <c r="O216" s="193"/>
      <c r="P216" s="193"/>
      <c r="Q216" s="193"/>
      <c r="R216" s="193"/>
      <c r="S216" s="193"/>
      <c r="T216" s="138"/>
      <c r="U216" s="112"/>
      <c r="V216" s="112"/>
    </row>
    <row r="217" spans="3:22" hidden="1" outlineLevel="2" x14ac:dyDescent="0.35">
      <c r="E217" s="183" t="s">
        <v>85</v>
      </c>
      <c r="G217" s="22" t="s">
        <v>83</v>
      </c>
      <c r="J217" s="193"/>
      <c r="K217" s="193"/>
      <c r="L217" s="193"/>
      <c r="M217" s="193"/>
      <c r="N217" s="193"/>
      <c r="O217" s="193"/>
      <c r="P217" s="193"/>
      <c r="Q217" s="193"/>
      <c r="R217" s="193"/>
      <c r="S217" s="193"/>
      <c r="T217" s="138"/>
      <c r="U217" s="112"/>
      <c r="V217" s="112"/>
    </row>
    <row r="218" spans="3:22" hidden="1" outlineLevel="2" x14ac:dyDescent="0.35">
      <c r="E218" s="8" t="s">
        <v>224</v>
      </c>
      <c r="G218" s="22" t="s">
        <v>34</v>
      </c>
      <c r="J218" s="112"/>
      <c r="K218" s="112"/>
      <c r="L218" s="112"/>
      <c r="M218" s="112"/>
      <c r="N218" s="112"/>
      <c r="O218" s="112">
        <f xml:space="preserve"> O92 * (1 - O216)</f>
        <v>0</v>
      </c>
      <c r="P218" s="112">
        <f xml:space="preserve"> P92 * (1 - P216)</f>
        <v>0</v>
      </c>
      <c r="Q218" s="112">
        <f xml:space="preserve"> Q92 * (1 - Q216)</f>
        <v>0</v>
      </c>
      <c r="R218" s="112">
        <f xml:space="preserve"> R92 * (1 - R216)</f>
        <v>0</v>
      </c>
      <c r="S218" s="112">
        <f xml:space="preserve"> S92 * (1 - S216)</f>
        <v>0</v>
      </c>
      <c r="T218" s="138"/>
      <c r="U218" s="112">
        <f t="shared" ref="U218:U219" si="77">IFERROR(AVERAGE(O218:S218),0)</f>
        <v>0</v>
      </c>
      <c r="V218" s="112">
        <f t="shared" ref="V218:V219" si="78">SUM(O218:S218)</f>
        <v>0</v>
      </c>
    </row>
    <row r="219" spans="3:22" hidden="1" outlineLevel="2" x14ac:dyDescent="0.35">
      <c r="E219" s="8" t="s">
        <v>225</v>
      </c>
      <c r="G219" s="22" t="s">
        <v>34</v>
      </c>
      <c r="J219" s="112"/>
      <c r="K219" s="112"/>
      <c r="L219" s="112"/>
      <c r="M219" s="112"/>
      <c r="N219" s="112"/>
      <c r="O219" s="112"/>
      <c r="P219" s="112"/>
      <c r="Q219" s="112"/>
      <c r="R219" s="112"/>
      <c r="S219" s="112"/>
      <c r="T219" s="138"/>
      <c r="U219" s="112">
        <f t="shared" si="77"/>
        <v>0</v>
      </c>
      <c r="V219" s="112">
        <f t="shared" si="78"/>
        <v>0</v>
      </c>
    </row>
    <row r="220" spans="3:22" hidden="1" outlineLevel="2" x14ac:dyDescent="0.35">
      <c r="E220" s="8" t="s">
        <v>99</v>
      </c>
      <c r="G220" s="22" t="s">
        <v>34</v>
      </c>
      <c r="J220" s="134">
        <f>SUM(J218:J219)</f>
        <v>0</v>
      </c>
      <c r="K220" s="134">
        <f t="shared" ref="K220:S220" si="79">SUM(K218:K219)</f>
        <v>0</v>
      </c>
      <c r="L220" s="134">
        <f t="shared" si="79"/>
        <v>0</v>
      </c>
      <c r="M220" s="134">
        <f t="shared" si="79"/>
        <v>0</v>
      </c>
      <c r="N220" s="134">
        <f t="shared" si="79"/>
        <v>0</v>
      </c>
      <c r="O220" s="134">
        <f t="shared" si="79"/>
        <v>0</v>
      </c>
      <c r="P220" s="134">
        <f t="shared" si="79"/>
        <v>0</v>
      </c>
      <c r="Q220" s="134">
        <f t="shared" si="79"/>
        <v>0</v>
      </c>
      <c r="R220" s="134">
        <f t="shared" si="79"/>
        <v>0</v>
      </c>
      <c r="S220" s="134">
        <f t="shared" si="79"/>
        <v>0</v>
      </c>
      <c r="T220" s="138"/>
      <c r="U220" s="134">
        <f>SUM(U218:U219)</f>
        <v>0</v>
      </c>
      <c r="V220" s="134">
        <f>SUM(V218:V219)</f>
        <v>0</v>
      </c>
    </row>
    <row r="221" spans="3:22" hidden="1" outlineLevel="1" x14ac:dyDescent="0.35">
      <c r="J221" s="112"/>
      <c r="K221" s="112"/>
      <c r="L221" s="112"/>
      <c r="M221" s="112"/>
      <c r="N221" s="112"/>
      <c r="O221" s="112"/>
      <c r="P221" s="112"/>
      <c r="Q221" s="112"/>
      <c r="R221" s="112"/>
      <c r="S221" s="112"/>
      <c r="T221" s="138"/>
      <c r="U221" s="112"/>
      <c r="V221" s="112"/>
    </row>
    <row r="222" spans="3:22" hidden="1" outlineLevel="1" collapsed="1" x14ac:dyDescent="0.35">
      <c r="C222" s="24" t="str">
        <f>INDEX(InpC!$E$25:$E$42,G222)</f>
        <v>Industry total</v>
      </c>
      <c r="F222" s="113">
        <f>INDEX(InpC!$F$25:$F$42,G222,)</f>
        <v>0</v>
      </c>
      <c r="G222" s="8">
        <f>G96</f>
        <v>18</v>
      </c>
      <c r="J222" s="112"/>
      <c r="K222" s="112"/>
      <c r="L222" s="112"/>
      <c r="M222" s="112"/>
      <c r="N222" s="112"/>
      <c r="O222" s="112"/>
      <c r="P222" s="112"/>
      <c r="Q222" s="112"/>
      <c r="R222" s="112"/>
      <c r="S222" s="112"/>
      <c r="T222" s="138"/>
      <c r="U222" s="112"/>
      <c r="V222" s="112"/>
    </row>
    <row r="223" spans="3:22" hidden="1" outlineLevel="2" x14ac:dyDescent="0.35">
      <c r="G223" s="22" t="s">
        <v>83</v>
      </c>
      <c r="J223" s="112"/>
      <c r="K223" s="112"/>
      <c r="L223" s="112"/>
      <c r="M223" s="112"/>
      <c r="N223" s="112"/>
      <c r="O223" s="112"/>
      <c r="P223" s="112"/>
      <c r="Q223" s="112"/>
      <c r="R223" s="112"/>
      <c r="S223" s="112"/>
      <c r="T223" s="138"/>
      <c r="U223" s="112"/>
      <c r="V223" s="112"/>
    </row>
    <row r="224" spans="3:22" hidden="1" outlineLevel="2" x14ac:dyDescent="0.35">
      <c r="G224" s="22" t="s">
        <v>83</v>
      </c>
      <c r="J224" s="112"/>
      <c r="K224" s="112"/>
      <c r="L224" s="112"/>
      <c r="M224" s="112"/>
      <c r="N224" s="112"/>
      <c r="O224" s="112"/>
      <c r="P224" s="112"/>
      <c r="Q224" s="112"/>
      <c r="R224" s="112"/>
      <c r="S224" s="112"/>
      <c r="T224" s="138"/>
      <c r="U224" s="112"/>
      <c r="V224" s="112"/>
    </row>
    <row r="225" spans="1:28" hidden="1" outlineLevel="2" x14ac:dyDescent="0.35">
      <c r="E225" s="8" t="s">
        <v>224</v>
      </c>
      <c r="G225" s="22" t="s">
        <v>34</v>
      </c>
      <c r="J225" s="112"/>
      <c r="K225" s="112"/>
      <c r="L225" s="112"/>
      <c r="M225" s="112"/>
      <c r="N225" s="112"/>
      <c r="O225" s="112"/>
      <c r="P225" s="112"/>
      <c r="Q225" s="112"/>
      <c r="R225" s="112"/>
      <c r="S225" s="112"/>
      <c r="T225" s="138"/>
      <c r="U225" s="112">
        <f t="shared" ref="U225:U226" si="80">IFERROR(AVERAGE(O225:S225),0)</f>
        <v>0</v>
      </c>
      <c r="V225" s="112">
        <f t="shared" ref="V225:V226" si="81">SUM(O225:S225)</f>
        <v>0</v>
      </c>
    </row>
    <row r="226" spans="1:28" hidden="1" outlineLevel="2" x14ac:dyDescent="0.35">
      <c r="E226" s="8" t="s">
        <v>225</v>
      </c>
      <c r="G226" s="22" t="s">
        <v>34</v>
      </c>
      <c r="J226" s="112"/>
      <c r="K226" s="112"/>
      <c r="L226" s="112"/>
      <c r="M226" s="112"/>
      <c r="N226" s="112"/>
      <c r="O226" s="112"/>
      <c r="P226" s="112"/>
      <c r="Q226" s="112"/>
      <c r="R226" s="112"/>
      <c r="S226" s="112"/>
      <c r="T226" s="138"/>
      <c r="U226" s="112">
        <f t="shared" si="80"/>
        <v>0</v>
      </c>
      <c r="V226" s="112">
        <f t="shared" si="81"/>
        <v>0</v>
      </c>
    </row>
    <row r="227" spans="1:28" hidden="1" outlineLevel="2" x14ac:dyDescent="0.35">
      <c r="E227" s="8" t="s">
        <v>99</v>
      </c>
      <c r="G227" s="22" t="s">
        <v>34</v>
      </c>
      <c r="J227" s="134">
        <f>SUM(J225:J226)</f>
        <v>0</v>
      </c>
      <c r="K227" s="134">
        <f t="shared" ref="K227:S227" si="82">SUM(K225:K226)</f>
        <v>0</v>
      </c>
      <c r="L227" s="134">
        <f t="shared" si="82"/>
        <v>0</v>
      </c>
      <c r="M227" s="134">
        <f t="shared" si="82"/>
        <v>0</v>
      </c>
      <c r="N227" s="134">
        <f t="shared" si="82"/>
        <v>0</v>
      </c>
      <c r="O227" s="134">
        <f t="shared" si="82"/>
        <v>0</v>
      </c>
      <c r="P227" s="134">
        <f t="shared" si="82"/>
        <v>0</v>
      </c>
      <c r="Q227" s="134">
        <f t="shared" si="82"/>
        <v>0</v>
      </c>
      <c r="R227" s="134">
        <f t="shared" si="82"/>
        <v>0</v>
      </c>
      <c r="S227" s="134">
        <f t="shared" si="82"/>
        <v>0</v>
      </c>
      <c r="T227" s="138"/>
      <c r="U227" s="134">
        <f>SUM(U225:U226)</f>
        <v>0</v>
      </c>
      <c r="V227" s="134">
        <f>SUM(V225:V226)</f>
        <v>0</v>
      </c>
    </row>
    <row r="228" spans="1:28" hidden="1" outlineLevel="2" x14ac:dyDescent="0.35">
      <c r="J228" s="202"/>
      <c r="K228" s="202"/>
      <c r="L228" s="202"/>
      <c r="M228" s="202"/>
      <c r="N228" s="202"/>
      <c r="O228" s="202"/>
      <c r="P228" s="202"/>
      <c r="Q228" s="202"/>
      <c r="R228" s="202"/>
      <c r="S228" s="202"/>
      <c r="T228" s="138"/>
      <c r="U228" s="202"/>
      <c r="V228" s="202"/>
    </row>
    <row r="229" spans="1:28" collapsed="1" x14ac:dyDescent="0.35">
      <c r="A229" s="11" t="s">
        <v>188</v>
      </c>
      <c r="J229" s="112"/>
      <c r="K229" s="112"/>
      <c r="L229" s="112"/>
      <c r="M229" s="112"/>
      <c r="N229" s="112"/>
      <c r="O229" s="112"/>
      <c r="P229" s="112"/>
      <c r="Q229" s="112"/>
      <c r="R229" s="112"/>
      <c r="S229" s="112"/>
      <c r="T229" s="138"/>
      <c r="U229" s="112"/>
      <c r="V229" s="112"/>
    </row>
    <row r="230" spans="1:28" hidden="1" outlineLevel="1" x14ac:dyDescent="0.35">
      <c r="J230" s="112"/>
      <c r="K230" s="112"/>
      <c r="L230" s="112"/>
      <c r="M230" s="112"/>
      <c r="N230" s="112"/>
      <c r="O230" s="112"/>
      <c r="P230" s="112"/>
      <c r="Q230" s="112"/>
      <c r="R230" s="112"/>
      <c r="S230" s="112"/>
      <c r="T230" s="138"/>
      <c r="U230" s="112"/>
      <c r="V230" s="112"/>
    </row>
    <row r="231" spans="1:28" hidden="1" outlineLevel="1" collapsed="1" x14ac:dyDescent="0.35">
      <c r="C231" s="24" t="str">
        <f>INDEX(InpC!$E$25:$E$42,G231)</f>
        <v>Anglian Water</v>
      </c>
      <c r="F231" s="113" t="str">
        <f>INDEX(InpC!$F$25:$F$42,G231,)</f>
        <v>ANH</v>
      </c>
      <c r="G231" s="8">
        <f>G103</f>
        <v>1</v>
      </c>
      <c r="J231" s="112"/>
      <c r="K231" s="112"/>
      <c r="L231" s="112"/>
      <c r="M231" s="112"/>
      <c r="N231" s="112"/>
      <c r="O231" s="112"/>
      <c r="P231" s="112"/>
      <c r="Q231" s="112"/>
      <c r="R231" s="112"/>
      <c r="S231" s="112"/>
      <c r="T231" s="138"/>
      <c r="U231" s="112"/>
      <c r="V231" s="112"/>
    </row>
    <row r="232" spans="1:28" hidden="1" outlineLevel="2" x14ac:dyDescent="0.35">
      <c r="E232" s="8" t="s">
        <v>224</v>
      </c>
      <c r="G232" s="22" t="s">
        <v>34</v>
      </c>
      <c r="J232" s="112">
        <f t="shared" ref="J232:S232" si="83">IF(ISBLANK(J106),J12,J106)</f>
        <v>0</v>
      </c>
      <c r="K232" s="112">
        <f t="shared" si="83"/>
        <v>0</v>
      </c>
      <c r="L232" s="112">
        <f t="shared" si="83"/>
        <v>0</v>
      </c>
      <c r="M232" s="112">
        <f t="shared" si="83"/>
        <v>0</v>
      </c>
      <c r="N232" s="112">
        <f t="shared" si="83"/>
        <v>0</v>
      </c>
      <c r="O232" s="112">
        <f t="shared" si="83"/>
        <v>0</v>
      </c>
      <c r="P232" s="112">
        <f t="shared" si="83"/>
        <v>0</v>
      </c>
      <c r="Q232" s="112">
        <f t="shared" si="83"/>
        <v>0</v>
      </c>
      <c r="R232" s="112">
        <f t="shared" si="83"/>
        <v>0</v>
      </c>
      <c r="S232" s="112">
        <f t="shared" si="83"/>
        <v>0</v>
      </c>
      <c r="T232" s="138"/>
      <c r="U232" s="112">
        <f>IFERROR(AVERAGE(O232:S232),0)</f>
        <v>0</v>
      </c>
      <c r="V232" s="112">
        <f>SUM(O232:S232)</f>
        <v>0</v>
      </c>
      <c r="X232" s="251"/>
      <c r="Y232" s="251"/>
      <c r="Z232" s="252"/>
      <c r="AA232" s="251"/>
      <c r="AB232" s="251"/>
    </row>
    <row r="233" spans="1:28" hidden="1" outlineLevel="2" x14ac:dyDescent="0.35">
      <c r="E233" s="8" t="s">
        <v>225</v>
      </c>
      <c r="G233" s="22" t="s">
        <v>34</v>
      </c>
      <c r="J233" s="112">
        <f t="shared" ref="J233:S233" si="84">IF(ISBLANK(J107),J13,J107)</f>
        <v>0</v>
      </c>
      <c r="K233" s="112">
        <f t="shared" si="84"/>
        <v>0</v>
      </c>
      <c r="L233" s="112">
        <f t="shared" si="84"/>
        <v>0</v>
      </c>
      <c r="M233" s="112">
        <f t="shared" si="84"/>
        <v>0</v>
      </c>
      <c r="N233" s="112">
        <f t="shared" si="84"/>
        <v>0</v>
      </c>
      <c r="O233" s="112">
        <f t="shared" si="84"/>
        <v>0</v>
      </c>
      <c r="P233" s="112">
        <f t="shared" si="84"/>
        <v>0</v>
      </c>
      <c r="Q233" s="112">
        <f t="shared" si="84"/>
        <v>0</v>
      </c>
      <c r="R233" s="112">
        <f t="shared" si="84"/>
        <v>0</v>
      </c>
      <c r="S233" s="112">
        <f t="shared" si="84"/>
        <v>0</v>
      </c>
      <c r="T233" s="138"/>
      <c r="U233" s="112">
        <f>IFERROR(AVERAGE(O233:S233),0)</f>
        <v>0</v>
      </c>
      <c r="V233" s="112">
        <f>SUM(O233:S233)</f>
        <v>0</v>
      </c>
      <c r="X233" s="251"/>
      <c r="Y233" s="251"/>
      <c r="Z233" s="252"/>
      <c r="AA233" s="251"/>
      <c r="AB233" s="251"/>
    </row>
    <row r="234" spans="1:28" hidden="1" outlineLevel="2" x14ac:dyDescent="0.35">
      <c r="E234" s="8" t="s">
        <v>99</v>
      </c>
      <c r="G234" s="22" t="s">
        <v>34</v>
      </c>
      <c r="J234" s="134">
        <f t="shared" ref="J234:S234" si="85">SUM(J232:J233)</f>
        <v>0</v>
      </c>
      <c r="K234" s="134">
        <f t="shared" si="85"/>
        <v>0</v>
      </c>
      <c r="L234" s="134">
        <f t="shared" si="85"/>
        <v>0</v>
      </c>
      <c r="M234" s="134">
        <f t="shared" si="85"/>
        <v>0</v>
      </c>
      <c r="N234" s="134">
        <f t="shared" si="85"/>
        <v>0</v>
      </c>
      <c r="O234" s="134">
        <f t="shared" si="85"/>
        <v>0</v>
      </c>
      <c r="P234" s="134">
        <f t="shared" si="85"/>
        <v>0</v>
      </c>
      <c r="Q234" s="134">
        <f t="shared" si="85"/>
        <v>0</v>
      </c>
      <c r="R234" s="134">
        <f t="shared" si="85"/>
        <v>0</v>
      </c>
      <c r="S234" s="134">
        <f t="shared" si="85"/>
        <v>0</v>
      </c>
      <c r="T234" s="138"/>
      <c r="U234" s="134">
        <f>SUM(U232:U233)</f>
        <v>0</v>
      </c>
      <c r="V234" s="134">
        <f>SUM(V232:V233)</f>
        <v>0</v>
      </c>
    </row>
    <row r="235" spans="1:28" hidden="1" outlineLevel="1" x14ac:dyDescent="0.35">
      <c r="J235" s="112"/>
      <c r="K235" s="112"/>
      <c r="L235" s="112"/>
      <c r="M235" s="112"/>
      <c r="N235" s="112"/>
      <c r="O235" s="112"/>
      <c r="P235" s="112"/>
      <c r="Q235" s="112"/>
      <c r="R235" s="112"/>
      <c r="S235" s="112"/>
      <c r="T235" s="138"/>
      <c r="U235" s="112"/>
      <c r="V235" s="112"/>
    </row>
    <row r="236" spans="1:28" hidden="1" outlineLevel="1" collapsed="1" x14ac:dyDescent="0.35">
      <c r="C236" s="24" t="str">
        <f>INDEX(InpC!$E$25:$E$42,G236)</f>
        <v>Dŵr Cymru</v>
      </c>
      <c r="F236" s="113" t="str">
        <f>INDEX(InpC!$F$25:$F$42,G236,)</f>
        <v>WSH</v>
      </c>
      <c r="G236" s="8">
        <f>G110</f>
        <v>2</v>
      </c>
      <c r="J236" s="112"/>
      <c r="K236" s="112"/>
      <c r="L236" s="112"/>
      <c r="M236" s="112"/>
      <c r="N236" s="112"/>
      <c r="O236" s="112"/>
      <c r="P236" s="112"/>
      <c r="Q236" s="112"/>
      <c r="R236" s="112"/>
      <c r="S236" s="112"/>
      <c r="T236" s="138"/>
      <c r="U236" s="112"/>
      <c r="V236" s="112"/>
    </row>
    <row r="237" spans="1:28" hidden="1" outlineLevel="2" x14ac:dyDescent="0.35">
      <c r="E237" s="8" t="s">
        <v>224</v>
      </c>
      <c r="G237" s="22" t="s">
        <v>34</v>
      </c>
      <c r="J237" s="112">
        <f t="shared" ref="J237:S237" si="86">IF(ISBLANK(J113),J17,J113)</f>
        <v>0</v>
      </c>
      <c r="K237" s="112">
        <f t="shared" si="86"/>
        <v>0</v>
      </c>
      <c r="L237" s="112">
        <f t="shared" si="86"/>
        <v>0</v>
      </c>
      <c r="M237" s="112">
        <f t="shared" si="86"/>
        <v>0</v>
      </c>
      <c r="N237" s="112">
        <f t="shared" si="86"/>
        <v>0</v>
      </c>
      <c r="O237" s="112">
        <f t="shared" si="86"/>
        <v>0</v>
      </c>
      <c r="P237" s="112">
        <f t="shared" si="86"/>
        <v>0</v>
      </c>
      <c r="Q237" s="112">
        <f t="shared" si="86"/>
        <v>0</v>
      </c>
      <c r="R237" s="112">
        <f t="shared" si="86"/>
        <v>0</v>
      </c>
      <c r="S237" s="112">
        <f t="shared" si="86"/>
        <v>0</v>
      </c>
      <c r="T237" s="138"/>
      <c r="U237" s="112">
        <f>IFERROR(AVERAGE(O237:S237),0)</f>
        <v>0</v>
      </c>
      <c r="V237" s="112">
        <f>SUM(O237:S237)</f>
        <v>0</v>
      </c>
    </row>
    <row r="238" spans="1:28" hidden="1" outlineLevel="2" x14ac:dyDescent="0.35">
      <c r="E238" s="8" t="s">
        <v>225</v>
      </c>
      <c r="G238" s="22" t="s">
        <v>34</v>
      </c>
      <c r="J238" s="112">
        <f t="shared" ref="J238:S238" si="87">IF(ISBLANK(J114),J18,J114)</f>
        <v>0</v>
      </c>
      <c r="K238" s="112">
        <f t="shared" si="87"/>
        <v>0</v>
      </c>
      <c r="L238" s="112">
        <f t="shared" si="87"/>
        <v>0</v>
      </c>
      <c r="M238" s="112">
        <f t="shared" si="87"/>
        <v>0</v>
      </c>
      <c r="N238" s="112">
        <f t="shared" si="87"/>
        <v>0</v>
      </c>
      <c r="O238" s="112">
        <f t="shared" si="87"/>
        <v>0</v>
      </c>
      <c r="P238" s="112">
        <f t="shared" si="87"/>
        <v>0</v>
      </c>
      <c r="Q238" s="112">
        <f t="shared" si="87"/>
        <v>0</v>
      </c>
      <c r="R238" s="112">
        <f t="shared" si="87"/>
        <v>0</v>
      </c>
      <c r="S238" s="112">
        <f t="shared" si="87"/>
        <v>0</v>
      </c>
      <c r="T238" s="138"/>
      <c r="U238" s="112">
        <f>IFERROR(AVERAGE(O238:S238),0)</f>
        <v>0</v>
      </c>
      <c r="V238" s="112">
        <f>SUM(O238:S238)</f>
        <v>0</v>
      </c>
    </row>
    <row r="239" spans="1:28" hidden="1" outlineLevel="2" x14ac:dyDescent="0.35">
      <c r="E239" s="8" t="s">
        <v>99</v>
      </c>
      <c r="G239" s="22" t="s">
        <v>34</v>
      </c>
      <c r="J239" s="134">
        <f t="shared" ref="J239:S239" si="88">SUM(J237:J238)</f>
        <v>0</v>
      </c>
      <c r="K239" s="134">
        <f t="shared" si="88"/>
        <v>0</v>
      </c>
      <c r="L239" s="134">
        <f t="shared" si="88"/>
        <v>0</v>
      </c>
      <c r="M239" s="134">
        <f t="shared" si="88"/>
        <v>0</v>
      </c>
      <c r="N239" s="134">
        <f t="shared" si="88"/>
        <v>0</v>
      </c>
      <c r="O239" s="134">
        <f t="shared" si="88"/>
        <v>0</v>
      </c>
      <c r="P239" s="134">
        <f t="shared" si="88"/>
        <v>0</v>
      </c>
      <c r="Q239" s="134">
        <f t="shared" si="88"/>
        <v>0</v>
      </c>
      <c r="R239" s="134">
        <f t="shared" si="88"/>
        <v>0</v>
      </c>
      <c r="S239" s="134">
        <f t="shared" si="88"/>
        <v>0</v>
      </c>
      <c r="T239" s="138"/>
      <c r="U239" s="134">
        <f>SUM(U237:U238)</f>
        <v>0</v>
      </c>
      <c r="V239" s="134">
        <f>SUM(V237:V238)</f>
        <v>0</v>
      </c>
    </row>
    <row r="240" spans="1:28" hidden="1" outlineLevel="1" x14ac:dyDescent="0.35">
      <c r="J240" s="112"/>
      <c r="K240" s="112"/>
      <c r="L240" s="112"/>
      <c r="M240" s="112"/>
      <c r="N240" s="112"/>
      <c r="O240" s="112"/>
      <c r="P240" s="112"/>
      <c r="Q240" s="112"/>
      <c r="R240" s="112"/>
      <c r="S240" s="112"/>
      <c r="T240" s="138"/>
      <c r="U240" s="112"/>
      <c r="V240" s="112"/>
    </row>
    <row r="241" spans="3:22" hidden="1" outlineLevel="1" collapsed="1" x14ac:dyDescent="0.35">
      <c r="C241" s="24" t="str">
        <f>INDEX(InpC!$E$25:$E$42,G241)</f>
        <v>Hafren Dyfrdwy</v>
      </c>
      <c r="F241" s="113" t="str">
        <f>INDEX(InpC!$F$25:$F$42,G241,)</f>
        <v>HDD</v>
      </c>
      <c r="G241" s="8">
        <f>G117</f>
        <v>3</v>
      </c>
      <c r="J241" s="112"/>
      <c r="K241" s="112"/>
      <c r="L241" s="112"/>
      <c r="M241" s="112"/>
      <c r="N241" s="112"/>
      <c r="O241" s="112"/>
      <c r="P241" s="112"/>
      <c r="Q241" s="112"/>
      <c r="R241" s="112"/>
      <c r="S241" s="112"/>
      <c r="T241" s="138"/>
      <c r="U241" s="112"/>
      <c r="V241" s="112"/>
    </row>
    <row r="242" spans="3:22" hidden="1" outlineLevel="2" x14ac:dyDescent="0.35">
      <c r="E242" s="8" t="s">
        <v>224</v>
      </c>
      <c r="G242" s="22" t="s">
        <v>34</v>
      </c>
      <c r="J242" s="112">
        <f t="shared" ref="J242:S242" si="89">IF(ISBLANK(J120),J22,J120)</f>
        <v>0</v>
      </c>
      <c r="K242" s="112">
        <f t="shared" si="89"/>
        <v>0</v>
      </c>
      <c r="L242" s="112">
        <f t="shared" si="89"/>
        <v>0</v>
      </c>
      <c r="M242" s="112">
        <f t="shared" si="89"/>
        <v>0</v>
      </c>
      <c r="N242" s="112">
        <f t="shared" si="89"/>
        <v>0</v>
      </c>
      <c r="O242" s="112">
        <f t="shared" si="89"/>
        <v>0</v>
      </c>
      <c r="P242" s="112">
        <f t="shared" si="89"/>
        <v>0</v>
      </c>
      <c r="Q242" s="112">
        <f t="shared" si="89"/>
        <v>0</v>
      </c>
      <c r="R242" s="112">
        <f t="shared" si="89"/>
        <v>0</v>
      </c>
      <c r="S242" s="112">
        <f t="shared" si="89"/>
        <v>0</v>
      </c>
      <c r="T242" s="138"/>
      <c r="U242" s="112">
        <f>IFERROR(AVERAGE(O242:S242),0)</f>
        <v>0</v>
      </c>
      <c r="V242" s="112">
        <f>SUM(O242:S242)</f>
        <v>0</v>
      </c>
    </row>
    <row r="243" spans="3:22" hidden="1" outlineLevel="2" x14ac:dyDescent="0.35">
      <c r="E243" s="8" t="s">
        <v>225</v>
      </c>
      <c r="G243" s="22" t="s">
        <v>34</v>
      </c>
      <c r="J243" s="112">
        <f t="shared" ref="J243:S243" si="90">IF(ISBLANK(J121),J23,J121)</f>
        <v>0</v>
      </c>
      <c r="K243" s="112">
        <f t="shared" si="90"/>
        <v>0</v>
      </c>
      <c r="L243" s="112">
        <f t="shared" si="90"/>
        <v>0</v>
      </c>
      <c r="M243" s="112">
        <f t="shared" si="90"/>
        <v>0</v>
      </c>
      <c r="N243" s="112">
        <f t="shared" si="90"/>
        <v>0</v>
      </c>
      <c r="O243" s="112">
        <f t="shared" si="90"/>
        <v>0</v>
      </c>
      <c r="P243" s="112">
        <f t="shared" si="90"/>
        <v>0</v>
      </c>
      <c r="Q243" s="112">
        <f t="shared" si="90"/>
        <v>0</v>
      </c>
      <c r="R243" s="112">
        <f t="shared" si="90"/>
        <v>0</v>
      </c>
      <c r="S243" s="112">
        <f t="shared" si="90"/>
        <v>0</v>
      </c>
      <c r="T243" s="138"/>
      <c r="U243" s="112">
        <f>IFERROR(AVERAGE(O243:S243),0)</f>
        <v>0</v>
      </c>
      <c r="V243" s="112">
        <f>SUM(O243:S243)</f>
        <v>0</v>
      </c>
    </row>
    <row r="244" spans="3:22" hidden="1" outlineLevel="2" x14ac:dyDescent="0.35">
      <c r="E244" s="8" t="s">
        <v>99</v>
      </c>
      <c r="G244" s="22" t="s">
        <v>34</v>
      </c>
      <c r="J244" s="134">
        <f t="shared" ref="J244:S244" si="91">SUM(J242:J243)</f>
        <v>0</v>
      </c>
      <c r="K244" s="134">
        <f t="shared" si="91"/>
        <v>0</v>
      </c>
      <c r="L244" s="134">
        <f t="shared" si="91"/>
        <v>0</v>
      </c>
      <c r="M244" s="134">
        <f t="shared" si="91"/>
        <v>0</v>
      </c>
      <c r="N244" s="134">
        <f t="shared" si="91"/>
        <v>0</v>
      </c>
      <c r="O244" s="134">
        <f t="shared" si="91"/>
        <v>0</v>
      </c>
      <c r="P244" s="134">
        <f t="shared" si="91"/>
        <v>0</v>
      </c>
      <c r="Q244" s="134">
        <f t="shared" si="91"/>
        <v>0</v>
      </c>
      <c r="R244" s="134">
        <f t="shared" si="91"/>
        <v>0</v>
      </c>
      <c r="S244" s="134">
        <f t="shared" si="91"/>
        <v>0</v>
      </c>
      <c r="T244" s="138"/>
      <c r="U244" s="134">
        <f>SUM(U242:U243)</f>
        <v>0</v>
      </c>
      <c r="V244" s="134">
        <f>SUM(V242:V243)</f>
        <v>0</v>
      </c>
    </row>
    <row r="245" spans="3:22" hidden="1" outlineLevel="1" x14ac:dyDescent="0.35">
      <c r="J245" s="112"/>
      <c r="K245" s="112"/>
      <c r="L245" s="112"/>
      <c r="M245" s="112"/>
      <c r="N245" s="112"/>
      <c r="O245" s="112"/>
      <c r="P245" s="112"/>
      <c r="Q245" s="112"/>
      <c r="R245" s="112"/>
      <c r="S245" s="112"/>
      <c r="T245" s="138"/>
      <c r="U245" s="112"/>
      <c r="V245" s="112"/>
    </row>
    <row r="246" spans="3:22" hidden="1" outlineLevel="1" collapsed="1" x14ac:dyDescent="0.35">
      <c r="C246" s="24" t="str">
        <f>INDEX(InpC!$E$25:$E$42,G246)</f>
        <v>Northumbrian Water</v>
      </c>
      <c r="F246" s="113" t="str">
        <f>INDEX(InpC!$F$25:$F$42,G246,)</f>
        <v>NES</v>
      </c>
      <c r="G246" s="8">
        <f>G124</f>
        <v>4</v>
      </c>
      <c r="J246" s="112"/>
      <c r="K246" s="112"/>
      <c r="L246" s="112"/>
      <c r="M246" s="112"/>
      <c r="N246" s="112"/>
      <c r="O246" s="112"/>
      <c r="P246" s="112"/>
      <c r="Q246" s="112"/>
      <c r="R246" s="112"/>
      <c r="S246" s="112"/>
      <c r="T246" s="138"/>
      <c r="U246" s="112"/>
      <c r="V246" s="112"/>
    </row>
    <row r="247" spans="3:22" hidden="1" outlineLevel="2" x14ac:dyDescent="0.35">
      <c r="E247" s="8" t="s">
        <v>224</v>
      </c>
      <c r="G247" s="22" t="s">
        <v>34</v>
      </c>
      <c r="J247" s="112">
        <f t="shared" ref="J247:S247" si="92">IF(ISBLANK(J127),J27,J127)</f>
        <v>0</v>
      </c>
      <c r="K247" s="112">
        <f t="shared" si="92"/>
        <v>0</v>
      </c>
      <c r="L247" s="112">
        <f t="shared" si="92"/>
        <v>0</v>
      </c>
      <c r="M247" s="112">
        <f t="shared" si="92"/>
        <v>0</v>
      </c>
      <c r="N247" s="112">
        <f t="shared" si="92"/>
        <v>0</v>
      </c>
      <c r="O247" s="112">
        <f t="shared" si="92"/>
        <v>0</v>
      </c>
      <c r="P247" s="112">
        <f t="shared" si="92"/>
        <v>0</v>
      </c>
      <c r="Q247" s="112">
        <f t="shared" si="92"/>
        <v>0</v>
      </c>
      <c r="R247" s="112">
        <f t="shared" si="92"/>
        <v>0</v>
      </c>
      <c r="S247" s="112">
        <f t="shared" si="92"/>
        <v>0</v>
      </c>
      <c r="T247" s="138"/>
      <c r="U247" s="112">
        <f>IFERROR(AVERAGE(O247:S247),0)</f>
        <v>0</v>
      </c>
      <c r="V247" s="112">
        <f>SUM(O247:S247)</f>
        <v>0</v>
      </c>
    </row>
    <row r="248" spans="3:22" hidden="1" outlineLevel="2" x14ac:dyDescent="0.35">
      <c r="E248" s="8" t="s">
        <v>225</v>
      </c>
      <c r="G248" s="22" t="s">
        <v>34</v>
      </c>
      <c r="J248" s="112">
        <f t="shared" ref="J248:S248" si="93">IF(ISBLANK(J128),J28,J128)</f>
        <v>0</v>
      </c>
      <c r="K248" s="112">
        <f t="shared" si="93"/>
        <v>0</v>
      </c>
      <c r="L248" s="112">
        <f t="shared" si="93"/>
        <v>0</v>
      </c>
      <c r="M248" s="112">
        <f t="shared" si="93"/>
        <v>0</v>
      </c>
      <c r="N248" s="112">
        <f t="shared" si="93"/>
        <v>0</v>
      </c>
      <c r="O248" s="112">
        <f t="shared" si="93"/>
        <v>0</v>
      </c>
      <c r="P248" s="112">
        <f t="shared" si="93"/>
        <v>0</v>
      </c>
      <c r="Q248" s="112">
        <f t="shared" si="93"/>
        <v>0</v>
      </c>
      <c r="R248" s="112">
        <f t="shared" si="93"/>
        <v>0</v>
      </c>
      <c r="S248" s="112">
        <f t="shared" si="93"/>
        <v>0</v>
      </c>
      <c r="T248" s="138"/>
      <c r="U248" s="112">
        <f>IFERROR(AVERAGE(O248:S248),0)</f>
        <v>0</v>
      </c>
      <c r="V248" s="112">
        <f>SUM(O248:S248)</f>
        <v>0</v>
      </c>
    </row>
    <row r="249" spans="3:22" hidden="1" outlineLevel="2" x14ac:dyDescent="0.35">
      <c r="E249" s="8" t="s">
        <v>99</v>
      </c>
      <c r="G249" s="22" t="s">
        <v>34</v>
      </c>
      <c r="J249" s="134">
        <f t="shared" ref="J249:S249" si="94">SUM(J247:J248)</f>
        <v>0</v>
      </c>
      <c r="K249" s="134">
        <f t="shared" si="94"/>
        <v>0</v>
      </c>
      <c r="L249" s="134">
        <f t="shared" si="94"/>
        <v>0</v>
      </c>
      <c r="M249" s="134">
        <f t="shared" si="94"/>
        <v>0</v>
      </c>
      <c r="N249" s="134">
        <f t="shared" si="94"/>
        <v>0</v>
      </c>
      <c r="O249" s="134">
        <f t="shared" si="94"/>
        <v>0</v>
      </c>
      <c r="P249" s="134">
        <f t="shared" si="94"/>
        <v>0</v>
      </c>
      <c r="Q249" s="134">
        <f t="shared" si="94"/>
        <v>0</v>
      </c>
      <c r="R249" s="134">
        <f t="shared" si="94"/>
        <v>0</v>
      </c>
      <c r="S249" s="134">
        <f t="shared" si="94"/>
        <v>0</v>
      </c>
      <c r="T249" s="138"/>
      <c r="U249" s="134">
        <f>SUM(U247:U248)</f>
        <v>0</v>
      </c>
      <c r="V249" s="134">
        <f>SUM(V247:V248)</f>
        <v>0</v>
      </c>
    </row>
    <row r="250" spans="3:22" hidden="1" outlineLevel="1" x14ac:dyDescent="0.35">
      <c r="J250" s="112"/>
      <c r="K250" s="112"/>
      <c r="L250" s="112"/>
      <c r="M250" s="112"/>
      <c r="N250" s="112"/>
      <c r="O250" s="112"/>
      <c r="P250" s="112"/>
      <c r="Q250" s="112"/>
      <c r="R250" s="112"/>
      <c r="S250" s="112"/>
      <c r="T250" s="138"/>
      <c r="U250" s="112"/>
      <c r="V250" s="112"/>
    </row>
    <row r="251" spans="3:22" hidden="1" outlineLevel="1" collapsed="1" x14ac:dyDescent="0.35">
      <c r="C251" s="24" t="str">
        <f>INDEX(InpC!$E$25:$E$42,G251)</f>
        <v>Severn Trent Water</v>
      </c>
      <c r="F251" s="113" t="str">
        <f>INDEX(InpC!$F$25:$F$42,G251,)</f>
        <v>SVE</v>
      </c>
      <c r="G251" s="8">
        <f>G131</f>
        <v>5</v>
      </c>
      <c r="J251" s="112"/>
      <c r="K251" s="112"/>
      <c r="L251" s="112"/>
      <c r="M251" s="112"/>
      <c r="N251" s="112"/>
      <c r="O251" s="112"/>
      <c r="P251" s="112"/>
      <c r="Q251" s="112"/>
      <c r="R251" s="112"/>
      <c r="S251" s="112"/>
      <c r="T251" s="138"/>
      <c r="U251" s="112"/>
      <c r="V251" s="112"/>
    </row>
    <row r="252" spans="3:22" hidden="1" outlineLevel="2" x14ac:dyDescent="0.35">
      <c r="E252" s="8" t="s">
        <v>224</v>
      </c>
      <c r="G252" s="22" t="s">
        <v>34</v>
      </c>
      <c r="J252" s="112">
        <f t="shared" ref="J252:S252" si="95">IF(ISBLANK(J134),J32,J134)</f>
        <v>0</v>
      </c>
      <c r="K252" s="112">
        <f t="shared" si="95"/>
        <v>0</v>
      </c>
      <c r="L252" s="112">
        <f t="shared" si="95"/>
        <v>0</v>
      </c>
      <c r="M252" s="112">
        <f t="shared" si="95"/>
        <v>0</v>
      </c>
      <c r="N252" s="112">
        <f t="shared" si="95"/>
        <v>0</v>
      </c>
      <c r="O252" s="112">
        <f t="shared" si="95"/>
        <v>0</v>
      </c>
      <c r="P252" s="112">
        <f t="shared" si="95"/>
        <v>0</v>
      </c>
      <c r="Q252" s="112">
        <f t="shared" si="95"/>
        <v>0</v>
      </c>
      <c r="R252" s="112">
        <f t="shared" si="95"/>
        <v>0</v>
      </c>
      <c r="S252" s="112">
        <f t="shared" si="95"/>
        <v>0</v>
      </c>
      <c r="T252" s="138"/>
      <c r="U252" s="112">
        <f>IFERROR(AVERAGE(O252:S252),0)</f>
        <v>0</v>
      </c>
      <c r="V252" s="112">
        <f>SUM(O252:S252)</f>
        <v>0</v>
      </c>
    </row>
    <row r="253" spans="3:22" hidden="1" outlineLevel="2" x14ac:dyDescent="0.35">
      <c r="E253" s="8" t="s">
        <v>225</v>
      </c>
      <c r="G253" s="22" t="s">
        <v>34</v>
      </c>
      <c r="J253" s="112">
        <f t="shared" ref="J253:S253" si="96">IF(ISBLANK(J135),J33,J135)</f>
        <v>0</v>
      </c>
      <c r="K253" s="112">
        <f t="shared" si="96"/>
        <v>0</v>
      </c>
      <c r="L253" s="112">
        <f t="shared" si="96"/>
        <v>0</v>
      </c>
      <c r="M253" s="112">
        <f t="shared" si="96"/>
        <v>0</v>
      </c>
      <c r="N253" s="112">
        <f t="shared" si="96"/>
        <v>0</v>
      </c>
      <c r="O253" s="112">
        <f t="shared" si="96"/>
        <v>0</v>
      </c>
      <c r="P253" s="112">
        <f t="shared" si="96"/>
        <v>0</v>
      </c>
      <c r="Q253" s="112">
        <f t="shared" si="96"/>
        <v>0</v>
      </c>
      <c r="R253" s="112">
        <f t="shared" si="96"/>
        <v>0</v>
      </c>
      <c r="S253" s="112">
        <f t="shared" si="96"/>
        <v>0</v>
      </c>
      <c r="T253" s="138"/>
      <c r="U253" s="112">
        <f>IFERROR(AVERAGE(O253:S253),0)</f>
        <v>0</v>
      </c>
      <c r="V253" s="112">
        <f>SUM(O253:S253)</f>
        <v>0</v>
      </c>
    </row>
    <row r="254" spans="3:22" hidden="1" outlineLevel="2" x14ac:dyDescent="0.35">
      <c r="E254" s="8" t="s">
        <v>99</v>
      </c>
      <c r="G254" s="22" t="s">
        <v>34</v>
      </c>
      <c r="J254" s="134">
        <f t="shared" ref="J254:S254" si="97">SUM(J252:J253)</f>
        <v>0</v>
      </c>
      <c r="K254" s="134">
        <f t="shared" si="97"/>
        <v>0</v>
      </c>
      <c r="L254" s="134">
        <f t="shared" si="97"/>
        <v>0</v>
      </c>
      <c r="M254" s="134">
        <f t="shared" si="97"/>
        <v>0</v>
      </c>
      <c r="N254" s="134">
        <f t="shared" si="97"/>
        <v>0</v>
      </c>
      <c r="O254" s="134">
        <f t="shared" si="97"/>
        <v>0</v>
      </c>
      <c r="P254" s="134">
        <f t="shared" si="97"/>
        <v>0</v>
      </c>
      <c r="Q254" s="134">
        <f t="shared" si="97"/>
        <v>0</v>
      </c>
      <c r="R254" s="134">
        <f t="shared" si="97"/>
        <v>0</v>
      </c>
      <c r="S254" s="134">
        <f t="shared" si="97"/>
        <v>0</v>
      </c>
      <c r="T254" s="138"/>
      <c r="U254" s="134">
        <f>SUM(U252:U253)</f>
        <v>0</v>
      </c>
      <c r="V254" s="134">
        <f>SUM(V252:V253)</f>
        <v>0</v>
      </c>
    </row>
    <row r="255" spans="3:22" hidden="1" outlineLevel="1" x14ac:dyDescent="0.35">
      <c r="J255" s="112"/>
      <c r="K255" s="112"/>
      <c r="L255" s="112"/>
      <c r="M255" s="112"/>
      <c r="N255" s="112"/>
      <c r="O255" s="112"/>
      <c r="P255" s="112"/>
      <c r="Q255" s="112"/>
      <c r="R255" s="112"/>
      <c r="S255" s="112"/>
      <c r="T255" s="138"/>
      <c r="U255" s="112"/>
      <c r="V255" s="112"/>
    </row>
    <row r="256" spans="3:22" hidden="1" outlineLevel="1" collapsed="1" x14ac:dyDescent="0.35">
      <c r="C256" s="24" t="str">
        <f>INDEX(InpC!$E$25:$E$42,G256)</f>
        <v>Southern Water</v>
      </c>
      <c r="F256" s="113" t="str">
        <f>INDEX(InpC!$F$25:$F$42,G256,)</f>
        <v>SRN</v>
      </c>
      <c r="G256" s="8">
        <f>G138</f>
        <v>6</v>
      </c>
      <c r="J256" s="112"/>
      <c r="K256" s="112"/>
      <c r="L256" s="112"/>
      <c r="M256" s="112"/>
      <c r="N256" s="112"/>
      <c r="O256" s="112"/>
      <c r="P256" s="112"/>
      <c r="Q256" s="112"/>
      <c r="R256" s="112"/>
      <c r="S256" s="112"/>
      <c r="T256" s="138"/>
      <c r="U256" s="112"/>
      <c r="V256" s="112"/>
    </row>
    <row r="257" spans="3:22" hidden="1" outlineLevel="2" x14ac:dyDescent="0.35">
      <c r="E257" s="8" t="s">
        <v>224</v>
      </c>
      <c r="G257" s="22" t="s">
        <v>34</v>
      </c>
      <c r="J257" s="112">
        <f t="shared" ref="J257:S257" si="98">IF(ISBLANK(J141),J37,J141)</f>
        <v>0.15131962616822431</v>
      </c>
      <c r="K257" s="112">
        <f t="shared" si="98"/>
        <v>0.10980294659300187</v>
      </c>
      <c r="L257" s="112">
        <f t="shared" si="98"/>
        <v>0.29399999999999998</v>
      </c>
      <c r="M257" s="112">
        <f t="shared" si="98"/>
        <v>0.74</v>
      </c>
      <c r="N257" s="112">
        <f t="shared" si="98"/>
        <v>0.11</v>
      </c>
      <c r="O257" s="112">
        <f t="shared" si="98"/>
        <v>0.65545917577764345</v>
      </c>
      <c r="P257" s="112">
        <f t="shared" si="98"/>
        <v>0.65545917577764345</v>
      </c>
      <c r="Q257" s="112">
        <f t="shared" si="98"/>
        <v>0.65545917577764345</v>
      </c>
      <c r="R257" s="112">
        <f t="shared" si="98"/>
        <v>0.65545917577764345</v>
      </c>
      <c r="S257" s="112">
        <f t="shared" si="98"/>
        <v>0.65545917577764345</v>
      </c>
      <c r="T257" s="138"/>
      <c r="U257" s="112">
        <f>IFERROR(AVERAGE(O257:S257),0)</f>
        <v>0.65545917577764345</v>
      </c>
      <c r="V257" s="112">
        <f>SUM(O257:S257)</f>
        <v>3.2772958788882174</v>
      </c>
    </row>
    <row r="258" spans="3:22" hidden="1" outlineLevel="2" x14ac:dyDescent="0.35">
      <c r="E258" s="8" t="s">
        <v>225</v>
      </c>
      <c r="G258" s="22" t="s">
        <v>34</v>
      </c>
      <c r="J258" s="112">
        <f t="shared" ref="J258:S258" si="99">IF(ISBLANK(J142),J38,J142)</f>
        <v>7.2592523364485975E-2</v>
      </c>
      <c r="K258" s="112">
        <f t="shared" si="99"/>
        <v>8.7640883977900569E-2</v>
      </c>
      <c r="L258" s="112">
        <f t="shared" si="99"/>
        <v>0.18</v>
      </c>
      <c r="M258" s="112">
        <f t="shared" si="99"/>
        <v>0.376</v>
      </c>
      <c r="N258" s="112">
        <f t="shared" si="99"/>
        <v>9.0999999999999998E-2</v>
      </c>
      <c r="O258" s="112">
        <f t="shared" si="99"/>
        <v>0.35</v>
      </c>
      <c r="P258" s="112">
        <f t="shared" si="99"/>
        <v>0.35</v>
      </c>
      <c r="Q258" s="112">
        <f t="shared" si="99"/>
        <v>0.35</v>
      </c>
      <c r="R258" s="112">
        <f t="shared" si="99"/>
        <v>0.35</v>
      </c>
      <c r="S258" s="112">
        <f t="shared" si="99"/>
        <v>0.35</v>
      </c>
      <c r="T258" s="138"/>
      <c r="U258" s="112">
        <f>IFERROR(AVERAGE(O258:S258),0)</f>
        <v>0.35</v>
      </c>
      <c r="V258" s="112">
        <f>SUM(O258:S258)</f>
        <v>1.75</v>
      </c>
    </row>
    <row r="259" spans="3:22" hidden="1" outlineLevel="2" x14ac:dyDescent="0.35">
      <c r="E259" s="8" t="s">
        <v>99</v>
      </c>
      <c r="G259" s="22" t="s">
        <v>34</v>
      </c>
      <c r="J259" s="134">
        <f t="shared" ref="J259:S259" si="100">SUM(J257:J258)</f>
        <v>0.22391214953271027</v>
      </c>
      <c r="K259" s="134">
        <f t="shared" si="100"/>
        <v>0.19744383057090242</v>
      </c>
      <c r="L259" s="134">
        <f t="shared" si="100"/>
        <v>0.47399999999999998</v>
      </c>
      <c r="M259" s="134">
        <f t="shared" si="100"/>
        <v>1.1160000000000001</v>
      </c>
      <c r="N259" s="134">
        <f t="shared" si="100"/>
        <v>0.20100000000000001</v>
      </c>
      <c r="O259" s="134">
        <f t="shared" si="100"/>
        <v>1.0054591757776434</v>
      </c>
      <c r="P259" s="134">
        <f t="shared" si="100"/>
        <v>1.0054591757776434</v>
      </c>
      <c r="Q259" s="134">
        <f t="shared" si="100"/>
        <v>1.0054591757776434</v>
      </c>
      <c r="R259" s="134">
        <f t="shared" si="100"/>
        <v>1.0054591757776434</v>
      </c>
      <c r="S259" s="134">
        <f t="shared" si="100"/>
        <v>1.0054591757776434</v>
      </c>
      <c r="T259" s="138"/>
      <c r="U259" s="134">
        <f>SUM(U257:U258)</f>
        <v>1.0054591757776434</v>
      </c>
      <c r="V259" s="134">
        <f>SUM(V257:V258)</f>
        <v>5.0272958788882178</v>
      </c>
    </row>
    <row r="260" spans="3:22" hidden="1" outlineLevel="1" x14ac:dyDescent="0.35">
      <c r="J260" s="112"/>
      <c r="K260" s="112"/>
      <c r="L260" s="112"/>
      <c r="M260" s="112"/>
      <c r="N260" s="112"/>
      <c r="O260" s="112"/>
      <c r="P260" s="112"/>
      <c r="Q260" s="112"/>
      <c r="R260" s="112"/>
      <c r="S260" s="112"/>
      <c r="T260" s="138"/>
      <c r="U260" s="112"/>
      <c r="V260" s="112"/>
    </row>
    <row r="261" spans="3:22" hidden="1" outlineLevel="1" collapsed="1" x14ac:dyDescent="0.35">
      <c r="C261" s="24" t="str">
        <f>INDEX(InpC!$E$25:$E$42,G261)</f>
        <v>Thames Water</v>
      </c>
      <c r="F261" s="113" t="str">
        <f>INDEX(InpC!$F$25:$F$42,G261,)</f>
        <v>TMS</v>
      </c>
      <c r="G261" s="8">
        <f>G145</f>
        <v>7</v>
      </c>
      <c r="J261" s="112"/>
      <c r="K261" s="112"/>
      <c r="L261" s="112"/>
      <c r="M261" s="112"/>
      <c r="N261" s="112"/>
      <c r="O261" s="112"/>
      <c r="P261" s="112"/>
      <c r="Q261" s="112"/>
      <c r="R261" s="112"/>
      <c r="S261" s="112"/>
      <c r="T261" s="138"/>
      <c r="U261" s="112"/>
      <c r="V261" s="112"/>
    </row>
    <row r="262" spans="3:22" hidden="1" outlineLevel="2" x14ac:dyDescent="0.35">
      <c r="E262" s="8" t="s">
        <v>224</v>
      </c>
      <c r="G262" s="22" t="s">
        <v>34</v>
      </c>
      <c r="J262" s="112">
        <f t="shared" ref="J262:S262" si="101">IF(ISBLANK(J148),J42,J148)</f>
        <v>0.8782672897196262</v>
      </c>
      <c r="K262" s="112">
        <f t="shared" si="101"/>
        <v>1.0899705340699819</v>
      </c>
      <c r="L262" s="112">
        <f t="shared" si="101"/>
        <v>2.7120000000000002</v>
      </c>
      <c r="M262" s="112">
        <f t="shared" si="101"/>
        <v>1.611954459203035</v>
      </c>
      <c r="N262" s="112">
        <f t="shared" si="101"/>
        <v>1.081</v>
      </c>
      <c r="O262" s="112">
        <f t="shared" si="101"/>
        <v>1.0098339549096367</v>
      </c>
      <c r="P262" s="112">
        <f t="shared" si="101"/>
        <v>1.0098339549096367</v>
      </c>
      <c r="Q262" s="112">
        <f t="shared" si="101"/>
        <v>1.0098339549096367</v>
      </c>
      <c r="R262" s="112">
        <f t="shared" si="101"/>
        <v>1.0098339549096367</v>
      </c>
      <c r="S262" s="112">
        <f t="shared" si="101"/>
        <v>1.0098339549096367</v>
      </c>
      <c r="T262" s="138"/>
      <c r="U262" s="112">
        <f>IFERROR(AVERAGE(O262:S262),0)</f>
        <v>1.0098339549096367</v>
      </c>
      <c r="V262" s="112">
        <f>SUM(O262:S262)</f>
        <v>5.0491697745481829</v>
      </c>
    </row>
    <row r="263" spans="3:22" hidden="1" outlineLevel="2" x14ac:dyDescent="0.35">
      <c r="E263" s="8" t="s">
        <v>225</v>
      </c>
      <c r="G263" s="22" t="s">
        <v>34</v>
      </c>
      <c r="J263" s="112">
        <f t="shared" ref="J263:S263" si="102">IF(ISBLANK(J149),J43,J149)</f>
        <v>0.20346355140186917</v>
      </c>
      <c r="K263" s="112">
        <f t="shared" si="102"/>
        <v>0.55707366482504617</v>
      </c>
      <c r="L263" s="112">
        <f t="shared" si="102"/>
        <v>0.35</v>
      </c>
      <c r="M263" s="112">
        <f t="shared" si="102"/>
        <v>0.44402277039848159</v>
      </c>
      <c r="N263" s="112">
        <f t="shared" si="102"/>
        <v>0.29599999999999999</v>
      </c>
      <c r="O263" s="112">
        <f t="shared" si="102"/>
        <v>0.27360000000000001</v>
      </c>
      <c r="P263" s="112">
        <f t="shared" si="102"/>
        <v>0.27360000000000001</v>
      </c>
      <c r="Q263" s="112">
        <f t="shared" si="102"/>
        <v>0.27360000000000001</v>
      </c>
      <c r="R263" s="112">
        <f t="shared" si="102"/>
        <v>0.26729999999999998</v>
      </c>
      <c r="S263" s="112">
        <f t="shared" si="102"/>
        <v>0.26729999999999998</v>
      </c>
      <c r="T263" s="138"/>
      <c r="U263" s="112">
        <f>IFERROR(AVERAGE(O263:S263),0)</f>
        <v>0.27107999999999999</v>
      </c>
      <c r="V263" s="112">
        <f>SUM(O263:S263)</f>
        <v>1.3553999999999999</v>
      </c>
    </row>
    <row r="264" spans="3:22" hidden="1" outlineLevel="2" x14ac:dyDescent="0.35">
      <c r="E264" s="8" t="s">
        <v>99</v>
      </c>
      <c r="G264" s="22" t="s">
        <v>34</v>
      </c>
      <c r="J264" s="134">
        <f t="shared" ref="J264:S264" si="103">SUM(J262:J263)</f>
        <v>1.0817308411214954</v>
      </c>
      <c r="K264" s="134">
        <f t="shared" si="103"/>
        <v>1.6470441988950282</v>
      </c>
      <c r="L264" s="134">
        <f t="shared" si="103"/>
        <v>3.0620000000000003</v>
      </c>
      <c r="M264" s="134">
        <f t="shared" si="103"/>
        <v>2.0559772296015169</v>
      </c>
      <c r="N264" s="134">
        <f t="shared" si="103"/>
        <v>1.377</v>
      </c>
      <c r="O264" s="134">
        <f t="shared" si="103"/>
        <v>1.2834339549096367</v>
      </c>
      <c r="P264" s="134">
        <f t="shared" si="103"/>
        <v>1.2834339549096367</v>
      </c>
      <c r="Q264" s="134">
        <f t="shared" si="103"/>
        <v>1.2834339549096367</v>
      </c>
      <c r="R264" s="134">
        <f t="shared" si="103"/>
        <v>1.2771339549096368</v>
      </c>
      <c r="S264" s="134">
        <f t="shared" si="103"/>
        <v>1.2771339549096368</v>
      </c>
      <c r="T264" s="138"/>
      <c r="U264" s="134">
        <f>SUM(U262:U263)</f>
        <v>1.2809139549096367</v>
      </c>
      <c r="V264" s="134">
        <f>SUM(V262:V263)</f>
        <v>6.4045697745481824</v>
      </c>
    </row>
    <row r="265" spans="3:22" hidden="1" outlineLevel="1" x14ac:dyDescent="0.35">
      <c r="J265" s="112"/>
      <c r="K265" s="112"/>
      <c r="L265" s="112"/>
      <c r="M265" s="112"/>
      <c r="N265" s="112"/>
      <c r="O265" s="112"/>
      <c r="P265" s="112"/>
      <c r="Q265" s="112"/>
      <c r="R265" s="112"/>
      <c r="S265" s="112"/>
      <c r="T265" s="138"/>
      <c r="U265" s="112"/>
      <c r="V265" s="112"/>
    </row>
    <row r="266" spans="3:22" hidden="1" outlineLevel="1" collapsed="1" x14ac:dyDescent="0.35">
      <c r="C266" s="24" t="str">
        <f>INDEX(InpC!$E$25:$E$42,G266)</f>
        <v>United Utilities</v>
      </c>
      <c r="F266" s="113" t="str">
        <f>INDEX(InpC!$F$25:$F$42,G266,)</f>
        <v>NWT</v>
      </c>
      <c r="G266" s="8">
        <f>G152</f>
        <v>8</v>
      </c>
      <c r="J266" s="112"/>
      <c r="K266" s="112"/>
      <c r="L266" s="112"/>
      <c r="M266" s="112"/>
      <c r="N266" s="112"/>
      <c r="O266" s="112"/>
      <c r="P266" s="112"/>
      <c r="Q266" s="112"/>
      <c r="R266" s="112"/>
      <c r="S266" s="112"/>
      <c r="T266" s="138"/>
      <c r="U266" s="112"/>
      <c r="V266" s="112"/>
    </row>
    <row r="267" spans="3:22" hidden="1" outlineLevel="2" x14ac:dyDescent="0.35">
      <c r="E267" s="8" t="s">
        <v>224</v>
      </c>
      <c r="G267" s="22" t="s">
        <v>34</v>
      </c>
      <c r="J267" s="112">
        <f t="shared" ref="J267:S267" si="104">IF(ISBLANK(J155),J47,J155)</f>
        <v>0</v>
      </c>
      <c r="K267" s="112">
        <f t="shared" si="104"/>
        <v>0</v>
      </c>
      <c r="L267" s="112">
        <f t="shared" si="104"/>
        <v>0</v>
      </c>
      <c r="M267" s="112">
        <f t="shared" si="104"/>
        <v>0</v>
      </c>
      <c r="N267" s="112">
        <f t="shared" si="104"/>
        <v>0</v>
      </c>
      <c r="O267" s="112">
        <f t="shared" si="104"/>
        <v>0.40621507560380599</v>
      </c>
      <c r="P267" s="112">
        <f t="shared" si="104"/>
        <v>0.41068102801783751</v>
      </c>
      <c r="Q267" s="112">
        <f t="shared" si="104"/>
        <v>0.40984943852449462</v>
      </c>
      <c r="R267" s="112">
        <f t="shared" si="104"/>
        <v>0.41381468054647419</v>
      </c>
      <c r="S267" s="112">
        <f t="shared" si="104"/>
        <v>0.41393201494067727</v>
      </c>
      <c r="T267" s="138"/>
      <c r="U267" s="112">
        <f>IFERROR(AVERAGE(O267:S267),0)</f>
        <v>0.41089844752665794</v>
      </c>
      <c r="V267" s="112">
        <f>SUM(O267:S267)</f>
        <v>2.0544922376332897</v>
      </c>
    </row>
    <row r="268" spans="3:22" hidden="1" outlineLevel="2" x14ac:dyDescent="0.35">
      <c r="E268" s="8" t="s">
        <v>225</v>
      </c>
      <c r="G268" s="22" t="s">
        <v>34</v>
      </c>
      <c r="J268" s="112">
        <f t="shared" ref="J268:S268" si="105">IF(ISBLANK(J156),J48,J156)</f>
        <v>0</v>
      </c>
      <c r="K268" s="112">
        <f t="shared" si="105"/>
        <v>0</v>
      </c>
      <c r="L268" s="112">
        <f t="shared" si="105"/>
        <v>0</v>
      </c>
      <c r="M268" s="112">
        <f t="shared" si="105"/>
        <v>0</v>
      </c>
      <c r="N268" s="112">
        <f t="shared" si="105"/>
        <v>0</v>
      </c>
      <c r="O268" s="112">
        <f t="shared" si="105"/>
        <v>4.1708182918053713E-2</v>
      </c>
      <c r="P268" s="112">
        <f t="shared" si="105"/>
        <v>4.2160256588246632E-2</v>
      </c>
      <c r="Q268" s="112">
        <f t="shared" si="105"/>
        <v>4.2058886769113388E-2</v>
      </c>
      <c r="R268" s="112">
        <f t="shared" si="105"/>
        <v>4.2484226429666379E-2</v>
      </c>
      <c r="S268" s="112">
        <f t="shared" si="105"/>
        <v>4.2491635905242187E-2</v>
      </c>
      <c r="T268" s="138"/>
      <c r="U268" s="112">
        <f>IFERROR(AVERAGE(O268:S268),0)</f>
        <v>4.2180637722064464E-2</v>
      </c>
      <c r="V268" s="112">
        <f>SUM(O268:S268)</f>
        <v>0.21090318861032231</v>
      </c>
    </row>
    <row r="269" spans="3:22" hidden="1" outlineLevel="2" x14ac:dyDescent="0.35">
      <c r="E269" s="8" t="s">
        <v>99</v>
      </c>
      <c r="G269" s="22" t="s">
        <v>34</v>
      </c>
      <c r="J269" s="134">
        <f t="shared" ref="J269:S269" si="106">SUM(J267:J268)</f>
        <v>0</v>
      </c>
      <c r="K269" s="134">
        <f t="shared" si="106"/>
        <v>0</v>
      </c>
      <c r="L269" s="134">
        <f t="shared" si="106"/>
        <v>0</v>
      </c>
      <c r="M269" s="134">
        <f t="shared" si="106"/>
        <v>0</v>
      </c>
      <c r="N269" s="134">
        <f t="shared" si="106"/>
        <v>0</v>
      </c>
      <c r="O269" s="134">
        <f t="shared" si="106"/>
        <v>0.44792325852185971</v>
      </c>
      <c r="P269" s="134">
        <f t="shared" si="106"/>
        <v>0.45284128460608414</v>
      </c>
      <c r="Q269" s="134">
        <f t="shared" si="106"/>
        <v>0.45190832529360803</v>
      </c>
      <c r="R269" s="134">
        <f t="shared" si="106"/>
        <v>0.45629890697614056</v>
      </c>
      <c r="S269" s="134">
        <f t="shared" si="106"/>
        <v>0.45642365084591946</v>
      </c>
      <c r="T269" s="138"/>
      <c r="U269" s="134">
        <f>SUM(U267:U268)</f>
        <v>0.45307908524872242</v>
      </c>
      <c r="V269" s="134">
        <f>SUM(V267:V268)</f>
        <v>2.2653954262436118</v>
      </c>
    </row>
    <row r="270" spans="3:22" hidden="1" outlineLevel="1" x14ac:dyDescent="0.35">
      <c r="J270" s="112"/>
      <c r="K270" s="112"/>
      <c r="L270" s="112"/>
      <c r="M270" s="112"/>
      <c r="N270" s="112"/>
      <c r="O270" s="112"/>
      <c r="P270" s="112"/>
      <c r="Q270" s="112"/>
      <c r="R270" s="112"/>
      <c r="S270" s="112"/>
      <c r="T270" s="138"/>
      <c r="U270" s="112"/>
      <c r="V270" s="112"/>
    </row>
    <row r="271" spans="3:22" hidden="1" outlineLevel="1" collapsed="1" x14ac:dyDescent="0.35">
      <c r="C271" s="24" t="str">
        <f>INDEX(InpC!$E$25:$E$42,G271)</f>
        <v>Wessex Water</v>
      </c>
      <c r="F271" s="113" t="str">
        <f>INDEX(InpC!$F$25:$F$42,G271,)</f>
        <v>WSX</v>
      </c>
      <c r="G271" s="8">
        <f>G159</f>
        <v>9</v>
      </c>
      <c r="J271" s="112"/>
      <c r="K271" s="112"/>
      <c r="L271" s="112"/>
      <c r="M271" s="112"/>
      <c r="N271" s="112"/>
      <c r="O271" s="112"/>
      <c r="P271" s="112"/>
      <c r="Q271" s="112"/>
      <c r="R271" s="112"/>
      <c r="S271" s="112"/>
      <c r="T271" s="138"/>
      <c r="U271" s="112"/>
      <c r="V271" s="112"/>
    </row>
    <row r="272" spans="3:22" hidden="1" outlineLevel="2" x14ac:dyDescent="0.35">
      <c r="E272" s="8" t="s">
        <v>224</v>
      </c>
      <c r="G272" s="22" t="s">
        <v>34</v>
      </c>
      <c r="J272" s="112">
        <f t="shared" ref="J272:S272" si="107">IF(ISBLANK(J162),J52,J162)</f>
        <v>0</v>
      </c>
      <c r="K272" s="112">
        <f t="shared" si="107"/>
        <v>0</v>
      </c>
      <c r="L272" s="112">
        <f t="shared" si="107"/>
        <v>0</v>
      </c>
      <c r="M272" s="112">
        <f t="shared" si="107"/>
        <v>0</v>
      </c>
      <c r="N272" s="112">
        <f t="shared" si="107"/>
        <v>0</v>
      </c>
      <c r="O272" s="112">
        <f t="shared" si="107"/>
        <v>0</v>
      </c>
      <c r="P272" s="112">
        <f t="shared" si="107"/>
        <v>0</v>
      </c>
      <c r="Q272" s="112">
        <f t="shared" si="107"/>
        <v>0</v>
      </c>
      <c r="R272" s="112">
        <f t="shared" si="107"/>
        <v>0</v>
      </c>
      <c r="S272" s="112">
        <f t="shared" si="107"/>
        <v>0</v>
      </c>
      <c r="T272" s="138"/>
      <c r="U272" s="112">
        <f>IFERROR(AVERAGE(O272:S272),0)</f>
        <v>0</v>
      </c>
      <c r="V272" s="112">
        <f>SUM(O272:S272)</f>
        <v>0</v>
      </c>
    </row>
    <row r="273" spans="3:22" hidden="1" outlineLevel="2" x14ac:dyDescent="0.35">
      <c r="E273" s="8" t="s">
        <v>225</v>
      </c>
      <c r="G273" s="22" t="s">
        <v>34</v>
      </c>
      <c r="J273" s="112">
        <f t="shared" ref="J273:S273" si="108">IF(ISBLANK(J163),J53,J163)</f>
        <v>0</v>
      </c>
      <c r="K273" s="112">
        <f t="shared" si="108"/>
        <v>0</v>
      </c>
      <c r="L273" s="112">
        <f t="shared" si="108"/>
        <v>0</v>
      </c>
      <c r="M273" s="112">
        <f t="shared" si="108"/>
        <v>0</v>
      </c>
      <c r="N273" s="112">
        <f t="shared" si="108"/>
        <v>0</v>
      </c>
      <c r="O273" s="112">
        <f t="shared" si="108"/>
        <v>0</v>
      </c>
      <c r="P273" s="112">
        <f t="shared" si="108"/>
        <v>0</v>
      </c>
      <c r="Q273" s="112">
        <f t="shared" si="108"/>
        <v>0</v>
      </c>
      <c r="R273" s="112">
        <f t="shared" si="108"/>
        <v>0</v>
      </c>
      <c r="S273" s="112">
        <f t="shared" si="108"/>
        <v>0</v>
      </c>
      <c r="T273" s="138"/>
      <c r="U273" s="112">
        <f>IFERROR(AVERAGE(O273:S273),0)</f>
        <v>0</v>
      </c>
      <c r="V273" s="112">
        <f>SUM(O273:S273)</f>
        <v>0</v>
      </c>
    </row>
    <row r="274" spans="3:22" hidden="1" outlineLevel="2" x14ac:dyDescent="0.35">
      <c r="E274" s="8" t="s">
        <v>99</v>
      </c>
      <c r="G274" s="22" t="s">
        <v>34</v>
      </c>
      <c r="J274" s="134">
        <f t="shared" ref="J274:S274" si="109">SUM(J272:J273)</f>
        <v>0</v>
      </c>
      <c r="K274" s="134">
        <f t="shared" si="109"/>
        <v>0</v>
      </c>
      <c r="L274" s="134">
        <f t="shared" si="109"/>
        <v>0</v>
      </c>
      <c r="M274" s="134">
        <f t="shared" si="109"/>
        <v>0</v>
      </c>
      <c r="N274" s="134">
        <f t="shared" si="109"/>
        <v>0</v>
      </c>
      <c r="O274" s="134">
        <f t="shared" si="109"/>
        <v>0</v>
      </c>
      <c r="P274" s="134">
        <f t="shared" si="109"/>
        <v>0</v>
      </c>
      <c r="Q274" s="134">
        <f t="shared" si="109"/>
        <v>0</v>
      </c>
      <c r="R274" s="134">
        <f t="shared" si="109"/>
        <v>0</v>
      </c>
      <c r="S274" s="134">
        <f t="shared" si="109"/>
        <v>0</v>
      </c>
      <c r="T274" s="138"/>
      <c r="U274" s="134">
        <f>SUM(U272:U273)</f>
        <v>0</v>
      </c>
      <c r="V274" s="134">
        <f>SUM(V272:V273)</f>
        <v>0</v>
      </c>
    </row>
    <row r="275" spans="3:22" hidden="1" outlineLevel="1" x14ac:dyDescent="0.35">
      <c r="J275" s="112"/>
      <c r="K275" s="112"/>
      <c r="L275" s="112"/>
      <c r="M275" s="112"/>
      <c r="N275" s="112"/>
      <c r="O275" s="112"/>
      <c r="P275" s="112"/>
      <c r="Q275" s="112"/>
      <c r="R275" s="112"/>
      <c r="S275" s="112"/>
      <c r="T275" s="138"/>
      <c r="U275" s="112"/>
      <c r="V275" s="112"/>
    </row>
    <row r="276" spans="3:22" hidden="1" outlineLevel="1" collapsed="1" x14ac:dyDescent="0.35">
      <c r="C276" s="24" t="str">
        <f>INDEX(InpC!$E$25:$E$42,G276)</f>
        <v>Yorkshire Water</v>
      </c>
      <c r="F276" s="113" t="str">
        <f>INDEX(InpC!$F$25:$F$42,G276,)</f>
        <v>YKY</v>
      </c>
      <c r="G276" s="8">
        <f>G166</f>
        <v>10</v>
      </c>
      <c r="J276" s="112"/>
      <c r="K276" s="112"/>
      <c r="L276" s="112"/>
      <c r="M276" s="112"/>
      <c r="N276" s="112"/>
      <c r="O276" s="112"/>
      <c r="P276" s="112"/>
      <c r="Q276" s="112"/>
      <c r="R276" s="112"/>
      <c r="S276" s="112"/>
      <c r="T276" s="138"/>
      <c r="U276" s="112"/>
      <c r="V276" s="112"/>
    </row>
    <row r="277" spans="3:22" hidden="1" outlineLevel="2" x14ac:dyDescent="0.35">
      <c r="E277" s="8" t="s">
        <v>224</v>
      </c>
      <c r="G277" s="22" t="s">
        <v>34</v>
      </c>
      <c r="J277" s="112">
        <f t="shared" ref="J277:S277" si="110">IF(ISBLANK(J169),J57,J169)</f>
        <v>0</v>
      </c>
      <c r="K277" s="112">
        <f t="shared" si="110"/>
        <v>0</v>
      </c>
      <c r="L277" s="112">
        <f t="shared" si="110"/>
        <v>0</v>
      </c>
      <c r="M277" s="112">
        <f t="shared" si="110"/>
        <v>0</v>
      </c>
      <c r="N277" s="112">
        <f t="shared" si="110"/>
        <v>0</v>
      </c>
      <c r="O277" s="112">
        <f t="shared" si="110"/>
        <v>0.8649</v>
      </c>
      <c r="P277" s="112">
        <f t="shared" si="110"/>
        <v>0.8649</v>
      </c>
      <c r="Q277" s="112">
        <f t="shared" si="110"/>
        <v>0.8649</v>
      </c>
      <c r="R277" s="112">
        <f t="shared" si="110"/>
        <v>0.8649</v>
      </c>
      <c r="S277" s="112">
        <f t="shared" si="110"/>
        <v>0.8649</v>
      </c>
      <c r="T277" s="138"/>
      <c r="U277" s="112">
        <f>IFERROR(AVERAGE(O277:S277),0)</f>
        <v>0.86490000000000011</v>
      </c>
      <c r="V277" s="112">
        <f>SUM(O277:S277)</f>
        <v>4.3245000000000005</v>
      </c>
    </row>
    <row r="278" spans="3:22" hidden="1" outlineLevel="2" x14ac:dyDescent="0.35">
      <c r="E278" s="8" t="s">
        <v>225</v>
      </c>
      <c r="G278" s="22" t="s">
        <v>34</v>
      </c>
      <c r="J278" s="112">
        <f t="shared" ref="J278:S278" si="111">IF(ISBLANK(J170),J58,J170)</f>
        <v>0</v>
      </c>
      <c r="K278" s="112">
        <f t="shared" si="111"/>
        <v>0</v>
      </c>
      <c r="L278" s="112">
        <f t="shared" si="111"/>
        <v>0</v>
      </c>
      <c r="M278" s="112">
        <f t="shared" si="111"/>
        <v>0</v>
      </c>
      <c r="N278" s="112">
        <f t="shared" si="111"/>
        <v>0</v>
      </c>
      <c r="O278" s="112">
        <f t="shared" si="111"/>
        <v>0.107</v>
      </c>
      <c r="P278" s="112">
        <f t="shared" si="111"/>
        <v>0.107</v>
      </c>
      <c r="Q278" s="112">
        <f t="shared" si="111"/>
        <v>0.107</v>
      </c>
      <c r="R278" s="112">
        <f t="shared" si="111"/>
        <v>0.107</v>
      </c>
      <c r="S278" s="112">
        <f t="shared" si="111"/>
        <v>0.107</v>
      </c>
      <c r="T278" s="138"/>
      <c r="U278" s="112">
        <f>IFERROR(AVERAGE(O278:S278),0)</f>
        <v>0.10700000000000001</v>
      </c>
      <c r="V278" s="112">
        <f>SUM(O278:S278)</f>
        <v>0.53500000000000003</v>
      </c>
    </row>
    <row r="279" spans="3:22" hidden="1" outlineLevel="2" x14ac:dyDescent="0.35">
      <c r="E279" s="8" t="s">
        <v>99</v>
      </c>
      <c r="G279" s="22" t="s">
        <v>34</v>
      </c>
      <c r="J279" s="134">
        <f t="shared" ref="J279:S279" si="112">SUM(J277:J278)</f>
        <v>0</v>
      </c>
      <c r="K279" s="134">
        <f t="shared" si="112"/>
        <v>0</v>
      </c>
      <c r="L279" s="134">
        <f t="shared" si="112"/>
        <v>0</v>
      </c>
      <c r="M279" s="134">
        <f t="shared" si="112"/>
        <v>0</v>
      </c>
      <c r="N279" s="134">
        <f t="shared" si="112"/>
        <v>0</v>
      </c>
      <c r="O279" s="134">
        <f t="shared" si="112"/>
        <v>0.97189999999999999</v>
      </c>
      <c r="P279" s="134">
        <f t="shared" si="112"/>
        <v>0.97189999999999999</v>
      </c>
      <c r="Q279" s="134">
        <f t="shared" si="112"/>
        <v>0.97189999999999999</v>
      </c>
      <c r="R279" s="134">
        <f t="shared" si="112"/>
        <v>0.97189999999999999</v>
      </c>
      <c r="S279" s="134">
        <f t="shared" si="112"/>
        <v>0.97189999999999999</v>
      </c>
      <c r="T279" s="138"/>
      <c r="U279" s="134">
        <f>SUM(U277:U278)</f>
        <v>0.9719000000000001</v>
      </c>
      <c r="V279" s="134">
        <f>SUM(V277:V278)</f>
        <v>4.8595000000000006</v>
      </c>
    </row>
    <row r="280" spans="3:22" hidden="1" outlineLevel="1" x14ac:dyDescent="0.35">
      <c r="J280" s="112"/>
      <c r="K280" s="112"/>
      <c r="L280" s="112"/>
      <c r="M280" s="112"/>
      <c r="N280" s="112"/>
      <c r="O280" s="112"/>
      <c r="P280" s="112"/>
      <c r="Q280" s="112"/>
      <c r="R280" s="112"/>
      <c r="S280" s="112"/>
      <c r="T280" s="138"/>
      <c r="U280" s="112"/>
      <c r="V280" s="112"/>
    </row>
    <row r="281" spans="3:22" hidden="1" outlineLevel="1" collapsed="1" x14ac:dyDescent="0.35">
      <c r="C281" s="24" t="str">
        <f>INDEX(InpC!$E$25:$E$42,G281)</f>
        <v>Affinity Water</v>
      </c>
      <c r="F281" s="113" t="str">
        <f>INDEX(InpC!$F$25:$F$42,G281,)</f>
        <v>AFW</v>
      </c>
      <c r="G281" s="8">
        <f>G173</f>
        <v>11</v>
      </c>
      <c r="J281" s="112"/>
      <c r="K281" s="112"/>
      <c r="L281" s="112"/>
      <c r="M281" s="112"/>
      <c r="N281" s="112"/>
      <c r="O281" s="112"/>
      <c r="P281" s="112"/>
      <c r="Q281" s="112"/>
      <c r="R281" s="112"/>
      <c r="S281" s="112"/>
      <c r="T281" s="138"/>
      <c r="U281" s="112"/>
      <c r="V281" s="112"/>
    </row>
    <row r="282" spans="3:22" hidden="1" outlineLevel="2" x14ac:dyDescent="0.35">
      <c r="E282" s="8" t="s">
        <v>224</v>
      </c>
      <c r="G282" s="22" t="s">
        <v>34</v>
      </c>
      <c r="J282" s="112">
        <f t="shared" ref="J282:S282" si="113">IF(ISBLANK(J176),J62,J176)</f>
        <v>0</v>
      </c>
      <c r="K282" s="112">
        <f t="shared" si="113"/>
        <v>3.0220994475138128E-2</v>
      </c>
      <c r="L282" s="112">
        <f t="shared" si="113"/>
        <v>1.2999999999999999E-2</v>
      </c>
      <c r="M282" s="112">
        <f t="shared" si="113"/>
        <v>7.0000000000000001E-3</v>
      </c>
      <c r="N282" s="112">
        <f t="shared" si="113"/>
        <v>1.4999999999999999E-2</v>
      </c>
      <c r="O282" s="112">
        <f t="shared" si="113"/>
        <v>1.4883305123981045E-2</v>
      </c>
      <c r="P282" s="112">
        <f t="shared" si="113"/>
        <v>1.4883305123981045E-2</v>
      </c>
      <c r="Q282" s="112">
        <f t="shared" si="113"/>
        <v>1.4883305123981045E-2</v>
      </c>
      <c r="R282" s="112">
        <f t="shared" si="113"/>
        <v>1.4883305123981045E-2</v>
      </c>
      <c r="S282" s="112">
        <f t="shared" si="113"/>
        <v>1.4883305123981045E-2</v>
      </c>
      <c r="T282" s="138"/>
      <c r="U282" s="112">
        <f>IFERROR(AVERAGE(O282:S282),0)</f>
        <v>1.4883305123981044E-2</v>
      </c>
      <c r="V282" s="112">
        <f>SUM(O282:S282)</f>
        <v>7.4416525619905222E-2</v>
      </c>
    </row>
    <row r="283" spans="3:22" hidden="1" outlineLevel="2" x14ac:dyDescent="0.35">
      <c r="E283" s="8" t="s">
        <v>225</v>
      </c>
      <c r="G283" s="22" t="s">
        <v>34</v>
      </c>
      <c r="J283" s="112">
        <f t="shared" ref="J283:S283" si="114">IF(ISBLANK(J177),J63,J177)</f>
        <v>0</v>
      </c>
      <c r="K283" s="112">
        <f t="shared" si="114"/>
        <v>0</v>
      </c>
      <c r="L283" s="112">
        <f t="shared" si="114"/>
        <v>0</v>
      </c>
      <c r="M283" s="112">
        <f t="shared" si="114"/>
        <v>0</v>
      </c>
      <c r="N283" s="112">
        <f t="shared" si="114"/>
        <v>0</v>
      </c>
      <c r="O283" s="112">
        <f t="shared" si="114"/>
        <v>0</v>
      </c>
      <c r="P283" s="112">
        <f t="shared" si="114"/>
        <v>0</v>
      </c>
      <c r="Q283" s="112">
        <f t="shared" si="114"/>
        <v>0</v>
      </c>
      <c r="R283" s="112">
        <f t="shared" si="114"/>
        <v>0</v>
      </c>
      <c r="S283" s="112">
        <f t="shared" si="114"/>
        <v>0</v>
      </c>
      <c r="T283" s="138"/>
      <c r="U283" s="112">
        <f>IFERROR(AVERAGE(O283:S283),0)</f>
        <v>0</v>
      </c>
      <c r="V283" s="112">
        <f>SUM(O283:S283)</f>
        <v>0</v>
      </c>
    </row>
    <row r="284" spans="3:22" hidden="1" outlineLevel="2" x14ac:dyDescent="0.35">
      <c r="E284" s="8" t="s">
        <v>99</v>
      </c>
      <c r="G284" s="22" t="s">
        <v>34</v>
      </c>
      <c r="J284" s="134">
        <f t="shared" ref="J284:S284" si="115">SUM(J282:J283)</f>
        <v>0</v>
      </c>
      <c r="K284" s="134">
        <f t="shared" si="115"/>
        <v>3.0220994475138128E-2</v>
      </c>
      <c r="L284" s="134">
        <f t="shared" si="115"/>
        <v>1.2999999999999999E-2</v>
      </c>
      <c r="M284" s="134">
        <f t="shared" si="115"/>
        <v>7.0000000000000001E-3</v>
      </c>
      <c r="N284" s="134">
        <f t="shared" si="115"/>
        <v>1.4999999999999999E-2</v>
      </c>
      <c r="O284" s="134">
        <f t="shared" si="115"/>
        <v>1.4883305123981045E-2</v>
      </c>
      <c r="P284" s="134">
        <f t="shared" si="115"/>
        <v>1.4883305123981045E-2</v>
      </c>
      <c r="Q284" s="134">
        <f t="shared" si="115"/>
        <v>1.4883305123981045E-2</v>
      </c>
      <c r="R284" s="134">
        <f t="shared" si="115"/>
        <v>1.4883305123981045E-2</v>
      </c>
      <c r="S284" s="134">
        <f t="shared" si="115"/>
        <v>1.4883305123981045E-2</v>
      </c>
      <c r="T284" s="138"/>
      <c r="U284" s="134">
        <f>SUM(U282:U283)</f>
        <v>1.4883305123981044E-2</v>
      </c>
      <c r="V284" s="134">
        <f>SUM(V282:V283)</f>
        <v>7.4416525619905222E-2</v>
      </c>
    </row>
    <row r="285" spans="3:22" hidden="1" outlineLevel="1" x14ac:dyDescent="0.35">
      <c r="J285" s="112"/>
      <c r="K285" s="112"/>
      <c r="L285" s="112"/>
      <c r="M285" s="112"/>
      <c r="N285" s="112"/>
      <c r="O285" s="112"/>
      <c r="P285" s="112"/>
      <c r="Q285" s="112"/>
      <c r="R285" s="112"/>
      <c r="S285" s="112"/>
      <c r="T285" s="138"/>
      <c r="U285" s="112"/>
      <c r="V285" s="112"/>
    </row>
    <row r="286" spans="3:22" hidden="1" outlineLevel="1" collapsed="1" x14ac:dyDescent="0.35">
      <c r="C286" s="24" t="str">
        <f>INDEX(InpC!$E$25:$E$42,G286)</f>
        <v>Portsmouth Water</v>
      </c>
      <c r="F286" s="113" t="str">
        <f>INDEX(InpC!$F$25:$F$42,G286,)</f>
        <v>PRT</v>
      </c>
      <c r="G286" s="8">
        <f>G180</f>
        <v>12</v>
      </c>
      <c r="J286" s="112"/>
      <c r="K286" s="112"/>
      <c r="L286" s="112"/>
      <c r="M286" s="112"/>
      <c r="N286" s="112"/>
      <c r="O286" s="112"/>
      <c r="P286" s="112"/>
      <c r="Q286" s="112"/>
      <c r="R286" s="112"/>
      <c r="S286" s="112"/>
      <c r="T286" s="138"/>
      <c r="U286" s="112"/>
      <c r="V286" s="112"/>
    </row>
    <row r="287" spans="3:22" hidden="1" outlineLevel="2" x14ac:dyDescent="0.35">
      <c r="E287" s="8" t="s">
        <v>224</v>
      </c>
      <c r="G287" s="22" t="s">
        <v>34</v>
      </c>
      <c r="J287" s="112">
        <f t="shared" ref="J287:S287" si="116">IF(ISBLANK(J183),J67,J183)</f>
        <v>0</v>
      </c>
      <c r="K287" s="112">
        <f t="shared" si="116"/>
        <v>0</v>
      </c>
      <c r="L287" s="112">
        <f t="shared" si="116"/>
        <v>0</v>
      </c>
      <c r="M287" s="112">
        <f t="shared" si="116"/>
        <v>0.15159137577002049</v>
      </c>
      <c r="N287" s="112">
        <f t="shared" si="116"/>
        <v>0.15</v>
      </c>
      <c r="O287" s="112">
        <f t="shared" si="116"/>
        <v>0.20200000000000001</v>
      </c>
      <c r="P287" s="112">
        <f t="shared" si="116"/>
        <v>0.20399999999999999</v>
      </c>
      <c r="Q287" s="112">
        <f t="shared" si="116"/>
        <v>0.20200000000000001</v>
      </c>
      <c r="R287" s="112">
        <f t="shared" si="116"/>
        <v>0.20200000000000001</v>
      </c>
      <c r="S287" s="112">
        <f t="shared" si="116"/>
        <v>0.20200000000000001</v>
      </c>
      <c r="T287" s="138"/>
      <c r="U287" s="112">
        <f>IFERROR(AVERAGE(O287:S287),0)</f>
        <v>0.2024</v>
      </c>
      <c r="V287" s="112">
        <f>SUM(O287:S287)</f>
        <v>1.012</v>
      </c>
    </row>
    <row r="288" spans="3:22" hidden="1" outlineLevel="2" x14ac:dyDescent="0.35">
      <c r="E288" s="8" t="s">
        <v>225</v>
      </c>
      <c r="G288" s="22" t="s">
        <v>34</v>
      </c>
      <c r="J288" s="112">
        <f t="shared" ref="J288:S288" si="117">IF(ISBLANK(J184),J68,J184)</f>
        <v>0</v>
      </c>
      <c r="K288" s="112">
        <f t="shared" si="117"/>
        <v>0</v>
      </c>
      <c r="L288" s="112">
        <f t="shared" si="117"/>
        <v>0</v>
      </c>
      <c r="M288" s="112">
        <f t="shared" si="117"/>
        <v>0</v>
      </c>
      <c r="N288" s="112">
        <f t="shared" si="117"/>
        <v>0</v>
      </c>
      <c r="O288" s="112">
        <f t="shared" si="117"/>
        <v>0</v>
      </c>
      <c r="P288" s="112">
        <f t="shared" si="117"/>
        <v>0</v>
      </c>
      <c r="Q288" s="112">
        <f t="shared" si="117"/>
        <v>0</v>
      </c>
      <c r="R288" s="112">
        <f t="shared" si="117"/>
        <v>0</v>
      </c>
      <c r="S288" s="112">
        <f t="shared" si="117"/>
        <v>0</v>
      </c>
      <c r="T288" s="138"/>
      <c r="U288" s="112">
        <f>IFERROR(AVERAGE(O288:S288),0)</f>
        <v>0</v>
      </c>
      <c r="V288" s="112">
        <f>SUM(O288:S288)</f>
        <v>0</v>
      </c>
    </row>
    <row r="289" spans="3:22" hidden="1" outlineLevel="2" x14ac:dyDescent="0.35">
      <c r="E289" s="8" t="s">
        <v>99</v>
      </c>
      <c r="G289" s="22" t="s">
        <v>34</v>
      </c>
      <c r="J289" s="134">
        <f t="shared" ref="J289:S289" si="118">SUM(J287:J288)</f>
        <v>0</v>
      </c>
      <c r="K289" s="134">
        <f t="shared" si="118"/>
        <v>0</v>
      </c>
      <c r="L289" s="134">
        <f t="shared" si="118"/>
        <v>0</v>
      </c>
      <c r="M289" s="134">
        <f t="shared" si="118"/>
        <v>0.15159137577002049</v>
      </c>
      <c r="N289" s="134">
        <f t="shared" si="118"/>
        <v>0.15</v>
      </c>
      <c r="O289" s="134">
        <f t="shared" si="118"/>
        <v>0.20200000000000001</v>
      </c>
      <c r="P289" s="134">
        <f t="shared" si="118"/>
        <v>0.20399999999999999</v>
      </c>
      <c r="Q289" s="134">
        <f t="shared" si="118"/>
        <v>0.20200000000000001</v>
      </c>
      <c r="R289" s="134">
        <f t="shared" si="118"/>
        <v>0.20200000000000001</v>
      </c>
      <c r="S289" s="134">
        <f t="shared" si="118"/>
        <v>0.20200000000000001</v>
      </c>
      <c r="T289" s="138"/>
      <c r="U289" s="134">
        <f>SUM(U287:U288)</f>
        <v>0.2024</v>
      </c>
      <c r="V289" s="134">
        <f>SUM(V287:V288)</f>
        <v>1.012</v>
      </c>
    </row>
    <row r="290" spans="3:22" hidden="1" outlineLevel="1" x14ac:dyDescent="0.35">
      <c r="J290" s="112"/>
      <c r="K290" s="112"/>
      <c r="L290" s="112"/>
      <c r="M290" s="112"/>
      <c r="N290" s="112"/>
      <c r="O290" s="112"/>
      <c r="P290" s="112"/>
      <c r="Q290" s="112"/>
      <c r="R290" s="112"/>
      <c r="S290" s="112"/>
      <c r="T290" s="138"/>
      <c r="U290" s="112"/>
      <c r="V290" s="112"/>
    </row>
    <row r="291" spans="3:22" hidden="1" outlineLevel="1" collapsed="1" x14ac:dyDescent="0.35">
      <c r="C291" s="24" t="str">
        <f>INDEX(InpC!$E$25:$E$42,G291)</f>
        <v>South East Water</v>
      </c>
      <c r="F291" s="113" t="str">
        <f>INDEX(InpC!$F$25:$F$42,G291,)</f>
        <v>SEW</v>
      </c>
      <c r="G291" s="8">
        <f>G187</f>
        <v>13</v>
      </c>
      <c r="J291" s="112"/>
      <c r="K291" s="112"/>
      <c r="L291" s="112"/>
      <c r="M291" s="112"/>
      <c r="N291" s="112"/>
      <c r="O291" s="112"/>
      <c r="P291" s="112"/>
      <c r="Q291" s="112"/>
      <c r="R291" s="112"/>
      <c r="S291" s="112"/>
      <c r="T291" s="138"/>
      <c r="U291" s="112"/>
      <c r="V291" s="112"/>
    </row>
    <row r="292" spans="3:22" hidden="1" outlineLevel="2" x14ac:dyDescent="0.35">
      <c r="E292" s="8" t="s">
        <v>224</v>
      </c>
      <c r="G292" s="22" t="s">
        <v>34</v>
      </c>
      <c r="J292" s="112">
        <f t="shared" ref="J292:S292" si="119">IF(ISBLANK(J190),J72,J190)</f>
        <v>7.2592523364485975E-2</v>
      </c>
      <c r="K292" s="112">
        <f t="shared" si="119"/>
        <v>0.19341436464088402</v>
      </c>
      <c r="L292" s="112">
        <f t="shared" si="119"/>
        <v>0.109</v>
      </c>
      <c r="M292" s="112">
        <f t="shared" si="119"/>
        <v>0.3695040310471483</v>
      </c>
      <c r="N292" s="112">
        <f t="shared" si="119"/>
        <v>0.48036680478063809</v>
      </c>
      <c r="O292" s="112">
        <f t="shared" si="119"/>
        <v>0.44837453415177458</v>
      </c>
      <c r="P292" s="112">
        <f t="shared" si="119"/>
        <v>0.44837453415177458</v>
      </c>
      <c r="Q292" s="112">
        <f t="shared" si="119"/>
        <v>0.44837453415177458</v>
      </c>
      <c r="R292" s="112">
        <f t="shared" si="119"/>
        <v>0.44837453415177458</v>
      </c>
      <c r="S292" s="112">
        <f t="shared" si="119"/>
        <v>0.44837453415177458</v>
      </c>
      <c r="T292" s="138"/>
      <c r="U292" s="112">
        <f>IFERROR(AVERAGE(O292:S292),0)</f>
        <v>0.44837453415177453</v>
      </c>
      <c r="V292" s="112">
        <f>SUM(O292:S292)</f>
        <v>2.2418726707588728</v>
      </c>
    </row>
    <row r="293" spans="3:22" hidden="1" outlineLevel="2" x14ac:dyDescent="0.35">
      <c r="E293" s="8" t="s">
        <v>225</v>
      </c>
      <c r="G293" s="22" t="s">
        <v>34</v>
      </c>
      <c r="J293" s="112">
        <f t="shared" ref="J293:S293" si="120">IF(ISBLANK(J191),J73,J191)</f>
        <v>0</v>
      </c>
      <c r="K293" s="112">
        <f t="shared" si="120"/>
        <v>0</v>
      </c>
      <c r="L293" s="112">
        <f t="shared" si="120"/>
        <v>0</v>
      </c>
      <c r="M293" s="112">
        <f t="shared" si="120"/>
        <v>0</v>
      </c>
      <c r="N293" s="112">
        <f t="shared" si="120"/>
        <v>0</v>
      </c>
      <c r="O293" s="112">
        <f t="shared" si="120"/>
        <v>0</v>
      </c>
      <c r="P293" s="112">
        <f t="shared" si="120"/>
        <v>0</v>
      </c>
      <c r="Q293" s="112">
        <f t="shared" si="120"/>
        <v>0</v>
      </c>
      <c r="R293" s="112">
        <f t="shared" si="120"/>
        <v>0</v>
      </c>
      <c r="S293" s="112">
        <f t="shared" si="120"/>
        <v>0</v>
      </c>
      <c r="T293" s="138"/>
      <c r="U293" s="112">
        <f>IFERROR(AVERAGE(O293:S293),0)</f>
        <v>0</v>
      </c>
      <c r="V293" s="112">
        <f>SUM(O293:S293)</f>
        <v>0</v>
      </c>
    </row>
    <row r="294" spans="3:22" hidden="1" outlineLevel="2" x14ac:dyDescent="0.35">
      <c r="E294" s="8" t="s">
        <v>99</v>
      </c>
      <c r="G294" s="22" t="s">
        <v>34</v>
      </c>
      <c r="J294" s="134">
        <f t="shared" ref="J294:S294" si="121">SUM(J292:J293)</f>
        <v>7.2592523364485975E-2</v>
      </c>
      <c r="K294" s="134">
        <f t="shared" si="121"/>
        <v>0.19341436464088402</v>
      </c>
      <c r="L294" s="134">
        <f t="shared" si="121"/>
        <v>0.109</v>
      </c>
      <c r="M294" s="134">
        <f t="shared" si="121"/>
        <v>0.3695040310471483</v>
      </c>
      <c r="N294" s="134">
        <f t="shared" si="121"/>
        <v>0.48036680478063809</v>
      </c>
      <c r="O294" s="134">
        <f t="shared" si="121"/>
        <v>0.44837453415177458</v>
      </c>
      <c r="P294" s="134">
        <f t="shared" si="121"/>
        <v>0.44837453415177458</v>
      </c>
      <c r="Q294" s="134">
        <f t="shared" si="121"/>
        <v>0.44837453415177458</v>
      </c>
      <c r="R294" s="134">
        <f t="shared" si="121"/>
        <v>0.44837453415177458</v>
      </c>
      <c r="S294" s="134">
        <f t="shared" si="121"/>
        <v>0.44837453415177458</v>
      </c>
      <c r="T294" s="138"/>
      <c r="U294" s="134">
        <f>SUM(U292:U293)</f>
        <v>0.44837453415177453</v>
      </c>
      <c r="V294" s="134">
        <f>SUM(V292:V293)</f>
        <v>2.2418726707588728</v>
      </c>
    </row>
    <row r="295" spans="3:22" hidden="1" outlineLevel="1" x14ac:dyDescent="0.35">
      <c r="J295" s="112"/>
      <c r="K295" s="112"/>
      <c r="L295" s="112"/>
      <c r="M295" s="112"/>
      <c r="N295" s="112"/>
      <c r="O295" s="112"/>
      <c r="P295" s="112"/>
      <c r="Q295" s="112"/>
      <c r="R295" s="112"/>
      <c r="S295" s="112"/>
      <c r="T295" s="138"/>
      <c r="U295" s="112"/>
      <c r="V295" s="112"/>
    </row>
    <row r="296" spans="3:22" hidden="1" outlineLevel="1" collapsed="1" x14ac:dyDescent="0.35">
      <c r="C296" s="24" t="str">
        <f>INDEX(InpC!$E$25:$E$42,G296)</f>
        <v>South Staffs Water</v>
      </c>
      <c r="F296" s="113" t="str">
        <f>INDEX(InpC!$F$25:$F$42,G296,)</f>
        <v>SSC</v>
      </c>
      <c r="G296" s="8">
        <f>G194</f>
        <v>14</v>
      </c>
      <c r="J296" s="112"/>
      <c r="K296" s="112"/>
      <c r="L296" s="112"/>
      <c r="M296" s="112"/>
      <c r="N296" s="112"/>
      <c r="O296" s="112"/>
      <c r="P296" s="112"/>
      <c r="Q296" s="112"/>
      <c r="R296" s="112"/>
      <c r="S296" s="112"/>
      <c r="T296" s="138"/>
      <c r="U296" s="112"/>
      <c r="V296" s="112"/>
    </row>
    <row r="297" spans="3:22" hidden="1" outlineLevel="2" x14ac:dyDescent="0.35">
      <c r="E297" s="8" t="s">
        <v>224</v>
      </c>
      <c r="G297" s="22" t="s">
        <v>34</v>
      </c>
      <c r="J297" s="112">
        <f t="shared" ref="J297:S297" si="122">IF(ISBLANK(J197),J77,J197)</f>
        <v>0.22902429906542057</v>
      </c>
      <c r="K297" s="112">
        <f t="shared" si="122"/>
        <v>0.27299631675874775</v>
      </c>
      <c r="L297" s="112">
        <f t="shared" si="122"/>
        <v>0.253</v>
      </c>
      <c r="M297" s="112">
        <f t="shared" si="122"/>
        <v>0.253</v>
      </c>
      <c r="N297" s="112">
        <f t="shared" si="122"/>
        <v>0.253</v>
      </c>
      <c r="O297" s="112">
        <f t="shared" si="122"/>
        <v>0.253</v>
      </c>
      <c r="P297" s="112">
        <f t="shared" si="122"/>
        <v>0.253</v>
      </c>
      <c r="Q297" s="112">
        <f t="shared" si="122"/>
        <v>0.253</v>
      </c>
      <c r="R297" s="112">
        <f t="shared" si="122"/>
        <v>0.253</v>
      </c>
      <c r="S297" s="112">
        <f t="shared" si="122"/>
        <v>0.253</v>
      </c>
      <c r="T297" s="138"/>
      <c r="U297" s="112">
        <f>IFERROR(AVERAGE(O297:S297),0)</f>
        <v>0.253</v>
      </c>
      <c r="V297" s="112">
        <f>SUM(O297:S297)</f>
        <v>1.2650000000000001</v>
      </c>
    </row>
    <row r="298" spans="3:22" hidden="1" outlineLevel="2" x14ac:dyDescent="0.35">
      <c r="E298" s="8" t="s">
        <v>225</v>
      </c>
      <c r="G298" s="22" t="s">
        <v>34</v>
      </c>
      <c r="J298" s="112">
        <f t="shared" ref="J298:S298" si="123">IF(ISBLANK(J198),J78,J198)</f>
        <v>0</v>
      </c>
      <c r="K298" s="112">
        <f t="shared" si="123"/>
        <v>0</v>
      </c>
      <c r="L298" s="112">
        <f t="shared" si="123"/>
        <v>0</v>
      </c>
      <c r="M298" s="112">
        <f t="shared" si="123"/>
        <v>0</v>
      </c>
      <c r="N298" s="112">
        <f t="shared" si="123"/>
        <v>0</v>
      </c>
      <c r="O298" s="112">
        <f t="shared" si="123"/>
        <v>0</v>
      </c>
      <c r="P298" s="112">
        <f t="shared" si="123"/>
        <v>0</v>
      </c>
      <c r="Q298" s="112">
        <f t="shared" si="123"/>
        <v>0</v>
      </c>
      <c r="R298" s="112">
        <f t="shared" si="123"/>
        <v>0</v>
      </c>
      <c r="S298" s="112">
        <f t="shared" si="123"/>
        <v>0</v>
      </c>
      <c r="T298" s="138"/>
      <c r="U298" s="112">
        <f>IFERROR(AVERAGE(O298:S298),0)</f>
        <v>0</v>
      </c>
      <c r="V298" s="112">
        <f>SUM(O298:S298)</f>
        <v>0</v>
      </c>
    </row>
    <row r="299" spans="3:22" hidden="1" outlineLevel="2" x14ac:dyDescent="0.35">
      <c r="E299" s="8" t="s">
        <v>99</v>
      </c>
      <c r="G299" s="22" t="s">
        <v>34</v>
      </c>
      <c r="J299" s="134">
        <f t="shared" ref="J299:S299" si="124">SUM(J297:J298)</f>
        <v>0.22902429906542057</v>
      </c>
      <c r="K299" s="134">
        <f t="shared" si="124"/>
        <v>0.27299631675874775</v>
      </c>
      <c r="L299" s="134">
        <f t="shared" si="124"/>
        <v>0.253</v>
      </c>
      <c r="M299" s="134">
        <f t="shared" si="124"/>
        <v>0.253</v>
      </c>
      <c r="N299" s="134">
        <f t="shared" si="124"/>
        <v>0.253</v>
      </c>
      <c r="O299" s="134">
        <f t="shared" si="124"/>
        <v>0.253</v>
      </c>
      <c r="P299" s="134">
        <f t="shared" si="124"/>
        <v>0.253</v>
      </c>
      <c r="Q299" s="134">
        <f t="shared" si="124"/>
        <v>0.253</v>
      </c>
      <c r="R299" s="134">
        <f t="shared" si="124"/>
        <v>0.253</v>
      </c>
      <c r="S299" s="134">
        <f t="shared" si="124"/>
        <v>0.253</v>
      </c>
      <c r="T299" s="138"/>
      <c r="U299" s="134">
        <f>SUM(U297:U298)</f>
        <v>0.253</v>
      </c>
      <c r="V299" s="134">
        <f>SUM(V297:V298)</f>
        <v>1.2650000000000001</v>
      </c>
    </row>
    <row r="300" spans="3:22" hidden="1" outlineLevel="1" x14ac:dyDescent="0.35">
      <c r="J300" s="112"/>
      <c r="K300" s="112"/>
      <c r="L300" s="112"/>
      <c r="M300" s="112"/>
      <c r="N300" s="112"/>
      <c r="O300" s="112"/>
      <c r="P300" s="112"/>
      <c r="Q300" s="112"/>
      <c r="R300" s="112"/>
      <c r="S300" s="112"/>
      <c r="T300" s="138"/>
      <c r="U300" s="112"/>
      <c r="V300" s="112"/>
    </row>
    <row r="301" spans="3:22" hidden="1" outlineLevel="1" collapsed="1" x14ac:dyDescent="0.35">
      <c r="C301" s="24" t="str">
        <f>INDEX(InpC!$E$25:$E$42,G301)</f>
        <v>SES Water</v>
      </c>
      <c r="F301" s="113" t="str">
        <f>INDEX(InpC!$F$25:$F$42,G301,)</f>
        <v>SES</v>
      </c>
      <c r="G301" s="8">
        <f>G201</f>
        <v>15</v>
      </c>
      <c r="J301" s="112"/>
      <c r="K301" s="112"/>
      <c r="L301" s="112"/>
      <c r="M301" s="112"/>
      <c r="N301" s="112"/>
      <c r="O301" s="112"/>
      <c r="P301" s="112"/>
      <c r="Q301" s="112"/>
      <c r="R301" s="112"/>
      <c r="S301" s="112"/>
      <c r="T301" s="138"/>
      <c r="U301" s="112"/>
      <c r="V301" s="112"/>
    </row>
    <row r="302" spans="3:22" hidden="1" outlineLevel="2" x14ac:dyDescent="0.35">
      <c r="E302" s="8" t="s">
        <v>224</v>
      </c>
      <c r="G302" s="22" t="s">
        <v>34</v>
      </c>
      <c r="J302" s="112">
        <f t="shared" ref="J302:S302" si="125">IF(ISBLANK(J204),J82,J204)</f>
        <v>0</v>
      </c>
      <c r="K302" s="112">
        <f t="shared" si="125"/>
        <v>0</v>
      </c>
      <c r="L302" s="112">
        <f t="shared" si="125"/>
        <v>0</v>
      </c>
      <c r="M302" s="112">
        <f t="shared" si="125"/>
        <v>0</v>
      </c>
      <c r="N302" s="112">
        <f t="shared" si="125"/>
        <v>0</v>
      </c>
      <c r="O302" s="112">
        <f t="shared" si="125"/>
        <v>0</v>
      </c>
      <c r="P302" s="112">
        <f t="shared" si="125"/>
        <v>0</v>
      </c>
      <c r="Q302" s="112">
        <f t="shared" si="125"/>
        <v>0</v>
      </c>
      <c r="R302" s="112">
        <f t="shared" si="125"/>
        <v>0</v>
      </c>
      <c r="S302" s="112">
        <f t="shared" si="125"/>
        <v>0</v>
      </c>
      <c r="T302" s="138"/>
      <c r="U302" s="112">
        <f>IFERROR(AVERAGE(O302:S302),0)</f>
        <v>0</v>
      </c>
      <c r="V302" s="112">
        <f>SUM(O302:S302)</f>
        <v>0</v>
      </c>
    </row>
    <row r="303" spans="3:22" hidden="1" outlineLevel="2" x14ac:dyDescent="0.35">
      <c r="E303" s="8" t="s">
        <v>225</v>
      </c>
      <c r="G303" s="22" t="s">
        <v>34</v>
      </c>
      <c r="J303" s="112">
        <f t="shared" ref="J303:S303" si="126">IF(ISBLANK(J205),J83,J205)</f>
        <v>0</v>
      </c>
      <c r="K303" s="112">
        <f t="shared" si="126"/>
        <v>0</v>
      </c>
      <c r="L303" s="112">
        <f t="shared" si="126"/>
        <v>0</v>
      </c>
      <c r="M303" s="112">
        <f t="shared" si="126"/>
        <v>0</v>
      </c>
      <c r="N303" s="112">
        <f t="shared" si="126"/>
        <v>0</v>
      </c>
      <c r="O303" s="112">
        <f t="shared" si="126"/>
        <v>0</v>
      </c>
      <c r="P303" s="112">
        <f t="shared" si="126"/>
        <v>0</v>
      </c>
      <c r="Q303" s="112">
        <f t="shared" si="126"/>
        <v>0</v>
      </c>
      <c r="R303" s="112">
        <f t="shared" si="126"/>
        <v>0</v>
      </c>
      <c r="S303" s="112">
        <f t="shared" si="126"/>
        <v>0</v>
      </c>
      <c r="T303" s="138"/>
      <c r="U303" s="112">
        <f>IFERROR(AVERAGE(O303:S303),0)</f>
        <v>0</v>
      </c>
      <c r="V303" s="112">
        <f>SUM(O303:S303)</f>
        <v>0</v>
      </c>
    </row>
    <row r="304" spans="3:22" hidden="1" outlineLevel="2" x14ac:dyDescent="0.35">
      <c r="E304" s="8" t="s">
        <v>99</v>
      </c>
      <c r="G304" s="22" t="s">
        <v>34</v>
      </c>
      <c r="J304" s="134">
        <f t="shared" ref="J304:S304" si="127">SUM(J302:J303)</f>
        <v>0</v>
      </c>
      <c r="K304" s="134">
        <f t="shared" si="127"/>
        <v>0</v>
      </c>
      <c r="L304" s="134">
        <f t="shared" si="127"/>
        <v>0</v>
      </c>
      <c r="M304" s="134">
        <f t="shared" si="127"/>
        <v>0</v>
      </c>
      <c r="N304" s="134">
        <f t="shared" si="127"/>
        <v>0</v>
      </c>
      <c r="O304" s="134">
        <f t="shared" si="127"/>
        <v>0</v>
      </c>
      <c r="P304" s="134">
        <f t="shared" si="127"/>
        <v>0</v>
      </c>
      <c r="Q304" s="134">
        <f t="shared" si="127"/>
        <v>0</v>
      </c>
      <c r="R304" s="134">
        <f t="shared" si="127"/>
        <v>0</v>
      </c>
      <c r="S304" s="134">
        <f t="shared" si="127"/>
        <v>0</v>
      </c>
      <c r="T304" s="138"/>
      <c r="U304" s="134">
        <f>SUM(U302:U303)</f>
        <v>0</v>
      </c>
      <c r="V304" s="134">
        <f>SUM(V302:V303)</f>
        <v>0</v>
      </c>
    </row>
    <row r="305" spans="3:22" hidden="1" outlineLevel="1" x14ac:dyDescent="0.35">
      <c r="J305" s="112"/>
      <c r="K305" s="112"/>
      <c r="L305" s="112"/>
      <c r="M305" s="112"/>
      <c r="N305" s="112"/>
      <c r="O305" s="112"/>
      <c r="P305" s="112"/>
      <c r="Q305" s="112"/>
      <c r="R305" s="112"/>
      <c r="S305" s="112"/>
      <c r="T305" s="138"/>
      <c r="U305" s="112"/>
      <c r="V305" s="112"/>
    </row>
    <row r="306" spans="3:22" hidden="1" outlineLevel="1" collapsed="1" x14ac:dyDescent="0.35">
      <c r="C306" s="24" t="str">
        <f>INDEX(InpC!$E$25:$E$42,G306)</f>
        <v>South West Water</v>
      </c>
      <c r="F306" s="113" t="str">
        <f>INDEX(InpC!$F$25:$F$42,G306,)</f>
        <v>SWB</v>
      </c>
      <c r="G306" s="8">
        <f>G208</f>
        <v>16</v>
      </c>
      <c r="J306" s="112"/>
      <c r="K306" s="112"/>
      <c r="L306" s="112"/>
      <c r="M306" s="112"/>
      <c r="N306" s="112"/>
      <c r="O306" s="112"/>
      <c r="P306" s="112"/>
      <c r="Q306" s="112"/>
      <c r="R306" s="112"/>
      <c r="S306" s="112"/>
      <c r="T306" s="138"/>
      <c r="U306" s="112"/>
      <c r="V306" s="112"/>
    </row>
    <row r="307" spans="3:22" hidden="1" outlineLevel="2" x14ac:dyDescent="0.35">
      <c r="E307" s="8" t="s">
        <v>224</v>
      </c>
      <c r="G307" s="22" t="s">
        <v>34</v>
      </c>
      <c r="J307" s="112">
        <f t="shared" ref="J307:S307" si="128">IF(ISBLANK(J211),J87,J211)</f>
        <v>0</v>
      </c>
      <c r="K307" s="112">
        <f t="shared" si="128"/>
        <v>0</v>
      </c>
      <c r="L307" s="112">
        <f t="shared" si="128"/>
        <v>0</v>
      </c>
      <c r="M307" s="112">
        <f t="shared" si="128"/>
        <v>0</v>
      </c>
      <c r="N307" s="112">
        <f t="shared" si="128"/>
        <v>0</v>
      </c>
      <c r="O307" s="112">
        <f t="shared" si="128"/>
        <v>0</v>
      </c>
      <c r="P307" s="112">
        <f t="shared" si="128"/>
        <v>0</v>
      </c>
      <c r="Q307" s="112">
        <f t="shared" si="128"/>
        <v>0</v>
      </c>
      <c r="R307" s="112">
        <f t="shared" si="128"/>
        <v>0</v>
      </c>
      <c r="S307" s="112">
        <f t="shared" si="128"/>
        <v>0</v>
      </c>
      <c r="T307" s="138"/>
      <c r="U307" s="112">
        <f>IFERROR(AVERAGE(O307:S307),0)</f>
        <v>0</v>
      </c>
      <c r="V307" s="112">
        <f>SUM(O307:S307)</f>
        <v>0</v>
      </c>
    </row>
    <row r="308" spans="3:22" hidden="1" outlineLevel="2" x14ac:dyDescent="0.35">
      <c r="E308" s="8" t="s">
        <v>225</v>
      </c>
      <c r="G308" s="22" t="s">
        <v>34</v>
      </c>
      <c r="J308" s="112">
        <f t="shared" ref="J308:S308" si="129">IF(ISBLANK(J212),J88,J212)</f>
        <v>0</v>
      </c>
      <c r="K308" s="112">
        <f t="shared" si="129"/>
        <v>0</v>
      </c>
      <c r="L308" s="112">
        <f t="shared" si="129"/>
        <v>0</v>
      </c>
      <c r="M308" s="112">
        <f t="shared" si="129"/>
        <v>0</v>
      </c>
      <c r="N308" s="112">
        <f t="shared" si="129"/>
        <v>0</v>
      </c>
      <c r="O308" s="112">
        <f t="shared" si="129"/>
        <v>0</v>
      </c>
      <c r="P308" s="112">
        <f t="shared" si="129"/>
        <v>0</v>
      </c>
      <c r="Q308" s="112">
        <f t="shared" si="129"/>
        <v>0</v>
      </c>
      <c r="R308" s="112">
        <f t="shared" si="129"/>
        <v>0</v>
      </c>
      <c r="S308" s="112">
        <f t="shared" si="129"/>
        <v>0</v>
      </c>
      <c r="T308" s="138"/>
      <c r="U308" s="112">
        <f>IFERROR(AVERAGE(O308:S308),0)</f>
        <v>0</v>
      </c>
      <c r="V308" s="112">
        <f>SUM(O308:S308)</f>
        <v>0</v>
      </c>
    </row>
    <row r="309" spans="3:22" hidden="1" outlineLevel="2" x14ac:dyDescent="0.35">
      <c r="E309" s="8" t="s">
        <v>99</v>
      </c>
      <c r="G309" s="22" t="s">
        <v>34</v>
      </c>
      <c r="J309" s="134">
        <f t="shared" ref="J309:S309" si="130">SUM(J307:J308)</f>
        <v>0</v>
      </c>
      <c r="K309" s="134">
        <f t="shared" si="130"/>
        <v>0</v>
      </c>
      <c r="L309" s="134">
        <f t="shared" si="130"/>
        <v>0</v>
      </c>
      <c r="M309" s="134">
        <f t="shared" si="130"/>
        <v>0</v>
      </c>
      <c r="N309" s="134">
        <f t="shared" si="130"/>
        <v>0</v>
      </c>
      <c r="O309" s="134">
        <f t="shared" si="130"/>
        <v>0</v>
      </c>
      <c r="P309" s="134">
        <f t="shared" si="130"/>
        <v>0</v>
      </c>
      <c r="Q309" s="134">
        <f t="shared" si="130"/>
        <v>0</v>
      </c>
      <c r="R309" s="134">
        <f t="shared" si="130"/>
        <v>0</v>
      </c>
      <c r="S309" s="134">
        <f t="shared" si="130"/>
        <v>0</v>
      </c>
      <c r="T309" s="138"/>
      <c r="U309" s="134">
        <f>SUM(U307:U308)</f>
        <v>0</v>
      </c>
      <c r="V309" s="134">
        <f>SUM(V307:V308)</f>
        <v>0</v>
      </c>
    </row>
    <row r="310" spans="3:22" hidden="1" outlineLevel="1" x14ac:dyDescent="0.35">
      <c r="J310" s="112"/>
      <c r="K310" s="112"/>
      <c r="L310" s="112"/>
      <c r="M310" s="112"/>
      <c r="N310" s="112"/>
      <c r="O310" s="112"/>
      <c r="P310" s="112"/>
      <c r="Q310" s="112"/>
      <c r="R310" s="112"/>
      <c r="S310" s="112"/>
      <c r="T310" s="138"/>
      <c r="U310" s="112"/>
      <c r="V310" s="112"/>
    </row>
    <row r="311" spans="3:22" hidden="1" outlineLevel="1" collapsed="1" x14ac:dyDescent="0.35">
      <c r="C311" s="24" t="str">
        <f>INDEX(InpC!$E$25:$E$42,G311)</f>
        <v>Bristol Water</v>
      </c>
      <c r="F311" s="113" t="str">
        <f>INDEX(InpC!$F$25:$F$42,G311,)</f>
        <v>BRL</v>
      </c>
      <c r="G311" s="8">
        <f>G215</f>
        <v>17</v>
      </c>
      <c r="J311" s="112"/>
      <c r="K311" s="112"/>
      <c r="L311" s="112"/>
      <c r="M311" s="112"/>
      <c r="N311" s="112"/>
      <c r="O311" s="112"/>
      <c r="P311" s="112"/>
      <c r="Q311" s="112"/>
      <c r="R311" s="112"/>
      <c r="S311" s="112"/>
      <c r="T311" s="138"/>
      <c r="U311" s="112"/>
      <c r="V311" s="112"/>
    </row>
    <row r="312" spans="3:22" hidden="1" outlineLevel="2" x14ac:dyDescent="0.35">
      <c r="E312" s="8" t="s">
        <v>224</v>
      </c>
      <c r="G312" s="22" t="s">
        <v>34</v>
      </c>
      <c r="J312" s="112">
        <f t="shared" ref="J312:S312" si="131">IF(ISBLANK(J217),J92,J217)</f>
        <v>0</v>
      </c>
      <c r="K312" s="112">
        <f t="shared" si="131"/>
        <v>0</v>
      </c>
      <c r="L312" s="112">
        <f t="shared" si="131"/>
        <v>0</v>
      </c>
      <c r="M312" s="112">
        <f t="shared" si="131"/>
        <v>0</v>
      </c>
      <c r="N312" s="112">
        <f t="shared" si="131"/>
        <v>0</v>
      </c>
      <c r="O312" s="112">
        <f t="shared" si="131"/>
        <v>0</v>
      </c>
      <c r="P312" s="112">
        <f t="shared" si="131"/>
        <v>0</v>
      </c>
      <c r="Q312" s="112">
        <f t="shared" si="131"/>
        <v>0</v>
      </c>
      <c r="R312" s="112">
        <f t="shared" si="131"/>
        <v>0</v>
      </c>
      <c r="S312" s="112">
        <f t="shared" si="131"/>
        <v>0</v>
      </c>
      <c r="T312" s="138"/>
      <c r="U312" s="112">
        <f>IFERROR(AVERAGE(O312:S312),0)</f>
        <v>0</v>
      </c>
      <c r="V312" s="112">
        <f>SUM(O312:S312)</f>
        <v>0</v>
      </c>
    </row>
    <row r="313" spans="3:22" hidden="1" outlineLevel="2" x14ac:dyDescent="0.35">
      <c r="E313" s="8" t="s">
        <v>225</v>
      </c>
      <c r="G313" s="22" t="s">
        <v>34</v>
      </c>
      <c r="J313" s="112">
        <f t="shared" ref="J313:S313" si="132">IF(ISBLANK(J218),J93,J218)</f>
        <v>0</v>
      </c>
      <c r="K313" s="112">
        <f t="shared" si="132"/>
        <v>0</v>
      </c>
      <c r="L313" s="112">
        <f t="shared" si="132"/>
        <v>0</v>
      </c>
      <c r="M313" s="112">
        <f t="shared" si="132"/>
        <v>0</v>
      </c>
      <c r="N313" s="112">
        <f t="shared" si="132"/>
        <v>0</v>
      </c>
      <c r="O313" s="112">
        <f t="shared" si="132"/>
        <v>0</v>
      </c>
      <c r="P313" s="112">
        <f t="shared" si="132"/>
        <v>0</v>
      </c>
      <c r="Q313" s="112">
        <f t="shared" si="132"/>
        <v>0</v>
      </c>
      <c r="R313" s="112">
        <f t="shared" si="132"/>
        <v>0</v>
      </c>
      <c r="S313" s="112">
        <f t="shared" si="132"/>
        <v>0</v>
      </c>
      <c r="T313" s="138"/>
      <c r="U313" s="112">
        <f>IFERROR(AVERAGE(O313:S313),0)</f>
        <v>0</v>
      </c>
      <c r="V313" s="112">
        <f>SUM(O313:S313)</f>
        <v>0</v>
      </c>
    </row>
    <row r="314" spans="3:22" hidden="1" outlineLevel="2" x14ac:dyDescent="0.35">
      <c r="E314" s="8" t="s">
        <v>99</v>
      </c>
      <c r="G314" s="22" t="s">
        <v>34</v>
      </c>
      <c r="J314" s="134">
        <f t="shared" ref="J314:S314" si="133">SUM(J312:J313)</f>
        <v>0</v>
      </c>
      <c r="K314" s="134">
        <f t="shared" si="133"/>
        <v>0</v>
      </c>
      <c r="L314" s="134">
        <f t="shared" si="133"/>
        <v>0</v>
      </c>
      <c r="M314" s="134">
        <f t="shared" si="133"/>
        <v>0</v>
      </c>
      <c r="N314" s="134">
        <f t="shared" si="133"/>
        <v>0</v>
      </c>
      <c r="O314" s="134">
        <f t="shared" si="133"/>
        <v>0</v>
      </c>
      <c r="P314" s="134">
        <f t="shared" si="133"/>
        <v>0</v>
      </c>
      <c r="Q314" s="134">
        <f t="shared" si="133"/>
        <v>0</v>
      </c>
      <c r="R314" s="134">
        <f t="shared" si="133"/>
        <v>0</v>
      </c>
      <c r="S314" s="134">
        <f t="shared" si="133"/>
        <v>0</v>
      </c>
      <c r="T314" s="138"/>
      <c r="U314" s="134">
        <f>SUM(U312:U313)</f>
        <v>0</v>
      </c>
      <c r="V314" s="134">
        <f>SUM(V312:V313)</f>
        <v>0</v>
      </c>
    </row>
    <row r="315" spans="3:22" hidden="1" outlineLevel="1" x14ac:dyDescent="0.35">
      <c r="J315" s="112"/>
      <c r="K315" s="112"/>
      <c r="L315" s="112"/>
      <c r="M315" s="112"/>
      <c r="N315" s="112"/>
      <c r="O315" s="112"/>
      <c r="P315" s="112"/>
      <c r="Q315" s="112"/>
      <c r="R315" s="112"/>
      <c r="S315" s="112"/>
      <c r="T315" s="138"/>
      <c r="U315" s="112"/>
      <c r="V315" s="112"/>
    </row>
    <row r="316" spans="3:22" hidden="1" outlineLevel="1" collapsed="1" x14ac:dyDescent="0.35">
      <c r="C316" s="24" t="str">
        <f>INDEX(InpC!$E$25:$E$42,G316)</f>
        <v>Industry total</v>
      </c>
      <c r="F316" s="113">
        <f>INDEX(InpC!$F$25:$F$42,G316,)</f>
        <v>0</v>
      </c>
      <c r="G316" s="8">
        <f>G222</f>
        <v>18</v>
      </c>
      <c r="J316" s="112"/>
      <c r="K316" s="112"/>
      <c r="L316" s="112"/>
      <c r="M316" s="112"/>
      <c r="N316" s="112"/>
      <c r="O316" s="112"/>
      <c r="P316" s="112"/>
      <c r="Q316" s="112"/>
      <c r="R316" s="112"/>
      <c r="S316" s="112"/>
      <c r="T316" s="138"/>
      <c r="U316" s="112"/>
      <c r="V316" s="112"/>
    </row>
    <row r="317" spans="3:22" hidden="1" outlineLevel="2" x14ac:dyDescent="0.35">
      <c r="E317" s="8" t="s">
        <v>224</v>
      </c>
      <c r="G317" s="22" t="s">
        <v>34</v>
      </c>
      <c r="J317" s="112">
        <f xml:space="preserve"> SUM(J232,J237,J242,J247,J252,J257,J262,J267,J272,J277,J282,J287,J292,J297,J302,J307,J312)</f>
        <v>1.3312037383177571</v>
      </c>
      <c r="K317" s="112">
        <f t="shared" ref="K317:S318" si="134" xml:space="preserve"> SUM(K232,K237,K242,K247,K252,K257,K262,K267,K272,K277,K282,K287,K292,K297,K302,K307,K312)</f>
        <v>1.6964051565377538</v>
      </c>
      <c r="L317" s="112">
        <f xml:space="preserve"> SUM(L232,L237,L242,L247,L252,L257,L262,L267,L272,L277,L282,L287,L292,L297,L302,L307,L312)</f>
        <v>3.3810000000000002</v>
      </c>
      <c r="M317" s="112">
        <f t="shared" si="134"/>
        <v>3.1330498660202042</v>
      </c>
      <c r="N317" s="112">
        <f t="shared" si="134"/>
        <v>2.0893668047806382</v>
      </c>
      <c r="O317" s="112">
        <f t="shared" si="134"/>
        <v>3.8546660455668418</v>
      </c>
      <c r="P317" s="112">
        <f t="shared" si="134"/>
        <v>3.8611319979808738</v>
      </c>
      <c r="Q317" s="112">
        <f t="shared" si="134"/>
        <v>3.8583004084875308</v>
      </c>
      <c r="R317" s="112">
        <f t="shared" si="134"/>
        <v>3.8622656505095101</v>
      </c>
      <c r="S317" s="112">
        <f t="shared" si="134"/>
        <v>3.862382984903713</v>
      </c>
      <c r="T317" s="138"/>
      <c r="U317" s="112">
        <f>IFERROR(AVERAGE(O317:S317),0)</f>
        <v>3.8597494174896942</v>
      </c>
      <c r="V317" s="112">
        <f>SUM(O317:S317)</f>
        <v>19.298747087448472</v>
      </c>
    </row>
    <row r="318" spans="3:22" hidden="1" outlineLevel="2" x14ac:dyDescent="0.35">
      <c r="E318" s="8" t="s">
        <v>225</v>
      </c>
      <c r="G318" s="22" t="s">
        <v>34</v>
      </c>
      <c r="J318" s="112">
        <f xml:space="preserve"> SUM(J233,J238,J243,J248,J253,J258,J263,J268,J273,J278,J283,J288,J293,J298,J303,J308,J313)</f>
        <v>0.27605607476635513</v>
      </c>
      <c r="K318" s="112">
        <f t="shared" si="134"/>
        <v>0.64471454880294676</v>
      </c>
      <c r="L318" s="112">
        <f t="shared" si="134"/>
        <v>0.53</v>
      </c>
      <c r="M318" s="112">
        <f t="shared" si="134"/>
        <v>0.82002277039848159</v>
      </c>
      <c r="N318" s="112">
        <f t="shared" si="134"/>
        <v>0.38700000000000001</v>
      </c>
      <c r="O318" s="112">
        <f t="shared" si="134"/>
        <v>0.77230818291805359</v>
      </c>
      <c r="P318" s="112">
        <f t="shared" si="134"/>
        <v>0.77276025658824654</v>
      </c>
      <c r="Q318" s="112">
        <f t="shared" si="134"/>
        <v>0.77265888676911332</v>
      </c>
      <c r="R318" s="112">
        <f t="shared" si="134"/>
        <v>0.76678422642966637</v>
      </c>
      <c r="S318" s="112">
        <f t="shared" si="134"/>
        <v>0.76679163590524213</v>
      </c>
      <c r="T318" s="138"/>
      <c r="U318" s="112">
        <f>IFERROR(AVERAGE(O318:S318),0)</f>
        <v>0.77026063772206443</v>
      </c>
      <c r="V318" s="112">
        <f>SUM(O318:S318)</f>
        <v>3.8513031886103222</v>
      </c>
    </row>
    <row r="319" spans="3:22" hidden="1" outlineLevel="2" x14ac:dyDescent="0.35">
      <c r="E319" s="8" t="s">
        <v>99</v>
      </c>
      <c r="G319" s="22" t="s">
        <v>34</v>
      </c>
      <c r="J319" s="134">
        <f t="shared" ref="J319:S319" si="135">SUM(J317:J318)</f>
        <v>1.6072598130841123</v>
      </c>
      <c r="K319" s="134">
        <f t="shared" si="135"/>
        <v>2.3411197053407005</v>
      </c>
      <c r="L319" s="134">
        <f t="shared" si="135"/>
        <v>3.9110000000000005</v>
      </c>
      <c r="M319" s="134">
        <f t="shared" si="135"/>
        <v>3.9530726364186859</v>
      </c>
      <c r="N319" s="134">
        <f t="shared" si="135"/>
        <v>2.4763668047806382</v>
      </c>
      <c r="O319" s="134">
        <f t="shared" si="135"/>
        <v>4.6269742284848956</v>
      </c>
      <c r="P319" s="134">
        <f t="shared" si="135"/>
        <v>4.6338922545691208</v>
      </c>
      <c r="Q319" s="134">
        <f t="shared" si="135"/>
        <v>4.6309592952566438</v>
      </c>
      <c r="R319" s="134">
        <f t="shared" si="135"/>
        <v>4.6290498769391766</v>
      </c>
      <c r="S319" s="134">
        <f t="shared" si="135"/>
        <v>4.6291746208089553</v>
      </c>
      <c r="T319" s="138"/>
      <c r="U319" s="134">
        <f>SUM(U317:U318)</f>
        <v>4.6300100552117591</v>
      </c>
      <c r="V319" s="134">
        <f>SUM(V317:V318)</f>
        <v>23.150050276058796</v>
      </c>
    </row>
    <row r="320" spans="3:22" hidden="1" outlineLevel="1" x14ac:dyDescent="0.35">
      <c r="J320" s="112"/>
      <c r="K320" s="112"/>
      <c r="L320" s="112"/>
      <c r="M320" s="112"/>
      <c r="N320" s="112"/>
      <c r="O320" s="112"/>
      <c r="P320" s="112"/>
      <c r="Q320" s="112"/>
      <c r="R320" s="112"/>
      <c r="S320" s="112"/>
      <c r="T320" s="138"/>
      <c r="U320" s="112"/>
      <c r="V320" s="112"/>
    </row>
    <row r="321" spans="10:22" x14ac:dyDescent="0.35">
      <c r="J321" s="112"/>
      <c r="K321" s="112"/>
      <c r="L321" s="112"/>
      <c r="M321" s="112"/>
      <c r="N321" s="112"/>
      <c r="O321" s="112"/>
      <c r="P321" s="112"/>
      <c r="Q321" s="112"/>
      <c r="R321" s="112"/>
      <c r="S321" s="112"/>
      <c r="T321" s="138"/>
      <c r="U321" s="112"/>
      <c r="V321" s="112"/>
    </row>
  </sheetData>
  <mergeCells count="42">
    <mergeCell ref="X3:X4"/>
    <mergeCell ref="Y3:Y4"/>
    <mergeCell ref="Z3:Z4"/>
    <mergeCell ref="AA3:AA4"/>
    <mergeCell ref="X17:X18"/>
    <mergeCell ref="Y17:Y18"/>
    <mergeCell ref="Y57:Y58"/>
    <mergeCell ref="AB57:AB58"/>
    <mergeCell ref="AB17:AB18"/>
    <mergeCell ref="X27:X28"/>
    <mergeCell ref="Y27:Y28"/>
    <mergeCell ref="AB27:AB28"/>
    <mergeCell ref="X37:X38"/>
    <mergeCell ref="Y37:Y38"/>
    <mergeCell ref="AB37:AB38"/>
    <mergeCell ref="AB32:AB33"/>
    <mergeCell ref="AB42:AB43"/>
    <mergeCell ref="AB52:AB53"/>
    <mergeCell ref="X47:X48"/>
    <mergeCell ref="Y47:Y48"/>
    <mergeCell ref="AB47:AB48"/>
    <mergeCell ref="X57:X58"/>
    <mergeCell ref="X102:X103"/>
    <mergeCell ref="Y102:Y103"/>
    <mergeCell ref="Z102:Z103"/>
    <mergeCell ref="AA102:AA103"/>
    <mergeCell ref="AB102:AB103"/>
    <mergeCell ref="X232:X233"/>
    <mergeCell ref="Y232:Y233"/>
    <mergeCell ref="Z232:Z233"/>
    <mergeCell ref="AA232:AA233"/>
    <mergeCell ref="AB232:AB233"/>
    <mergeCell ref="AB87:AB88"/>
    <mergeCell ref="X97:X98"/>
    <mergeCell ref="Y97:Y98"/>
    <mergeCell ref="AB97:AB98"/>
    <mergeCell ref="X67:X68"/>
    <mergeCell ref="Y67:Y68"/>
    <mergeCell ref="AB67:AB68"/>
    <mergeCell ref="X77:X78"/>
    <mergeCell ref="Y77:Y78"/>
    <mergeCell ref="AB77:AB78"/>
  </mergeCells>
  <conditionalFormatting sqref="H2">
    <cfRule type="cellIs" dxfId="57" priority="7" stopIfTrue="1" operator="notEqual">
      <formula>0</formula>
    </cfRule>
    <cfRule type="cellIs" dxfId="56" priority="8" stopIfTrue="1" operator="equal">
      <formula>""</formula>
    </cfRule>
    <cfRule type="cellIs" dxfId="55" priority="9" stopIfTrue="1" operator="notEqual">
      <formula>0</formula>
    </cfRule>
    <cfRule type="cellIs" dxfId="54" priority="10" stopIfTrue="1" operator="equal">
      <formula>""</formula>
    </cfRule>
  </conditionalFormatting>
  <conditionalFormatting sqref="J3:S3">
    <cfRule type="cellIs" dxfId="53" priority="6" stopIfTrue="1" operator="equal">
      <formula>"Operations"</formula>
    </cfRule>
    <cfRule type="cellIs" dxfId="52" priority="2" operator="equal">
      <formula>"PPA ext."</formula>
    </cfRule>
    <cfRule type="cellIs" dxfId="51" priority="3" operator="equal">
      <formula>"Delay"</formula>
    </cfRule>
    <cfRule type="cellIs" dxfId="50" priority="4" operator="equal">
      <formula>"Fin Close"</formula>
    </cfRule>
    <cfRule type="cellIs" dxfId="49" priority="5" stopIfTrue="1" operator="equal">
      <formula>"Construction"</formula>
    </cfRule>
  </conditionalFormatting>
  <conditionalFormatting sqref="J232:S233">
    <cfRule type="expression" dxfId="48" priority="27">
      <formula>(J232&lt;&gt;J12)</formula>
    </cfRule>
  </conditionalFormatting>
  <conditionalFormatting sqref="J237:S238">
    <cfRule type="expression" dxfId="47" priority="1">
      <formula>(J237&lt;&gt;J17)</formula>
    </cfRule>
  </conditionalFormatting>
  <conditionalFormatting sqref="J242:S243">
    <cfRule type="expression" dxfId="46" priority="47">
      <formula>(J242&lt;&gt;J22)</formula>
    </cfRule>
  </conditionalFormatting>
  <conditionalFormatting sqref="J247:S248">
    <cfRule type="expression" dxfId="45" priority="46">
      <formula>(J247&lt;&gt;J27)</formula>
    </cfRule>
  </conditionalFormatting>
  <conditionalFormatting sqref="J252:S253">
    <cfRule type="expression" dxfId="44" priority="45">
      <formula>(J252&lt;&gt;J32)</formula>
    </cfRule>
  </conditionalFormatting>
  <conditionalFormatting sqref="J257:S258">
    <cfRule type="expression" dxfId="43" priority="44">
      <formula>(J257&lt;&gt;J37)</formula>
    </cfRule>
  </conditionalFormatting>
  <conditionalFormatting sqref="J262:S263">
    <cfRule type="expression" dxfId="42" priority="43">
      <formula>(J262&lt;&gt;J42)</formula>
    </cfRule>
  </conditionalFormatting>
  <conditionalFormatting sqref="J267:S268">
    <cfRule type="expression" dxfId="41" priority="42">
      <formula>(J267&lt;&gt;J47)</formula>
    </cfRule>
  </conditionalFormatting>
  <conditionalFormatting sqref="J272:S273">
    <cfRule type="expression" dxfId="40" priority="41">
      <formula>(J272&lt;&gt;J52)</formula>
    </cfRule>
  </conditionalFormatting>
  <conditionalFormatting sqref="J277:S278">
    <cfRule type="expression" dxfId="39" priority="40">
      <formula>(J277&lt;&gt;J57)</formula>
    </cfRule>
  </conditionalFormatting>
  <conditionalFormatting sqref="J282:S283">
    <cfRule type="expression" dxfId="38" priority="39">
      <formula>(J282&lt;&gt;J62)</formula>
    </cfRule>
  </conditionalFormatting>
  <conditionalFormatting sqref="J287:S288">
    <cfRule type="expression" dxfId="37" priority="38">
      <formula>(J287&lt;&gt;J67)</formula>
    </cfRule>
  </conditionalFormatting>
  <conditionalFormatting sqref="J292:S293">
    <cfRule type="expression" dxfId="36" priority="37">
      <formula>(J292&lt;&gt;J72)</formula>
    </cfRule>
  </conditionalFormatting>
  <conditionalFormatting sqref="J297:S298">
    <cfRule type="expression" dxfId="35" priority="36">
      <formula>(J297&lt;&gt;J77)</formula>
    </cfRule>
  </conditionalFormatting>
  <conditionalFormatting sqref="J302:S303">
    <cfRule type="expression" dxfId="34" priority="35">
      <formula>(J302&lt;&gt;J82)</formula>
    </cfRule>
  </conditionalFormatting>
  <conditionalFormatting sqref="J307:S308">
    <cfRule type="expression" dxfId="33" priority="34">
      <formula>(J307&lt;&gt;J87)</formula>
    </cfRule>
  </conditionalFormatting>
  <conditionalFormatting sqref="J312:S313">
    <cfRule type="expression" dxfId="32" priority="33">
      <formula>(J312&lt;&gt;J92)</formula>
    </cfRule>
  </conditionalFormatting>
  <conditionalFormatting sqref="J317:S318">
    <cfRule type="expression" dxfId="31" priority="32">
      <formula>(J317&lt;&gt;J97)</formula>
    </cfRule>
  </conditionalFormatting>
  <conditionalFormatting sqref="U3:V3">
    <cfRule type="cellIs" dxfId="30" priority="24" operator="equal">
      <formula>"Fin Close"</formula>
    </cfRule>
    <cfRule type="cellIs" dxfId="29" priority="25" stopIfTrue="1" operator="equal">
      <formula>"Construction"</formula>
    </cfRule>
    <cfRule type="cellIs" dxfId="28" priority="26" stopIfTrue="1" operator="equal">
      <formula>"Operations"</formula>
    </cfRule>
    <cfRule type="cellIs" dxfId="27" priority="22" operator="equal">
      <formula>"PPA ext."</formula>
    </cfRule>
    <cfRule type="cellIs" dxfId="26" priority="23" operator="equal">
      <formula>"Delay"</formula>
    </cfRule>
  </conditionalFormatting>
  <conditionalFormatting sqref="AD3:AI3">
    <cfRule type="cellIs" dxfId="25" priority="12" operator="equal">
      <formula>"PPA ext."</formula>
    </cfRule>
    <cfRule type="cellIs" dxfId="24" priority="13" operator="equal">
      <formula>"Delay"</formula>
    </cfRule>
    <cfRule type="cellIs" dxfId="23" priority="14" operator="equal">
      <formula>"Fin Close"</formula>
    </cfRule>
    <cfRule type="cellIs" dxfId="22" priority="15" stopIfTrue="1" operator="equal">
      <formula>"Construction"</formula>
    </cfRule>
    <cfRule type="cellIs" dxfId="21" priority="16" stopIfTrue="1" operator="equal">
      <formula>"Operations"</formula>
    </cfRule>
  </conditionalFormatting>
  <conditionalFormatting sqref="AK3:AP3">
    <cfRule type="cellIs" dxfId="20" priority="18" operator="equal">
      <formula>"Delay"</formula>
    </cfRule>
    <cfRule type="cellIs" dxfId="19" priority="21" stopIfTrue="1" operator="equal">
      <formula>"Operations"</formula>
    </cfRule>
    <cfRule type="cellIs" dxfId="18" priority="20" stopIfTrue="1" operator="equal">
      <formula>"Construction"</formula>
    </cfRule>
    <cfRule type="cellIs" dxfId="17" priority="19" operator="equal">
      <formula>"Fin Close"</formula>
    </cfRule>
    <cfRule type="cellIs" dxfId="16" priority="17" operator="equal">
      <formula>"PPA ext."</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A394A-6840-4E91-AF97-E8A7BF2DA59A}">
  <sheetPr>
    <tabColor rgb="FFCCCCCE"/>
    <outlinePr summaryBelow="0" summaryRight="0"/>
  </sheetPr>
  <dimension ref="A1:S165"/>
  <sheetViews>
    <sheetView zoomScale="80" zoomScaleNormal="80" workbookViewId="0"/>
  </sheetViews>
  <sheetFormatPr defaultColWidth="11.73046875" defaultRowHeight="13.15" outlineLevelRow="1" x14ac:dyDescent="0.35"/>
  <cols>
    <col min="1" max="2" width="1.265625" style="149" customWidth="1"/>
    <col min="3" max="3" width="1.265625" style="150" customWidth="1"/>
    <col min="4" max="4" width="1.265625" style="154" customWidth="1"/>
    <col min="5" max="5" width="96" style="152" customWidth="1"/>
    <col min="6" max="6" width="16.59765625" style="152" customWidth="1"/>
    <col min="7" max="7" width="11.73046875" style="22" customWidth="1"/>
    <col min="8" max="8" width="11.73046875" style="152" customWidth="1"/>
    <col min="9" max="9" width="2.73046875" style="153" customWidth="1"/>
    <col min="10" max="16" width="14.265625" style="152" customWidth="1"/>
    <col min="17" max="17" width="11.73046875" customWidth="1"/>
    <col min="18" max="19" width="14.265625" style="152" customWidth="1"/>
  </cols>
  <sheetData>
    <row r="1" spans="1:19" ht="25.15" x14ac:dyDescent="0.35">
      <c r="A1" s="139" t="str">
        <f ca="1">RIGHT(CELL("filename", A1), LEN(CELL("filename", A1)) - SEARCH("]", CELL("filename", A1)))</f>
        <v>Allowance</v>
      </c>
    </row>
    <row r="2" spans="1:19" x14ac:dyDescent="0.35">
      <c r="A2" s="38"/>
      <c r="B2" s="38"/>
      <c r="C2" s="39"/>
      <c r="D2" s="40"/>
      <c r="E2" s="73" t="str">
        <f>Time!E2</f>
        <v>Model period ending</v>
      </c>
      <c r="F2" s="17"/>
      <c r="G2" s="140" t="s">
        <v>171</v>
      </c>
      <c r="H2" s="141" t="e">
        <f>#REF!</f>
        <v>#REF!</v>
      </c>
      <c r="I2" s="18"/>
      <c r="J2" s="74">
        <f>Time!M2</f>
        <v>45382</v>
      </c>
      <c r="K2" s="74">
        <f>Time!N2</f>
        <v>45747</v>
      </c>
      <c r="L2" s="74">
        <f>Time!O2</f>
        <v>46112</v>
      </c>
      <c r="M2" s="74">
        <f>Time!P2</f>
        <v>46477</v>
      </c>
      <c r="N2" s="74">
        <f>Time!Q2</f>
        <v>46843</v>
      </c>
      <c r="O2" s="74">
        <f>Time!R2</f>
        <v>47208</v>
      </c>
      <c r="P2" s="74">
        <f>Time!S2</f>
        <v>47573</v>
      </c>
      <c r="R2" s="74" t="s">
        <v>172</v>
      </c>
      <c r="S2" s="74" t="s">
        <v>173</v>
      </c>
    </row>
    <row r="3" spans="1:19" x14ac:dyDescent="0.35">
      <c r="E3" s="73" t="str">
        <f>Time!E3</f>
        <v>Timeline label</v>
      </c>
      <c r="G3" s="152"/>
      <c r="J3" s="179" t="str">
        <f>Time!M3</f>
        <v>PR24</v>
      </c>
      <c r="K3" s="179" t="str">
        <f>Time!N3</f>
        <v>PR24</v>
      </c>
      <c r="L3" s="179" t="str">
        <f>Time!O3</f>
        <v>PR24</v>
      </c>
      <c r="M3" s="179" t="str">
        <f>Time!P3</f>
        <v>PR24</v>
      </c>
      <c r="N3" s="179" t="str">
        <f>Time!Q3</f>
        <v>PR24</v>
      </c>
      <c r="O3" s="179" t="str">
        <f>Time!R3</f>
        <v>PR24</v>
      </c>
      <c r="P3" s="179" t="str">
        <f>Time!S3</f>
        <v>PR24</v>
      </c>
      <c r="R3" s="179">
        <f>Time!U3</f>
        <v>0</v>
      </c>
      <c r="S3" s="179">
        <f>Time!V3</f>
        <v>0</v>
      </c>
    </row>
    <row r="4" spans="1:19" x14ac:dyDescent="0.35">
      <c r="E4" s="73" t="str">
        <f>Time!E4</f>
        <v>Model column counter</v>
      </c>
      <c r="F4" s="25" t="s">
        <v>98</v>
      </c>
      <c r="G4" s="26" t="s">
        <v>15</v>
      </c>
      <c r="H4" s="25" t="s">
        <v>99</v>
      </c>
      <c r="J4" s="152">
        <f>Time!M4</f>
        <v>4</v>
      </c>
      <c r="K4" s="152">
        <f>Time!N4</f>
        <v>5</v>
      </c>
      <c r="L4" s="152">
        <f>Time!O4</f>
        <v>6</v>
      </c>
      <c r="M4" s="152">
        <f>Time!P4</f>
        <v>7</v>
      </c>
      <c r="N4" s="152">
        <f>Time!Q4</f>
        <v>8</v>
      </c>
      <c r="O4" s="152">
        <f>Time!R4</f>
        <v>9</v>
      </c>
      <c r="P4" s="152">
        <f>Time!S4</f>
        <v>10</v>
      </c>
    </row>
    <row r="5" spans="1:19" ht="25.5" x14ac:dyDescent="0.35">
      <c r="J5" s="180" t="str">
        <f>'Consolidated Input'!P2</f>
        <v>Price Review 2024</v>
      </c>
      <c r="K5" s="180" t="str">
        <f>'Consolidated Input'!Q2</f>
        <v>Price Review 2024</v>
      </c>
      <c r="L5" s="180" t="str">
        <f>'Consolidated Input'!R2</f>
        <v>Price Review 2024</v>
      </c>
      <c r="M5" s="180" t="str">
        <f>'Consolidated Input'!S2</f>
        <v>Price Review 2024</v>
      </c>
      <c r="N5" s="180" t="str">
        <f>'Consolidated Input'!T2</f>
        <v>Price Review 2024</v>
      </c>
      <c r="O5" s="180" t="str">
        <f>'Consolidated Input'!U2</f>
        <v>Price Review 2024</v>
      </c>
      <c r="P5" s="180" t="str">
        <f>'Consolidated Input'!V2</f>
        <v>Price Review 2024</v>
      </c>
      <c r="R5" s="180"/>
      <c r="S5" s="180"/>
    </row>
    <row r="6" spans="1:19" ht="38.25" x14ac:dyDescent="0.35">
      <c r="J6" s="180" t="str">
        <f>'Consolidated Input'!P3</f>
        <v>Default for Price Review 2024 base run</v>
      </c>
      <c r="K6" s="180" t="str">
        <f>'Consolidated Input'!Q3</f>
        <v>Default for Price Review 2024 base run</v>
      </c>
      <c r="L6" s="180" t="str">
        <f>'Consolidated Input'!R3</f>
        <v>Default for Price Review 2024 base run</v>
      </c>
      <c r="M6" s="180" t="str">
        <f>'Consolidated Input'!S3</f>
        <v>Default for Price Review 2024 base run</v>
      </c>
      <c r="N6" s="180" t="str">
        <f>'Consolidated Input'!T3</f>
        <v>Default for Price Review 2024 base run</v>
      </c>
      <c r="O6" s="180" t="str">
        <f>'Consolidated Input'!U3</f>
        <v>Default for Price Review 2024 base run</v>
      </c>
      <c r="P6" s="180" t="str">
        <f>'Consolidated Input'!V3</f>
        <v>Default for Price Review 2024 base run</v>
      </c>
      <c r="R6" s="180"/>
      <c r="S6" s="180"/>
    </row>
    <row r="7" spans="1:19" x14ac:dyDescent="0.35">
      <c r="J7" s="180" t="str">
        <f>'Consolidated Input'!P4</f>
        <v>Latest</v>
      </c>
      <c r="K7" s="180" t="str">
        <f>'Consolidated Input'!Q4</f>
        <v>Latest</v>
      </c>
      <c r="L7" s="180" t="str">
        <f>'Consolidated Input'!R4</f>
        <v>Latest</v>
      </c>
      <c r="M7" s="180" t="str">
        <f>'Consolidated Input'!S4</f>
        <v>Latest</v>
      </c>
      <c r="N7" s="180" t="str">
        <f>'Consolidated Input'!T4</f>
        <v>Latest</v>
      </c>
      <c r="O7" s="180" t="str">
        <f>'Consolidated Input'!U4</f>
        <v>Latest</v>
      </c>
      <c r="P7" s="180" t="str">
        <f>'Consolidated Input'!V4</f>
        <v>Latest</v>
      </c>
      <c r="R7" s="180"/>
      <c r="S7" s="180"/>
    </row>
    <row r="8" spans="1:19" x14ac:dyDescent="0.35">
      <c r="J8" s="180"/>
      <c r="K8" s="180"/>
      <c r="L8" s="180"/>
      <c r="M8" s="180"/>
      <c r="N8" s="180"/>
      <c r="O8" s="180"/>
      <c r="P8" s="180"/>
      <c r="R8" s="180"/>
      <c r="S8" s="180"/>
    </row>
    <row r="9" spans="1:19" x14ac:dyDescent="0.35">
      <c r="C9" s="149" t="s">
        <v>150</v>
      </c>
    </row>
    <row r="10" spans="1:19" x14ac:dyDescent="0.35">
      <c r="D10" s="151" t="s">
        <v>233</v>
      </c>
      <c r="J10" s="74">
        <f t="shared" ref="J10:S10" si="0">J$2</f>
        <v>45382</v>
      </c>
      <c r="K10" s="74">
        <f t="shared" si="0"/>
        <v>45747</v>
      </c>
      <c r="L10" s="74">
        <f t="shared" si="0"/>
        <v>46112</v>
      </c>
      <c r="M10" s="74">
        <f t="shared" si="0"/>
        <v>46477</v>
      </c>
      <c r="N10" s="74">
        <f t="shared" si="0"/>
        <v>46843</v>
      </c>
      <c r="O10" s="74">
        <f t="shared" si="0"/>
        <v>47208</v>
      </c>
      <c r="P10" s="74">
        <f t="shared" si="0"/>
        <v>47573</v>
      </c>
      <c r="R10" s="74" t="str">
        <f t="shared" si="0"/>
        <v>PR24 Average</v>
      </c>
      <c r="S10" s="74" t="str">
        <f t="shared" si="0"/>
        <v>PR24 Total</v>
      </c>
    </row>
    <row r="11" spans="1:19" x14ac:dyDescent="0.35">
      <c r="B11" s="152"/>
      <c r="C11" s="152"/>
      <c r="D11" s="152"/>
      <c r="J11" s="74"/>
      <c r="K11" s="74"/>
      <c r="L11" s="74"/>
      <c r="M11" s="74"/>
      <c r="N11" s="74"/>
      <c r="O11" s="74"/>
      <c r="P11" s="74"/>
      <c r="R11" s="74"/>
      <c r="S11" s="74"/>
    </row>
    <row r="12" spans="1:19" collapsed="1" x14ac:dyDescent="0.35">
      <c r="E12" s="151" t="s">
        <v>180</v>
      </c>
    </row>
    <row r="13" spans="1:19" hidden="1" outlineLevel="1" x14ac:dyDescent="0.35"/>
    <row r="14" spans="1:19" hidden="1" outlineLevel="1" x14ac:dyDescent="0.35">
      <c r="E14" s="155" t="s">
        <v>177</v>
      </c>
      <c r="J14" s="153"/>
      <c r="K14" s="153"/>
      <c r="L14" s="153"/>
      <c r="M14" s="153"/>
      <c r="N14" s="153"/>
      <c r="O14" s="153"/>
      <c r="P14" s="153"/>
      <c r="R14" s="153"/>
      <c r="S14" s="153"/>
    </row>
    <row r="15" spans="1:19" hidden="1" outlineLevel="1" x14ac:dyDescent="0.35">
      <c r="E15" s="129">
        <f>InpT!$F$8</f>
        <v>45016</v>
      </c>
      <c r="G15" s="22" t="s">
        <v>178</v>
      </c>
      <c r="J15" s="153"/>
      <c r="K15" s="153"/>
      <c r="L15" s="153"/>
      <c r="M15" s="153"/>
      <c r="N15" s="153"/>
      <c r="O15" s="153"/>
      <c r="P15" s="153"/>
      <c r="R15" s="153"/>
      <c r="S15" s="153"/>
    </row>
    <row r="16" spans="1:19" hidden="1" outlineLevel="1" x14ac:dyDescent="0.35">
      <c r="E16" s="129"/>
      <c r="J16" s="153"/>
      <c r="K16" s="153"/>
      <c r="L16" s="153"/>
      <c r="M16" s="153"/>
      <c r="N16" s="153"/>
      <c r="O16" s="153"/>
      <c r="P16" s="153"/>
      <c r="R16" s="153"/>
      <c r="S16" s="153"/>
    </row>
    <row r="17" spans="5:19" hidden="1" outlineLevel="1" x14ac:dyDescent="0.35">
      <c r="E17" s="152" t="str">
        <f>InpC!$E$25</f>
        <v>Anglian Water</v>
      </c>
      <c r="F17" s="152" t="str">
        <f>InpC!$F$25</f>
        <v>ANH</v>
      </c>
      <c r="G17" s="22" t="s">
        <v>34</v>
      </c>
      <c r="J17" s="156">
        <f xml:space="preserve"> SUMIFS('Analysis (TMA)'!M$232:M$320, 'Analysis (TMA)'!$F$231:$F$319, Allowance!$F17)</f>
        <v>0.69471010168891179</v>
      </c>
      <c r="K17" s="156">
        <f xml:space="preserve"> SUMIFS('Analysis (TMA)'!N$232:N$320, 'Analysis (TMA)'!$F$231:$F$319, Allowance!$F17)</f>
        <v>0.88712999360201172</v>
      </c>
      <c r="L17" s="156">
        <f xml:space="preserve"> SUMIFS('Analysis (TMA)'!O$232:O$320, 'Analysis (TMA)'!$F$231:$F$319, Allowance!$F17)</f>
        <v>1.4730689481860959</v>
      </c>
      <c r="M17" s="156">
        <f xml:space="preserve"> SUMIFS('Analysis (TMA)'!P$232:P$320, 'Analysis (TMA)'!$F$231:$F$319, Allowance!$F17)</f>
        <v>1.4730689481860959</v>
      </c>
      <c r="N17" s="156">
        <f xml:space="preserve"> SUMIFS('Analysis (TMA)'!Q$232:Q$320, 'Analysis (TMA)'!$F$231:$F$319, Allowance!$F17)</f>
        <v>1.4730689481860959</v>
      </c>
      <c r="O17" s="156">
        <f xml:space="preserve"> SUMIFS('Analysis (TMA)'!R$232:R$320, 'Analysis (TMA)'!$F$231:$F$319, Allowance!$F17)</f>
        <v>1.4730689481860959</v>
      </c>
      <c r="P17" s="156">
        <f xml:space="preserve"> SUMIFS('Analysis (TMA)'!S$232:S$320, 'Analysis (TMA)'!$F$231:$F$319, Allowance!$F17)</f>
        <v>1.4730689481860959</v>
      </c>
      <c r="R17" s="156">
        <f t="shared" ref="R17:R33" si="1">IFERROR(AVERAGE(L17:P17),0)</f>
        <v>1.4730689481860959</v>
      </c>
      <c r="S17" s="156">
        <f t="shared" ref="S17:S33" si="2">SUM(L17:P17)</f>
        <v>7.36534474093048</v>
      </c>
    </row>
    <row r="18" spans="5:19" hidden="1" outlineLevel="1" x14ac:dyDescent="0.35">
      <c r="E18" s="152" t="str">
        <f>InpC!$E$26</f>
        <v>Dŵr Cymru</v>
      </c>
      <c r="F18" s="152" t="str">
        <f>InpC!$F$26</f>
        <v>WSH</v>
      </c>
      <c r="G18" s="22" t="s">
        <v>34</v>
      </c>
      <c r="J18" s="156">
        <f xml:space="preserve"> SUMIFS('Analysis (TMA)'!M$232:M$320, 'Analysis (TMA)'!$F$231:$F$319, Allowance!$F18)</f>
        <v>0.182</v>
      </c>
      <c r="K18" s="156">
        <f xml:space="preserve"> SUMIFS('Analysis (TMA)'!N$232:N$320, 'Analysis (TMA)'!$F$231:$F$319, Allowance!$F18)</f>
        <v>5.1999999999999998E-2</v>
      </c>
      <c r="L18" s="156">
        <f xml:space="preserve"> SUMIFS('Analysis (TMA)'!O$232:O$320, 'Analysis (TMA)'!$F$231:$F$319, Allowance!$F18)</f>
        <v>4.1690926714476335E-2</v>
      </c>
      <c r="M18" s="156">
        <f xml:space="preserve"> SUMIFS('Analysis (TMA)'!P$232:P$320, 'Analysis (TMA)'!$F$231:$F$319, Allowance!$F18)</f>
        <v>3.970564448997746E-2</v>
      </c>
      <c r="N18" s="156">
        <f xml:space="preserve"> SUMIFS('Analysis (TMA)'!Q$232:Q$320, 'Analysis (TMA)'!$F$231:$F$319, Allowance!$F18)</f>
        <v>3.8713003377728025E-2</v>
      </c>
      <c r="O18" s="156">
        <f xml:space="preserve"> SUMIFS('Analysis (TMA)'!R$232:R$320, 'Analysis (TMA)'!$F$231:$F$319, Allowance!$F18)</f>
        <v>3.8713003377728025E-2</v>
      </c>
      <c r="P18" s="156">
        <f xml:space="preserve"> SUMIFS('Analysis (TMA)'!S$232:S$320, 'Analysis (TMA)'!$F$231:$F$319, Allowance!$F18)</f>
        <v>3.7720362265478584E-2</v>
      </c>
      <c r="R18" s="156">
        <f t="shared" si="1"/>
        <v>3.9308588045077683E-2</v>
      </c>
      <c r="S18" s="156">
        <f t="shared" si="2"/>
        <v>0.19654294022538843</v>
      </c>
    </row>
    <row r="19" spans="5:19" hidden="1" outlineLevel="1" x14ac:dyDescent="0.35">
      <c r="E19" s="152" t="str">
        <f>InpC!$E$27</f>
        <v>Hafren Dyfrdwy</v>
      </c>
      <c r="F19" s="152" t="str">
        <f>InpC!$F$27</f>
        <v>HDD</v>
      </c>
      <c r="G19" s="22" t="s">
        <v>34</v>
      </c>
      <c r="J19" s="156">
        <f xml:space="preserve"> SUMIFS('Analysis (TMA)'!M$232:M$320, 'Analysis (TMA)'!$F$231:$F$319, Allowance!$F19)</f>
        <v>0</v>
      </c>
      <c r="K19" s="156">
        <f xml:space="preserve"> SUMIFS('Analysis (TMA)'!N$232:N$320, 'Analysis (TMA)'!$F$231:$F$319, Allowance!$F19)</f>
        <v>0</v>
      </c>
      <c r="L19" s="156">
        <f xml:space="preserve"> SUMIFS('Analysis (TMA)'!O$232:O$320, 'Analysis (TMA)'!$F$231:$F$319, Allowance!$F19)</f>
        <v>0</v>
      </c>
      <c r="M19" s="156">
        <f xml:space="preserve"> SUMIFS('Analysis (TMA)'!P$232:P$320, 'Analysis (TMA)'!$F$231:$F$319, Allowance!$F19)</f>
        <v>0</v>
      </c>
      <c r="N19" s="156">
        <f xml:space="preserve"> SUMIFS('Analysis (TMA)'!Q$232:Q$320, 'Analysis (TMA)'!$F$231:$F$319, Allowance!$F19)</f>
        <v>0</v>
      </c>
      <c r="O19" s="156">
        <f xml:space="preserve"> SUMIFS('Analysis (TMA)'!R$232:R$320, 'Analysis (TMA)'!$F$231:$F$319, Allowance!$F19)</f>
        <v>0</v>
      </c>
      <c r="P19" s="156">
        <f xml:space="preserve"> SUMIFS('Analysis (TMA)'!S$232:S$320, 'Analysis (TMA)'!$F$231:$F$319, Allowance!$F19)</f>
        <v>0</v>
      </c>
      <c r="R19" s="156">
        <f t="shared" si="1"/>
        <v>0</v>
      </c>
      <c r="S19" s="156">
        <f t="shared" si="2"/>
        <v>0</v>
      </c>
    </row>
    <row r="20" spans="5:19" hidden="1" outlineLevel="1" x14ac:dyDescent="0.35">
      <c r="E20" s="152" t="str">
        <f>InpC!$E$28</f>
        <v>Northumbrian Water</v>
      </c>
      <c r="F20" s="152" t="str">
        <f>InpC!$F$28</f>
        <v>NES</v>
      </c>
      <c r="G20" s="22" t="s">
        <v>34</v>
      </c>
      <c r="J20" s="156">
        <f xml:space="preserve"> SUMIFS('Analysis (TMA)'!M$232:M$320, 'Analysis (TMA)'!$F$231:$F$319, Allowance!$F20)</f>
        <v>0.43298287301664001</v>
      </c>
      <c r="K20" s="156">
        <f xml:space="preserve"> SUMIFS('Analysis (TMA)'!N$232:N$320, 'Analysis (TMA)'!$F$231:$F$319, Allowance!$F20)</f>
        <v>0.44600000000000001</v>
      </c>
      <c r="L20" s="156">
        <f xml:space="preserve"> SUMIFS('Analysis (TMA)'!O$232:O$320, 'Analysis (TMA)'!$F$231:$F$319, Allowance!$F20)</f>
        <v>0.44186652455311876</v>
      </c>
      <c r="M20" s="156">
        <f xml:space="preserve"> SUMIFS('Analysis (TMA)'!P$232:P$320, 'Analysis (TMA)'!$F$231:$F$319, Allowance!$F20)</f>
        <v>0.46447803114005876</v>
      </c>
      <c r="N20" s="156">
        <f xml:space="preserve"> SUMIFS('Analysis (TMA)'!Q$232:Q$320, 'Analysis (TMA)'!$F$231:$F$319, Allowance!$F20)</f>
        <v>0.48708953772699876</v>
      </c>
      <c r="O20" s="156">
        <f xml:space="preserve"> SUMIFS('Analysis (TMA)'!R$232:R$320, 'Analysis (TMA)'!$F$231:$F$319, Allowance!$F20)</f>
        <v>0.50875889820614961</v>
      </c>
      <c r="P20" s="156">
        <f xml:space="preserve"> SUMIFS('Analysis (TMA)'!S$232:S$320, 'Analysis (TMA)'!$F$231:$F$319, Allowance!$F20)</f>
        <v>0.5313704047930895</v>
      </c>
      <c r="R20" s="156">
        <f t="shared" si="1"/>
        <v>0.48671267928388307</v>
      </c>
      <c r="S20" s="156">
        <f t="shared" si="2"/>
        <v>2.4335633964194154</v>
      </c>
    </row>
    <row r="21" spans="5:19" hidden="1" outlineLevel="1" x14ac:dyDescent="0.35">
      <c r="E21" s="152" t="str">
        <f>InpC!$E$29</f>
        <v>Severn Trent Water</v>
      </c>
      <c r="F21" s="152" t="str">
        <f>InpC!$F$29</f>
        <v>SVE</v>
      </c>
      <c r="G21" s="22" t="s">
        <v>34</v>
      </c>
      <c r="J21" s="156">
        <f xml:space="preserve"> SUMIFS('Analysis (TMA)'!M$232:M$320, 'Analysis (TMA)'!$F$231:$F$319, Allowance!$F21)</f>
        <v>1.744</v>
      </c>
      <c r="K21" s="156">
        <f xml:space="preserve"> SUMIFS('Analysis (TMA)'!N$232:N$320, 'Analysis (TMA)'!$F$231:$F$319, Allowance!$F21)</f>
        <v>1.714</v>
      </c>
      <c r="L21" s="156">
        <f xml:space="preserve"> SUMIFS('Analysis (TMA)'!O$232:O$320, 'Analysis (TMA)'!$F$231:$F$319, Allowance!$F21)</f>
        <v>2.744277794683339</v>
      </c>
      <c r="M21" s="156">
        <f xml:space="preserve"> SUMIFS('Analysis (TMA)'!P$232:P$320, 'Analysis (TMA)'!$F$231:$F$319, Allowance!$F21)</f>
        <v>2.7674444028691987</v>
      </c>
      <c r="N21" s="156">
        <f xml:space="preserve"> SUMIFS('Analysis (TMA)'!Q$232:Q$320, 'Analysis (TMA)'!$F$231:$F$319, Allowance!$F21)</f>
        <v>2.7906110110550588</v>
      </c>
      <c r="O21" s="156">
        <f xml:space="preserve"> SUMIFS('Analysis (TMA)'!R$232:R$320, 'Analysis (TMA)'!$F$231:$F$319, Allowance!$F21)</f>
        <v>2.8147428945819963</v>
      </c>
      <c r="P21" s="156">
        <f xml:space="preserve"> SUMIFS('Analysis (TMA)'!S$232:S$320, 'Analysis (TMA)'!$F$231:$F$319, Allowance!$F21)</f>
        <v>2.8379095027678565</v>
      </c>
      <c r="R21" s="156">
        <f t="shared" si="1"/>
        <v>2.7909971211914901</v>
      </c>
      <c r="S21" s="156">
        <f t="shared" si="2"/>
        <v>13.95498560595745</v>
      </c>
    </row>
    <row r="22" spans="5:19" hidden="1" outlineLevel="1" x14ac:dyDescent="0.35">
      <c r="E22" s="152" t="str">
        <f>InpC!$E$30</f>
        <v>Southern Water</v>
      </c>
      <c r="F22" s="152" t="str">
        <f>InpC!$F$30</f>
        <v>SRN</v>
      </c>
      <c r="G22" s="22" t="s">
        <v>34</v>
      </c>
      <c r="J22" s="156">
        <f xml:space="preserve"> SUMIFS('Analysis (TMA)'!M$232:M$320, 'Analysis (TMA)'!$F$231:$F$319, Allowance!$F22)</f>
        <v>1.5129999999999999</v>
      </c>
      <c r="K22" s="156">
        <f xml:space="preserve"> SUMIFS('Analysis (TMA)'!N$232:N$320, 'Analysis (TMA)'!$F$231:$F$319, Allowance!$F22)</f>
        <v>2.335</v>
      </c>
      <c r="L22" s="156">
        <f xml:space="preserve"> SUMIFS('Analysis (TMA)'!O$232:O$320, 'Analysis (TMA)'!$F$231:$F$319, Allowance!$F22)</f>
        <v>2.1864245363439965</v>
      </c>
      <c r="M22" s="156">
        <f xml:space="preserve"> SUMIFS('Analysis (TMA)'!P$232:P$320, 'Analysis (TMA)'!$F$231:$F$319, Allowance!$F22)</f>
        <v>2.1864245363439965</v>
      </c>
      <c r="N22" s="156">
        <f xml:space="preserve"> SUMIFS('Analysis (TMA)'!Q$232:Q$320, 'Analysis (TMA)'!$F$231:$F$319, Allowance!$F22)</f>
        <v>2.1864245363439965</v>
      </c>
      <c r="O22" s="156">
        <f xml:space="preserve"> SUMIFS('Analysis (TMA)'!R$232:R$320, 'Analysis (TMA)'!$F$231:$F$319, Allowance!$F22)</f>
        <v>2.1864245363439965</v>
      </c>
      <c r="P22" s="156">
        <f xml:space="preserve"> SUMIFS('Analysis (TMA)'!S$232:S$320, 'Analysis (TMA)'!$F$231:$F$319, Allowance!$F22)</f>
        <v>2.1864245363439965</v>
      </c>
      <c r="R22" s="156">
        <f t="shared" si="1"/>
        <v>2.1864245363439965</v>
      </c>
      <c r="S22" s="156">
        <f t="shared" si="2"/>
        <v>10.932122681719981</v>
      </c>
    </row>
    <row r="23" spans="5:19" hidden="1" outlineLevel="1" x14ac:dyDescent="0.35">
      <c r="E23" s="152" t="str">
        <f>InpC!$E$31</f>
        <v>Thames Water</v>
      </c>
      <c r="F23" s="152" t="str">
        <f>InpC!$F$31</f>
        <v>TMS</v>
      </c>
      <c r="G23" s="22" t="s">
        <v>34</v>
      </c>
      <c r="J23" s="156">
        <f xml:space="preserve"> SUMIFS('Analysis (TMA)'!M$232:M$320, 'Analysis (TMA)'!$F$231:$F$319, Allowance!$F23)</f>
        <v>26.219165085388969</v>
      </c>
      <c r="K23" s="156">
        <f xml:space="preserve"> SUMIFS('Analysis (TMA)'!N$232:N$320, 'Analysis (TMA)'!$F$231:$F$319, Allowance!$F23)</f>
        <v>33.487000000000002</v>
      </c>
      <c r="L23" s="156">
        <f xml:space="preserve"> SUMIFS('Analysis (TMA)'!O$232:O$320, 'Analysis (TMA)'!$F$231:$F$319, Allowance!$F23)</f>
        <v>31.282088085631795</v>
      </c>
      <c r="M23" s="156">
        <f xml:space="preserve"> SUMIFS('Analysis (TMA)'!P$232:P$320, 'Analysis (TMA)'!$F$231:$F$319, Allowance!$F23)</f>
        <v>31.282088085631795</v>
      </c>
      <c r="N23" s="156">
        <f xml:space="preserve"> SUMIFS('Analysis (TMA)'!Q$232:Q$320, 'Analysis (TMA)'!$F$231:$F$319, Allowance!$F23)</f>
        <v>31.282088085631795</v>
      </c>
      <c r="O23" s="156">
        <f xml:space="preserve"> SUMIFS('Analysis (TMA)'!R$232:R$320, 'Analysis (TMA)'!$F$231:$F$319, Allowance!$F23)</f>
        <v>31.282088085631795</v>
      </c>
      <c r="P23" s="156">
        <f xml:space="preserve"> SUMIFS('Analysis (TMA)'!S$232:S$320, 'Analysis (TMA)'!$F$231:$F$319, Allowance!$F23)</f>
        <v>31.282088085631795</v>
      </c>
      <c r="R23" s="156">
        <f t="shared" si="1"/>
        <v>31.282088085631795</v>
      </c>
      <c r="S23" s="156">
        <f t="shared" si="2"/>
        <v>156.41044042815898</v>
      </c>
    </row>
    <row r="24" spans="5:19" hidden="1" outlineLevel="1" x14ac:dyDescent="0.35">
      <c r="E24" s="152" t="str">
        <f>InpC!$E$32</f>
        <v>United Utilities</v>
      </c>
      <c r="F24" s="152" t="str">
        <f>InpC!$F$32</f>
        <v>NWT</v>
      </c>
      <c r="G24" s="22" t="s">
        <v>34</v>
      </c>
      <c r="J24" s="156">
        <f xml:space="preserve"> SUMIFS('Analysis (TMA)'!M$232:M$320, 'Analysis (TMA)'!$F$231:$F$319, Allowance!$F24)</f>
        <v>1.6817143322179799</v>
      </c>
      <c r="K24" s="156">
        <f xml:space="preserve"> SUMIFS('Analysis (TMA)'!N$232:N$320, 'Analysis (TMA)'!$F$231:$F$319, Allowance!$F24)</f>
        <v>1.8641387491075021</v>
      </c>
      <c r="L24" s="156">
        <f xml:space="preserve"> SUMIFS('Analysis (TMA)'!O$232:O$320, 'Analysis (TMA)'!$F$231:$F$319, Allowance!$F24)</f>
        <v>1.864022610627089</v>
      </c>
      <c r="M24" s="156">
        <f xml:space="preserve"> SUMIFS('Analysis (TMA)'!P$232:P$320, 'Analysis (TMA)'!$F$231:$F$319, Allowance!$F24)</f>
        <v>1.864022610627089</v>
      </c>
      <c r="N24" s="156">
        <f xml:space="preserve"> SUMIFS('Analysis (TMA)'!Q$232:Q$320, 'Analysis (TMA)'!$F$231:$F$319, Allowance!$F24)</f>
        <v>1.8640226106270901</v>
      </c>
      <c r="O24" s="156">
        <f xml:space="preserve"> SUMIFS('Analysis (TMA)'!R$232:R$320, 'Analysis (TMA)'!$F$231:$F$319, Allowance!$F24)</f>
        <v>1.8640226106270901</v>
      </c>
      <c r="P24" s="156">
        <f xml:space="preserve"> SUMIFS('Analysis (TMA)'!S$232:S$320, 'Analysis (TMA)'!$F$231:$F$319, Allowance!$F24)</f>
        <v>1.8640226106270901</v>
      </c>
      <c r="R24" s="156">
        <f t="shared" si="1"/>
        <v>1.8640226106270898</v>
      </c>
      <c r="S24" s="156">
        <f t="shared" si="2"/>
        <v>9.320113053135449</v>
      </c>
    </row>
    <row r="25" spans="5:19" hidden="1" outlineLevel="1" x14ac:dyDescent="0.35">
      <c r="E25" s="152" t="str">
        <f>InpC!$E$33</f>
        <v>Wessex Water</v>
      </c>
      <c r="F25" s="152" t="str">
        <f>InpC!$F$33</f>
        <v>WSX</v>
      </c>
      <c r="G25" s="22" t="s">
        <v>34</v>
      </c>
      <c r="J25" s="156">
        <f xml:space="preserve"> SUMIFS('Analysis (TMA)'!M$232:M$320, 'Analysis (TMA)'!$F$231:$F$319, Allowance!$F25)</f>
        <v>0.11653587012320329</v>
      </c>
      <c r="K25" s="156">
        <f xml:space="preserve"> SUMIFS('Analysis (TMA)'!N$232:N$320, 'Analysis (TMA)'!$F$231:$F$319, Allowance!$F25)</f>
        <v>0.113737443673724</v>
      </c>
      <c r="L25" s="156">
        <f xml:space="preserve"> SUMIFS('Analysis (TMA)'!O$232:O$320, 'Analysis (TMA)'!$F$231:$F$319, Allowance!$F25)</f>
        <v>8.2142424463669414E-2</v>
      </c>
      <c r="M25" s="156">
        <f xml:space="preserve"> SUMIFS('Analysis (TMA)'!P$232:P$320, 'Analysis (TMA)'!$F$231:$F$319, Allowance!$F25)</f>
        <v>8.7153848961745148E-2</v>
      </c>
      <c r="N25" s="156">
        <f xml:space="preserve"> SUMIFS('Analysis (TMA)'!Q$232:Q$320, 'Analysis (TMA)'!$F$231:$F$319, Allowance!$F25)</f>
        <v>8.6519601568210008E-2</v>
      </c>
      <c r="O25" s="156">
        <f xml:space="preserve"> SUMIFS('Analysis (TMA)'!R$232:R$320, 'Analysis (TMA)'!$F$231:$F$319, Allowance!$F25)</f>
        <v>8.6094685385458503E-2</v>
      </c>
      <c r="P25" s="156">
        <f xml:space="preserve"> SUMIFS('Analysis (TMA)'!S$232:S$320, 'Analysis (TMA)'!$F$231:$F$319, Allowance!$F25)</f>
        <v>9.0237923933368505E-2</v>
      </c>
      <c r="R25" s="156">
        <f t="shared" si="1"/>
        <v>8.6429696862490316E-2</v>
      </c>
      <c r="S25" s="156">
        <f t="shared" si="2"/>
        <v>0.43214848431245156</v>
      </c>
    </row>
    <row r="26" spans="5:19" hidden="1" outlineLevel="1" x14ac:dyDescent="0.35">
      <c r="E26" s="152" t="str">
        <f>InpC!$E$34</f>
        <v>Yorkshire Water</v>
      </c>
      <c r="F26" s="152" t="str">
        <f>InpC!$F$34</f>
        <v>YKY</v>
      </c>
      <c r="G26" s="22" t="s">
        <v>34</v>
      </c>
      <c r="J26" s="156">
        <f xml:space="preserve"> SUMIFS('Analysis (TMA)'!M$232:M$320, 'Analysis (TMA)'!$F$231:$F$319, Allowance!$F26)</f>
        <v>3.0313478434561851</v>
      </c>
      <c r="K26" s="156">
        <f xml:space="preserve"> SUMIFS('Analysis (TMA)'!N$232:N$320, 'Analysis (TMA)'!$F$231:$F$319, Allowance!$F26)</f>
        <v>3.395046778847516</v>
      </c>
      <c r="L26" s="156">
        <f xml:space="preserve"> SUMIFS('Analysis (TMA)'!O$232:O$320, 'Analysis (TMA)'!$F$231:$F$319, Allowance!$F26)</f>
        <v>3.6230637970791704</v>
      </c>
      <c r="M26" s="156">
        <f xml:space="preserve"> SUMIFS('Analysis (TMA)'!P$232:P$320, 'Analysis (TMA)'!$F$231:$F$319, Allowance!$F26)</f>
        <v>3.6230637970791704</v>
      </c>
      <c r="N26" s="156">
        <f xml:space="preserve"> SUMIFS('Analysis (TMA)'!Q$232:Q$320, 'Analysis (TMA)'!$F$231:$F$319, Allowance!$F26)</f>
        <v>3.6230637970791704</v>
      </c>
      <c r="O26" s="156">
        <f xml:space="preserve"> SUMIFS('Analysis (TMA)'!R$232:R$320, 'Analysis (TMA)'!$F$231:$F$319, Allowance!$F26)</f>
        <v>3.6230637970791704</v>
      </c>
      <c r="P26" s="156">
        <f xml:space="preserve"> SUMIFS('Analysis (TMA)'!S$232:S$320, 'Analysis (TMA)'!$F$231:$F$319, Allowance!$F26)</f>
        <v>3.6230637970791704</v>
      </c>
      <c r="R26" s="156">
        <f t="shared" si="1"/>
        <v>3.6230637970791704</v>
      </c>
      <c r="S26" s="156">
        <f t="shared" si="2"/>
        <v>18.115318985395852</v>
      </c>
    </row>
    <row r="27" spans="5:19" hidden="1" outlineLevel="1" x14ac:dyDescent="0.35">
      <c r="E27" s="152" t="str">
        <f>InpC!$E$35</f>
        <v>Affinity Water</v>
      </c>
      <c r="F27" s="152" t="str">
        <f>InpC!$F$35</f>
        <v>AFW</v>
      </c>
      <c r="G27" s="22" t="s">
        <v>34</v>
      </c>
      <c r="J27" s="156">
        <f xml:space="preserve"> SUMIFS('Analysis (TMA)'!M$232:M$320, 'Analysis (TMA)'!$F$231:$F$319, Allowance!$F27)</f>
        <v>0.48099999999999998</v>
      </c>
      <c r="K27" s="156">
        <f xml:space="preserve"> SUMIFS('Analysis (TMA)'!N$232:N$320, 'Analysis (TMA)'!$F$231:$F$319, Allowance!$F27)</f>
        <v>0.623</v>
      </c>
      <c r="L27" s="156">
        <f xml:space="preserve"> SUMIFS('Analysis (TMA)'!O$232:O$320, 'Analysis (TMA)'!$F$231:$F$319, Allowance!$F27)</f>
        <v>0.64494322203917864</v>
      </c>
      <c r="M27" s="156">
        <f xml:space="preserve"> SUMIFS('Analysis (TMA)'!P$232:P$320, 'Analysis (TMA)'!$F$231:$F$319, Allowance!$F27)</f>
        <v>0.64494322203917864</v>
      </c>
      <c r="N27" s="156">
        <f xml:space="preserve"> SUMIFS('Analysis (TMA)'!Q$232:Q$320, 'Analysis (TMA)'!$F$231:$F$319, Allowance!$F27)</f>
        <v>0.64593544238077738</v>
      </c>
      <c r="O27" s="156">
        <f xml:space="preserve"> SUMIFS('Analysis (TMA)'!R$232:R$320, 'Analysis (TMA)'!$F$231:$F$319, Allowance!$F27)</f>
        <v>0.64593544238077738</v>
      </c>
      <c r="P27" s="156">
        <f xml:space="preserve"> SUMIFS('Analysis (TMA)'!S$232:S$320, 'Analysis (TMA)'!$F$231:$F$319, Allowance!$F27)</f>
        <v>0.64593544238077738</v>
      </c>
      <c r="R27" s="156">
        <f t="shared" si="1"/>
        <v>0.64553855424413797</v>
      </c>
      <c r="S27" s="156">
        <f t="shared" si="2"/>
        <v>3.2276927712206898</v>
      </c>
    </row>
    <row r="28" spans="5:19" hidden="1" outlineLevel="1" x14ac:dyDescent="0.35">
      <c r="E28" s="152" t="str">
        <f>InpC!$E$36</f>
        <v>Portsmouth Water</v>
      </c>
      <c r="F28" s="152" t="str">
        <f>InpC!$F$36</f>
        <v>PRT</v>
      </c>
      <c r="G28" s="22" t="s">
        <v>34</v>
      </c>
      <c r="J28" s="156">
        <f xml:space="preserve"> SUMIFS('Analysis (TMA)'!M$232:M$320, 'Analysis (TMA)'!$F$231:$F$319, Allowance!$F28)</f>
        <v>0.1212731006160164</v>
      </c>
      <c r="K28" s="156">
        <f xml:space="preserve"> SUMIFS('Analysis (TMA)'!N$232:N$320, 'Analysis (TMA)'!$F$231:$F$319, Allowance!$F28)</f>
        <v>0.41</v>
      </c>
      <c r="L28" s="156">
        <f xml:space="preserve"> SUMIFS('Analysis (TMA)'!O$232:O$320, 'Analysis (TMA)'!$F$231:$F$319, Allowance!$F28)</f>
        <v>0.48699999999999999</v>
      </c>
      <c r="M28" s="156">
        <f xml:space="preserve"> SUMIFS('Analysis (TMA)'!P$232:P$320, 'Analysis (TMA)'!$F$231:$F$319, Allowance!$F28)</f>
        <v>0.49164000000000002</v>
      </c>
      <c r="N28" s="156">
        <f xml:space="preserve"> SUMIFS('Analysis (TMA)'!Q$232:Q$320, 'Analysis (TMA)'!$F$231:$F$319, Allowance!$F28)</f>
        <v>0.48681999999999997</v>
      </c>
      <c r="O28" s="156">
        <f xml:space="preserve"> SUMIFS('Analysis (TMA)'!R$232:R$320, 'Analysis (TMA)'!$F$231:$F$319, Allowance!$F28)</f>
        <v>0.48681999999999997</v>
      </c>
      <c r="P28" s="156">
        <f xml:space="preserve"> SUMIFS('Analysis (TMA)'!S$232:S$320, 'Analysis (TMA)'!$F$231:$F$319, Allowance!$F28)</f>
        <v>0.48681999999999997</v>
      </c>
      <c r="R28" s="156">
        <f t="shared" si="1"/>
        <v>0.48781999999999998</v>
      </c>
      <c r="S28" s="156">
        <f t="shared" si="2"/>
        <v>2.4390999999999998</v>
      </c>
    </row>
    <row r="29" spans="5:19" hidden="1" outlineLevel="1" x14ac:dyDescent="0.35">
      <c r="E29" s="152" t="str">
        <f>InpC!$E$37</f>
        <v>South East Water</v>
      </c>
      <c r="F29" s="152" t="str">
        <f>InpC!$F$37</f>
        <v>SEW</v>
      </c>
      <c r="G29" s="22" t="s">
        <v>34</v>
      </c>
      <c r="J29" s="156">
        <f xml:space="preserve"> SUMIFS('Analysis (TMA)'!M$232:M$320, 'Analysis (TMA)'!$F$231:$F$319, Allowance!$F29)</f>
        <v>1.0507178729007369</v>
      </c>
      <c r="K29" s="156">
        <f xml:space="preserve"> SUMIFS('Analysis (TMA)'!N$232:N$320, 'Analysis (TMA)'!$F$231:$F$319, Allowance!$F29)</f>
        <v>1.366560737738022</v>
      </c>
      <c r="L29" s="156">
        <f xml:space="preserve"> SUMIFS('Analysis (TMA)'!O$232:O$320, 'Analysis (TMA)'!$F$231:$F$319, Allowance!$F29)</f>
        <v>1.2769333087197414</v>
      </c>
      <c r="M29" s="156">
        <f xml:space="preserve"> SUMIFS('Analysis (TMA)'!P$232:P$320, 'Analysis (TMA)'!$F$231:$F$319, Allowance!$F29)</f>
        <v>1.2769333087197414</v>
      </c>
      <c r="N29" s="156">
        <f xml:space="preserve"> SUMIFS('Analysis (TMA)'!Q$232:Q$320, 'Analysis (TMA)'!$F$231:$F$319, Allowance!$F29)</f>
        <v>1.2769333087197414</v>
      </c>
      <c r="O29" s="156">
        <f xml:space="preserve"> SUMIFS('Analysis (TMA)'!R$232:R$320, 'Analysis (TMA)'!$F$231:$F$319, Allowance!$F29)</f>
        <v>1.2769333087197414</v>
      </c>
      <c r="P29" s="156">
        <f xml:space="preserve"> SUMIFS('Analysis (TMA)'!S$232:S$320, 'Analysis (TMA)'!$F$231:$F$319, Allowance!$F29)</f>
        <v>1.2769333087197414</v>
      </c>
      <c r="R29" s="156">
        <f t="shared" si="1"/>
        <v>1.2769333087197414</v>
      </c>
      <c r="S29" s="156">
        <f t="shared" si="2"/>
        <v>6.3846665435987067</v>
      </c>
    </row>
    <row r="30" spans="5:19" hidden="1" outlineLevel="1" x14ac:dyDescent="0.35">
      <c r="E30" s="152" t="str">
        <f>InpC!$E$38</f>
        <v>South Staffs Water</v>
      </c>
      <c r="F30" s="152" t="str">
        <f>InpC!$F$38</f>
        <v>SSC</v>
      </c>
      <c r="G30" s="22" t="s">
        <v>34</v>
      </c>
      <c r="J30" s="156">
        <f xml:space="preserve"> SUMIFS('Analysis (TMA)'!M$232:M$320, 'Analysis (TMA)'!$F$231:$F$319, Allowance!$F30)</f>
        <v>0.48899999999999999</v>
      </c>
      <c r="K30" s="156">
        <f xml:space="preserve"> SUMIFS('Analysis (TMA)'!N$232:N$320, 'Analysis (TMA)'!$F$231:$F$319, Allowance!$F30)</f>
        <v>0.48899999999999999</v>
      </c>
      <c r="L30" s="156">
        <f xml:space="preserve"> SUMIFS('Analysis (TMA)'!O$232:O$320, 'Analysis (TMA)'!$F$231:$F$319, Allowance!$F30)</f>
        <v>0.48899999999999999</v>
      </c>
      <c r="M30" s="156">
        <f xml:space="preserve"> SUMIFS('Analysis (TMA)'!P$232:P$320, 'Analysis (TMA)'!$F$231:$F$319, Allowance!$F30)</f>
        <v>0.48899999999999999</v>
      </c>
      <c r="N30" s="156">
        <f xml:space="preserve"> SUMIFS('Analysis (TMA)'!Q$232:Q$320, 'Analysis (TMA)'!$F$231:$F$319, Allowance!$F30)</f>
        <v>0.48899999999999999</v>
      </c>
      <c r="O30" s="156">
        <f xml:space="preserve"> SUMIFS('Analysis (TMA)'!R$232:R$320, 'Analysis (TMA)'!$F$231:$F$319, Allowance!$F30)</f>
        <v>0.48899999999999999</v>
      </c>
      <c r="P30" s="156">
        <f xml:space="preserve"> SUMIFS('Analysis (TMA)'!S$232:S$320, 'Analysis (TMA)'!$F$231:$F$319, Allowance!$F30)</f>
        <v>0.48899999999999999</v>
      </c>
      <c r="R30" s="156">
        <f t="shared" si="1"/>
        <v>0.48899999999999999</v>
      </c>
      <c r="S30" s="156">
        <f t="shared" si="2"/>
        <v>2.4449999999999998</v>
      </c>
    </row>
    <row r="31" spans="5:19" hidden="1" outlineLevel="1" x14ac:dyDescent="0.35">
      <c r="E31" s="152" t="str">
        <f>InpC!$E$39</f>
        <v>SES Water</v>
      </c>
      <c r="F31" s="152" t="str">
        <f>InpC!$F$39</f>
        <v>SES</v>
      </c>
      <c r="G31" s="22" t="s">
        <v>34</v>
      </c>
      <c r="J31" s="156">
        <f xml:space="preserve"> SUMIFS('Analysis (TMA)'!M$232:M$320, 'Analysis (TMA)'!$F$231:$F$319, Allowance!$F31)</f>
        <v>0.34269271435338688</v>
      </c>
      <c r="K31" s="156">
        <f xml:space="preserve"> SUMIFS('Analysis (TMA)'!N$232:N$320, 'Analysis (TMA)'!$F$231:$F$319, Allowance!$F31)</f>
        <v>0.33700000000000002</v>
      </c>
      <c r="L31" s="156">
        <f xml:space="preserve"> SUMIFS('Analysis (TMA)'!O$232:O$320, 'Analysis (TMA)'!$F$231:$F$319, Allowance!$F31)</f>
        <v>0.30959999999999999</v>
      </c>
      <c r="M31" s="156">
        <f xml:space="preserve"> SUMIFS('Analysis (TMA)'!P$232:P$320, 'Analysis (TMA)'!$F$231:$F$319, Allowance!$F31)</f>
        <v>0.31229999999999997</v>
      </c>
      <c r="N31" s="156">
        <f xml:space="preserve"> SUMIFS('Analysis (TMA)'!Q$232:Q$320, 'Analysis (TMA)'!$F$231:$F$319, Allowance!$F31)</f>
        <v>0.31319999999999998</v>
      </c>
      <c r="O31" s="156">
        <f xml:space="preserve"> SUMIFS('Analysis (TMA)'!R$232:R$320, 'Analysis (TMA)'!$F$231:$F$319, Allowance!$F31)</f>
        <v>0.31859999999999999</v>
      </c>
      <c r="P31" s="156">
        <f xml:space="preserve"> SUMIFS('Analysis (TMA)'!S$232:S$320, 'Analysis (TMA)'!$F$231:$F$319, Allowance!$F31)</f>
        <v>0.32129999999999997</v>
      </c>
      <c r="R31" s="156">
        <f t="shared" si="1"/>
        <v>0.31499999999999995</v>
      </c>
      <c r="S31" s="156">
        <f t="shared" si="2"/>
        <v>1.5749999999999997</v>
      </c>
    </row>
    <row r="32" spans="5:19" hidden="1" outlineLevel="1" x14ac:dyDescent="0.35">
      <c r="E32" s="152" t="str">
        <f>InpC!$E$40</f>
        <v>South West Water</v>
      </c>
      <c r="F32" s="152" t="str">
        <f>InpC!$F$40</f>
        <v>SWB</v>
      </c>
      <c r="G32" s="22" t="s">
        <v>34</v>
      </c>
      <c r="J32" s="156">
        <f xml:space="preserve"> SUMIFS('Analysis (TMA)'!M$232:M$320, 'Analysis (TMA)'!$F$231:$F$319, Allowance!$F32)</f>
        <v>0.79</v>
      </c>
      <c r="K32" s="156">
        <f xml:space="preserve"> SUMIFS('Analysis (TMA)'!N$232:N$320, 'Analysis (TMA)'!$F$231:$F$319, Allowance!$F32)</f>
        <v>0.20899999999999999</v>
      </c>
      <c r="L32" s="156">
        <f xml:space="preserve"> SUMIFS('Analysis (TMA)'!O$232:O$320, 'Analysis (TMA)'!$F$231:$F$319, Allowance!$F32)</f>
        <v>0.14199529599999999</v>
      </c>
      <c r="M32" s="156">
        <f xml:space="preserve"> SUMIFS('Analysis (TMA)'!P$232:P$320, 'Analysis (TMA)'!$F$231:$F$319, Allowance!$F32)</f>
        <v>0.133004648</v>
      </c>
      <c r="N32" s="156">
        <f xml:space="preserve"> SUMIFS('Analysis (TMA)'!Q$232:Q$320, 'Analysis (TMA)'!$F$231:$F$319, Allowance!$F32)</f>
        <v>0.123995114</v>
      </c>
      <c r="O32" s="156">
        <f xml:space="preserve"> SUMIFS('Analysis (TMA)'!R$232:R$320, 'Analysis (TMA)'!$F$231:$F$319, Allowance!$F32)</f>
        <v>0.114998539</v>
      </c>
      <c r="P32" s="156">
        <f xml:space="preserve"> SUMIFS('Analysis (TMA)'!S$232:S$320, 'Analysis (TMA)'!$F$231:$F$319, Allowance!$F32)</f>
        <v>0.107004223</v>
      </c>
      <c r="R32" s="156">
        <f t="shared" si="1"/>
        <v>0.12419956400000001</v>
      </c>
      <c r="S32" s="156">
        <f t="shared" si="2"/>
        <v>0.62099782000000003</v>
      </c>
    </row>
    <row r="33" spans="1:19" hidden="1" outlineLevel="1" x14ac:dyDescent="0.35">
      <c r="E33" s="152" t="str">
        <f>InpC!$E$41</f>
        <v>Bristol Water</v>
      </c>
      <c r="F33" s="152" t="str">
        <f>InpC!$F$41</f>
        <v>BRL</v>
      </c>
      <c r="G33" s="22" t="s">
        <v>34</v>
      </c>
      <c r="J33" s="156">
        <f xml:space="preserve"> SUMIFS('Analysis (TMA)'!M$232:M$320, 'Analysis (TMA)'!$F$231:$F$319, Allowance!$F33)</f>
        <v>0.44719455852156048</v>
      </c>
      <c r="K33" s="156">
        <f xml:space="preserve"> SUMIFS('Analysis (TMA)'!N$232:N$320, 'Analysis (TMA)'!$F$231:$F$319, Allowance!$F33)</f>
        <v>0.47199999999999998</v>
      </c>
      <c r="L33" s="156">
        <f xml:space="preserve"> SUMIFS('Analysis (TMA)'!O$232:O$320, 'Analysis (TMA)'!$F$231:$F$319, Allowance!$F33)</f>
        <v>0.18539385899999999</v>
      </c>
      <c r="M33" s="156">
        <f xml:space="preserve"> SUMIFS('Analysis (TMA)'!P$232:P$320, 'Analysis (TMA)'!$F$231:$F$319, Allowance!$F33)</f>
        <v>0.18540647900000001</v>
      </c>
      <c r="N33" s="156">
        <f xml:space="preserve"> SUMIFS('Analysis (TMA)'!Q$232:Q$320, 'Analysis (TMA)'!$F$231:$F$319, Allowance!$F33)</f>
        <v>0.185392694</v>
      </c>
      <c r="O33" s="156">
        <f xml:space="preserve"> SUMIFS('Analysis (TMA)'!R$232:R$320, 'Analysis (TMA)'!$F$231:$F$319, Allowance!$F33)</f>
        <v>0.185397645</v>
      </c>
      <c r="P33" s="156">
        <f xml:space="preserve"> SUMIFS('Analysis (TMA)'!S$232:S$320, 'Analysis (TMA)'!$F$231:$F$319, Allowance!$F33)</f>
        <v>0.18540731699999999</v>
      </c>
      <c r="R33" s="156">
        <f t="shared" si="1"/>
        <v>0.18539959880000001</v>
      </c>
      <c r="S33" s="156">
        <f t="shared" si="2"/>
        <v>0.92699799400000005</v>
      </c>
    </row>
    <row r="34" spans="1:19" hidden="1" outlineLevel="1" x14ac:dyDescent="0.35">
      <c r="E34" s="152" t="s">
        <v>147</v>
      </c>
      <c r="G34" s="22" t="s">
        <v>34</v>
      </c>
      <c r="J34" s="157">
        <f t="shared" ref="J34:P34" si="3">SUM(J17:J33)</f>
        <v>39.337334352283577</v>
      </c>
      <c r="K34" s="157">
        <f t="shared" si="3"/>
        <v>48.200613702968781</v>
      </c>
      <c r="L34" s="157">
        <f t="shared" si="3"/>
        <v>47.273511334041672</v>
      </c>
      <c r="M34" s="157">
        <f t="shared" si="3"/>
        <v>47.320677563088047</v>
      </c>
      <c r="N34" s="157">
        <f t="shared" si="3"/>
        <v>47.352877690696666</v>
      </c>
      <c r="O34" s="157">
        <f t="shared" si="3"/>
        <v>47.39466239451999</v>
      </c>
      <c r="P34" s="157">
        <f t="shared" si="3"/>
        <v>47.438306462728448</v>
      </c>
      <c r="R34" s="157">
        <f t="shared" ref="R34:S34" si="4">SUM(R17:R33)</f>
        <v>47.356007089014959</v>
      </c>
      <c r="S34" s="157">
        <f t="shared" si="4"/>
        <v>236.78003544507484</v>
      </c>
    </row>
    <row r="36" spans="1:19" x14ac:dyDescent="0.35">
      <c r="D36" s="151" t="s">
        <v>234</v>
      </c>
      <c r="J36" s="74">
        <f t="shared" ref="J36:P36" si="5">J$2</f>
        <v>45382</v>
      </c>
      <c r="K36" s="74">
        <f t="shared" si="5"/>
        <v>45747</v>
      </c>
      <c r="L36" s="74">
        <f t="shared" si="5"/>
        <v>46112</v>
      </c>
      <c r="M36" s="74">
        <f t="shared" si="5"/>
        <v>46477</v>
      </c>
      <c r="N36" s="74">
        <f t="shared" si="5"/>
        <v>46843</v>
      </c>
      <c r="O36" s="74">
        <f t="shared" si="5"/>
        <v>47208</v>
      </c>
      <c r="P36" s="74">
        <f t="shared" si="5"/>
        <v>47573</v>
      </c>
      <c r="R36" s="74" t="str">
        <f t="shared" ref="R36:S36" si="6">R$2</f>
        <v>PR24 Average</v>
      </c>
      <c r="S36" s="74" t="str">
        <f t="shared" si="6"/>
        <v>PR24 Total</v>
      </c>
    </row>
    <row r="37" spans="1:19" x14ac:dyDescent="0.35">
      <c r="A37" s="152"/>
      <c r="B37" s="152"/>
      <c r="C37" s="152"/>
      <c r="D37" s="152"/>
      <c r="J37" s="74"/>
      <c r="K37" s="74"/>
      <c r="L37" s="74"/>
      <c r="M37" s="74"/>
      <c r="N37" s="74"/>
      <c r="O37" s="74"/>
      <c r="P37" s="74"/>
      <c r="R37" s="74"/>
      <c r="S37" s="74"/>
    </row>
    <row r="38" spans="1:19" collapsed="1" x14ac:dyDescent="0.35">
      <c r="E38" s="151" t="s">
        <v>180</v>
      </c>
    </row>
    <row r="39" spans="1:19" hidden="1" outlineLevel="1" x14ac:dyDescent="0.35"/>
    <row r="40" spans="1:19" hidden="1" outlineLevel="1" x14ac:dyDescent="0.35">
      <c r="E40" s="155" t="s">
        <v>177</v>
      </c>
      <c r="J40" s="153"/>
      <c r="K40" s="153"/>
      <c r="L40" s="153"/>
      <c r="M40" s="153"/>
      <c r="N40" s="153"/>
      <c r="O40" s="153"/>
      <c r="P40" s="153"/>
      <c r="R40" s="153"/>
      <c r="S40" s="153"/>
    </row>
    <row r="41" spans="1:19" hidden="1" outlineLevel="1" x14ac:dyDescent="0.35">
      <c r="E41" s="129">
        <f>InpT!$F$8</f>
        <v>45016</v>
      </c>
      <c r="G41" s="22" t="s">
        <v>178</v>
      </c>
      <c r="J41" s="153"/>
      <c r="K41" s="153"/>
      <c r="L41" s="153"/>
      <c r="M41" s="153"/>
      <c r="N41" s="153"/>
      <c r="O41" s="153"/>
      <c r="P41" s="153"/>
      <c r="R41" s="153"/>
      <c r="S41" s="153"/>
    </row>
    <row r="42" spans="1:19" hidden="1" outlineLevel="1" x14ac:dyDescent="0.35">
      <c r="E42" s="129"/>
      <c r="J42" s="153"/>
      <c r="K42" s="153"/>
      <c r="L42" s="153"/>
      <c r="M42" s="153"/>
      <c r="N42" s="153"/>
      <c r="O42" s="153"/>
      <c r="P42" s="153"/>
      <c r="R42" s="153"/>
      <c r="S42" s="153"/>
    </row>
    <row r="43" spans="1:19" hidden="1" outlineLevel="1" x14ac:dyDescent="0.35">
      <c r="E43" s="152" t="str">
        <f>InpC!$E$25</f>
        <v>Anglian Water</v>
      </c>
      <c r="F43" s="152" t="str">
        <f>InpC!$F$25</f>
        <v>ANH</v>
      </c>
      <c r="G43" s="22" t="s">
        <v>34</v>
      </c>
      <c r="J43" s="156">
        <f xml:space="preserve"> SUMIFS('Analysis (TMA)'!M$233:M$321, 'Analysis (TMA)'!$F$231:$F$319, Allowance!$F43)</f>
        <v>5.5899471252566738E-2</v>
      </c>
      <c r="K43" s="156">
        <f xml:space="preserve"> SUMIFS('Analysis (TMA)'!N$233:N$321, 'Analysis (TMA)'!$F$231:$F$319, Allowance!$F43)</f>
        <v>8.0419551962904054E-2</v>
      </c>
      <c r="L43" s="156">
        <f xml:space="preserve"> SUMIFS('Analysis (TMA)'!O$233:O$321, 'Analysis (TMA)'!$F$231:$F$319, Allowance!$F43)</f>
        <v>8.3699999999999997E-2</v>
      </c>
      <c r="M43" s="156">
        <f xml:space="preserve"> SUMIFS('Analysis (TMA)'!P$233:P$321, 'Analysis (TMA)'!$F$231:$F$319, Allowance!$F43)</f>
        <v>8.3699999999999997E-2</v>
      </c>
      <c r="N43" s="156">
        <f xml:space="preserve"> SUMIFS('Analysis (TMA)'!Q$233:Q$321, 'Analysis (TMA)'!$F$231:$F$319, Allowance!$F43)</f>
        <v>8.3699999999999997E-2</v>
      </c>
      <c r="O43" s="156">
        <f xml:space="preserve"> SUMIFS('Analysis (TMA)'!R$233:R$321, 'Analysis (TMA)'!$F$231:$F$319, Allowance!$F43)</f>
        <v>8.3699999999999997E-2</v>
      </c>
      <c r="P43" s="156">
        <f xml:space="preserve"> SUMIFS('Analysis (TMA)'!S$233:S$321, 'Analysis (TMA)'!$F$231:$F$319, Allowance!$F43)</f>
        <v>8.3699999999999997E-2</v>
      </c>
      <c r="R43" s="156">
        <f t="shared" ref="R43:R59" si="7">IFERROR(AVERAGE(L43:P43),0)</f>
        <v>8.3699999999999997E-2</v>
      </c>
      <c r="S43" s="156">
        <f t="shared" ref="S43:S59" si="8">SUM(L43:P43)</f>
        <v>0.41849999999999998</v>
      </c>
    </row>
    <row r="44" spans="1:19" hidden="1" outlineLevel="1" x14ac:dyDescent="0.35">
      <c r="E44" s="152" t="str">
        <f>InpC!$E$26</f>
        <v>Dŵr Cymru</v>
      </c>
      <c r="F44" s="152" t="str">
        <f>InpC!$F$26</f>
        <v>WSH</v>
      </c>
      <c r="G44" s="22" t="s">
        <v>34</v>
      </c>
      <c r="J44" s="156">
        <f xml:space="preserve"> SUMIFS('Analysis (TMA)'!M$233:M$321, 'Analysis (TMA)'!$F$231:$F$319, Allowance!$F44)</f>
        <v>2.1999999999999999E-2</v>
      </c>
      <c r="K44" s="156">
        <f xml:space="preserve"> SUMIFS('Analysis (TMA)'!N$233:N$321, 'Analysis (TMA)'!$F$231:$F$319, Allowance!$F44)</f>
        <v>4.3999999999999997E-2</v>
      </c>
      <c r="L44" s="156">
        <f xml:space="preserve"> SUMIFS('Analysis (TMA)'!O$233:O$321, 'Analysis (TMA)'!$F$231:$F$319, Allowance!$F44)</f>
        <v>2.7E-2</v>
      </c>
      <c r="M44" s="156">
        <f xml:space="preserve"> SUMIFS('Analysis (TMA)'!P$233:P$321, 'Analysis (TMA)'!$F$231:$F$319, Allowance!$F44)</f>
        <v>2.5000000000000001E-2</v>
      </c>
      <c r="N44" s="156">
        <f xml:space="preserve"> SUMIFS('Analysis (TMA)'!Q$233:Q$321, 'Analysis (TMA)'!$F$231:$F$319, Allowance!$F44)</f>
        <v>2.5000000000000001E-2</v>
      </c>
      <c r="O44" s="156">
        <f xml:space="preserve"> SUMIFS('Analysis (TMA)'!R$233:R$321, 'Analysis (TMA)'!$F$231:$F$319, Allowance!$F44)</f>
        <v>2.4E-2</v>
      </c>
      <c r="P44" s="156">
        <f xml:space="preserve"> SUMIFS('Analysis (TMA)'!S$233:S$321, 'Analysis (TMA)'!$F$231:$F$319, Allowance!$F44)</f>
        <v>2.4E-2</v>
      </c>
      <c r="R44" s="156">
        <f t="shared" si="7"/>
        <v>2.5000000000000001E-2</v>
      </c>
      <c r="S44" s="156">
        <f t="shared" si="8"/>
        <v>0.125</v>
      </c>
    </row>
    <row r="45" spans="1:19" hidden="1" outlineLevel="1" x14ac:dyDescent="0.35">
      <c r="E45" s="152" t="str">
        <f>InpC!$E$27</f>
        <v>Hafren Dyfrdwy</v>
      </c>
      <c r="F45" s="152" t="str">
        <f>InpC!$F$27</f>
        <v>HDD</v>
      </c>
      <c r="G45" s="22" t="s">
        <v>34</v>
      </c>
      <c r="J45" s="156">
        <f xml:space="preserve"> SUMIFS('Analysis (TMA)'!M$233:M$321, 'Analysis (TMA)'!$F$231:$F$319, Allowance!$F45)</f>
        <v>0</v>
      </c>
      <c r="K45" s="156">
        <f xml:space="preserve"> SUMIFS('Analysis (TMA)'!N$233:N$321, 'Analysis (TMA)'!$F$231:$F$319, Allowance!$F45)</f>
        <v>0</v>
      </c>
      <c r="L45" s="156">
        <f xml:space="preserve"> SUMIFS('Analysis (TMA)'!O$233:O$321, 'Analysis (TMA)'!$F$231:$F$319, Allowance!$F45)</f>
        <v>0</v>
      </c>
      <c r="M45" s="156">
        <f xml:space="preserve"> SUMIFS('Analysis (TMA)'!P$233:P$321, 'Analysis (TMA)'!$F$231:$F$319, Allowance!$F45)</f>
        <v>0</v>
      </c>
      <c r="N45" s="156">
        <f xml:space="preserve"> SUMIFS('Analysis (TMA)'!Q$233:Q$321, 'Analysis (TMA)'!$F$231:$F$319, Allowance!$F45)</f>
        <v>0</v>
      </c>
      <c r="O45" s="156">
        <f xml:space="preserve"> SUMIFS('Analysis (TMA)'!R$233:R$321, 'Analysis (TMA)'!$F$231:$F$319, Allowance!$F45)</f>
        <v>0</v>
      </c>
      <c r="P45" s="156">
        <f xml:space="preserve"> SUMIFS('Analysis (TMA)'!S$233:S$321, 'Analysis (TMA)'!$F$231:$F$319, Allowance!$F45)</f>
        <v>0</v>
      </c>
      <c r="R45" s="156">
        <f t="shared" si="7"/>
        <v>0</v>
      </c>
      <c r="S45" s="156">
        <f t="shared" si="8"/>
        <v>0</v>
      </c>
    </row>
    <row r="46" spans="1:19" hidden="1" outlineLevel="1" x14ac:dyDescent="0.35">
      <c r="E46" s="152" t="str">
        <f>InpC!$E$28</f>
        <v>Northumbrian Water</v>
      </c>
      <c r="F46" s="152" t="str">
        <f>InpC!$F$28</f>
        <v>NES</v>
      </c>
      <c r="G46" s="22" t="s">
        <v>34</v>
      </c>
      <c r="J46" s="156">
        <f xml:space="preserve"> SUMIFS('Analysis (TMA)'!M$233:M$321, 'Analysis (TMA)'!$F$231:$F$319, Allowance!$F46)</f>
        <v>1.4211691674506781E-2</v>
      </c>
      <c r="K46" s="156">
        <f xml:space="preserve"> SUMIFS('Analysis (TMA)'!N$233:N$321, 'Analysis (TMA)'!$F$231:$F$319, Allowance!$F46)</f>
        <v>2.1000000000000001E-2</v>
      </c>
      <c r="L46" s="156">
        <f xml:space="preserve"> SUMIFS('Analysis (TMA)'!O$233:O$321, 'Analysis (TMA)'!$F$231:$F$319, Allowance!$F46)</f>
        <v>1.89E-2</v>
      </c>
      <c r="M46" s="156">
        <f xml:space="preserve"> SUMIFS('Analysis (TMA)'!P$233:P$321, 'Analysis (TMA)'!$F$231:$F$319, Allowance!$F46)</f>
        <v>1.89E-2</v>
      </c>
      <c r="N46" s="156">
        <f xml:space="preserve"> SUMIFS('Analysis (TMA)'!Q$233:Q$321, 'Analysis (TMA)'!$F$231:$F$319, Allowance!$F46)</f>
        <v>1.89E-2</v>
      </c>
      <c r="O46" s="156">
        <f xml:space="preserve"> SUMIFS('Analysis (TMA)'!R$233:R$321, 'Analysis (TMA)'!$F$231:$F$319, Allowance!$F46)</f>
        <v>1.89E-2</v>
      </c>
      <c r="P46" s="156">
        <f xml:space="preserve"> SUMIFS('Analysis (TMA)'!S$233:S$321, 'Analysis (TMA)'!$F$231:$F$319, Allowance!$F46)</f>
        <v>1.89E-2</v>
      </c>
      <c r="R46" s="156">
        <f t="shared" si="7"/>
        <v>1.89E-2</v>
      </c>
      <c r="S46" s="156">
        <f t="shared" si="8"/>
        <v>9.4500000000000001E-2</v>
      </c>
    </row>
    <row r="47" spans="1:19" hidden="1" outlineLevel="1" x14ac:dyDescent="0.35">
      <c r="E47" s="152" t="str">
        <f>InpC!$E$29</f>
        <v>Severn Trent Water</v>
      </c>
      <c r="F47" s="152" t="str">
        <f>InpC!$F$29</f>
        <v>SVE</v>
      </c>
      <c r="G47" s="22" t="s">
        <v>34</v>
      </c>
      <c r="J47" s="156">
        <f xml:space="preserve"> SUMIFS('Analysis (TMA)'!M$233:M$321, 'Analysis (TMA)'!$F$231:$F$319, Allowance!$F47)</f>
        <v>0.21911625300000001</v>
      </c>
      <c r="K47" s="156">
        <f xml:space="preserve"> SUMIFS('Analysis (TMA)'!N$233:N$321, 'Analysis (TMA)'!$F$231:$F$319, Allowance!$F47)</f>
        <v>0.22045041800000001</v>
      </c>
      <c r="L47" s="156">
        <f xml:space="preserve"> SUMIFS('Analysis (TMA)'!O$233:O$321, 'Analysis (TMA)'!$F$231:$F$319, Allowance!$F47)</f>
        <v>0.21676504358233417</v>
      </c>
      <c r="M47" s="156">
        <f xml:space="preserve"> SUMIFS('Analysis (TMA)'!P$233:P$321, 'Analysis (TMA)'!$F$231:$F$319, Allowance!$F47)</f>
        <v>0.21808489192252956</v>
      </c>
      <c r="N47" s="156">
        <f xml:space="preserve"> SUMIFS('Analysis (TMA)'!Q$233:Q$321, 'Analysis (TMA)'!$F$231:$F$319, Allowance!$F47)</f>
        <v>0.21941277979326043</v>
      </c>
      <c r="O47" s="156">
        <f xml:space="preserve"> SUMIFS('Analysis (TMA)'!R$233:R$321, 'Analysis (TMA)'!$F$231:$F$319, Allowance!$F47)</f>
        <v>0.2207487501971214</v>
      </c>
      <c r="P47" s="156">
        <f xml:space="preserve"> SUMIFS('Analysis (TMA)'!S$233:S$321, 'Analysis (TMA)'!$F$231:$F$319, Allowance!$F47)</f>
        <v>0.22209285786468747</v>
      </c>
      <c r="R47" s="156">
        <f t="shared" si="7"/>
        <v>0.21942086467198657</v>
      </c>
      <c r="S47" s="156">
        <f t="shared" si="8"/>
        <v>1.0971043233599329</v>
      </c>
    </row>
    <row r="48" spans="1:19" hidden="1" outlineLevel="1" x14ac:dyDescent="0.35">
      <c r="E48" s="152" t="str">
        <f>InpC!$E$30</f>
        <v>Southern Water</v>
      </c>
      <c r="F48" s="152" t="str">
        <f>InpC!$F$30</f>
        <v>SRN</v>
      </c>
      <c r="G48" s="22" t="s">
        <v>34</v>
      </c>
      <c r="J48" s="156">
        <f xml:space="preserve"> SUMIFS('Analysis (TMA)'!M$233:M$321, 'Analysis (TMA)'!$F$231:$F$319, Allowance!$F48)</f>
        <v>0.16900000000000001</v>
      </c>
      <c r="K48" s="156">
        <f xml:space="preserve"> SUMIFS('Analysis (TMA)'!N$233:N$321, 'Analysis (TMA)'!$F$231:$F$319, Allowance!$F48)</f>
        <v>0.25900000000000001</v>
      </c>
      <c r="L48" s="156">
        <f xml:space="preserve"> SUMIFS('Analysis (TMA)'!O$233:O$321, 'Analysis (TMA)'!$F$231:$F$319, Allowance!$F48)</f>
        <v>0.25952052086028288</v>
      </c>
      <c r="M48" s="156">
        <f xml:space="preserve"> SUMIFS('Analysis (TMA)'!P$233:P$321, 'Analysis (TMA)'!$F$231:$F$319, Allowance!$F48)</f>
        <v>0.25952052086028288</v>
      </c>
      <c r="N48" s="156">
        <f xml:space="preserve"> SUMIFS('Analysis (TMA)'!Q$233:Q$321, 'Analysis (TMA)'!$F$231:$F$319, Allowance!$F48)</f>
        <v>0.25952052086028288</v>
      </c>
      <c r="O48" s="156">
        <f xml:space="preserve"> SUMIFS('Analysis (TMA)'!R$233:R$321, 'Analysis (TMA)'!$F$231:$F$319, Allowance!$F48)</f>
        <v>0.25952052086028288</v>
      </c>
      <c r="P48" s="156">
        <f xml:space="preserve"> SUMIFS('Analysis (TMA)'!S$233:S$321, 'Analysis (TMA)'!$F$231:$F$319, Allowance!$F48)</f>
        <v>0.25952052086028288</v>
      </c>
      <c r="R48" s="156">
        <f t="shared" si="7"/>
        <v>0.25952052086028288</v>
      </c>
      <c r="S48" s="156">
        <f t="shared" si="8"/>
        <v>1.2976026043014144</v>
      </c>
    </row>
    <row r="49" spans="1:19" hidden="1" outlineLevel="1" x14ac:dyDescent="0.35">
      <c r="E49" s="152" t="str">
        <f>InpC!$E$31</f>
        <v>Thames Water</v>
      </c>
      <c r="F49" s="152" t="str">
        <f>InpC!$F$31</f>
        <v>TMS</v>
      </c>
      <c r="G49" s="22" t="s">
        <v>34</v>
      </c>
      <c r="J49" s="156">
        <f xml:space="preserve"> SUMIFS('Analysis (TMA)'!M$233:M$321, 'Analysis (TMA)'!$F$231:$F$319, Allowance!$F49)</f>
        <v>0.96489563567362335</v>
      </c>
      <c r="K49" s="156">
        <f xml:space="preserve"> SUMIFS('Analysis (TMA)'!N$233:N$321, 'Analysis (TMA)'!$F$231:$F$319, Allowance!$F49)</f>
        <v>0.55000000000000004</v>
      </c>
      <c r="L49" s="156">
        <f xml:space="preserve"> SUMIFS('Analysis (TMA)'!O$233:O$321, 'Analysis (TMA)'!$F$231:$F$319, Allowance!$F49)</f>
        <v>0.50760000000000005</v>
      </c>
      <c r="M49" s="156">
        <f xml:space="preserve"> SUMIFS('Analysis (TMA)'!P$233:P$321, 'Analysis (TMA)'!$F$231:$F$319, Allowance!$F49)</f>
        <v>0.50760000000000005</v>
      </c>
      <c r="N49" s="156">
        <f xml:space="preserve"> SUMIFS('Analysis (TMA)'!Q$233:Q$321, 'Analysis (TMA)'!$F$231:$F$319, Allowance!$F49)</f>
        <v>0.50760000000000005</v>
      </c>
      <c r="O49" s="156">
        <f xml:space="preserve"> SUMIFS('Analysis (TMA)'!R$233:R$321, 'Analysis (TMA)'!$F$231:$F$319, Allowance!$F49)</f>
        <v>0.49590000000000006</v>
      </c>
      <c r="P49" s="156">
        <f xml:space="preserve"> SUMIFS('Analysis (TMA)'!S$233:S$321, 'Analysis (TMA)'!$F$231:$F$319, Allowance!$F49)</f>
        <v>0.49590000000000006</v>
      </c>
      <c r="R49" s="156">
        <f t="shared" si="7"/>
        <v>0.50292000000000014</v>
      </c>
      <c r="S49" s="156">
        <f t="shared" si="8"/>
        <v>2.5146000000000006</v>
      </c>
    </row>
    <row r="50" spans="1:19" hidden="1" outlineLevel="1" x14ac:dyDescent="0.35">
      <c r="E50" s="152" t="str">
        <f>InpC!$E$32</f>
        <v>United Utilities</v>
      </c>
      <c r="F50" s="152" t="str">
        <f>InpC!$F$32</f>
        <v>NWT</v>
      </c>
      <c r="G50" s="22" t="s">
        <v>34</v>
      </c>
      <c r="J50" s="156">
        <f xml:space="preserve"> SUMIFS('Analysis (TMA)'!M$233:M$321, 'Analysis (TMA)'!$F$231:$F$319, Allowance!$F50)</f>
        <v>0.50096218745529963</v>
      </c>
      <c r="K50" s="156">
        <f xml:space="preserve"> SUMIFS('Analysis (TMA)'!N$233:N$321, 'Analysis (TMA)'!$F$231:$F$319, Allowance!$F50)</f>
        <v>0.36829385253366581</v>
      </c>
      <c r="L50" s="156">
        <f xml:space="preserve"> SUMIFS('Analysis (TMA)'!O$233:O$321, 'Analysis (TMA)'!$F$231:$F$319, Allowance!$F50)</f>
        <v>0.36827090730579631</v>
      </c>
      <c r="M50" s="156">
        <f xml:space="preserve"> SUMIFS('Analysis (TMA)'!P$233:P$321, 'Analysis (TMA)'!$F$231:$F$319, Allowance!$F50)</f>
        <v>0.36827090730579631</v>
      </c>
      <c r="N50" s="156">
        <f xml:space="preserve"> SUMIFS('Analysis (TMA)'!Q$233:Q$321, 'Analysis (TMA)'!$F$231:$F$319, Allowance!$F50)</f>
        <v>0.36827090730579631</v>
      </c>
      <c r="O50" s="156">
        <f xml:space="preserve"> SUMIFS('Analysis (TMA)'!R$233:R$321, 'Analysis (TMA)'!$F$231:$F$319, Allowance!$F50)</f>
        <v>0.36827090730579631</v>
      </c>
      <c r="P50" s="156">
        <f xml:space="preserve"> SUMIFS('Analysis (TMA)'!S$233:S$321, 'Analysis (TMA)'!$F$231:$F$319, Allowance!$F50)</f>
        <v>0.36827090730579631</v>
      </c>
      <c r="R50" s="156">
        <f t="shared" si="7"/>
        <v>0.36827090730579631</v>
      </c>
      <c r="S50" s="156">
        <f t="shared" si="8"/>
        <v>1.8413545365289816</v>
      </c>
    </row>
    <row r="51" spans="1:19" hidden="1" outlineLevel="1" x14ac:dyDescent="0.35">
      <c r="E51" s="152" t="str">
        <f>InpC!$E$33</f>
        <v>Wessex Water</v>
      </c>
      <c r="F51" s="152" t="str">
        <f>InpC!$F$33</f>
        <v>WSX</v>
      </c>
      <c r="G51" s="22" t="s">
        <v>34</v>
      </c>
      <c r="J51" s="156">
        <f xml:space="preserve"> SUMIFS('Analysis (TMA)'!M$233:M$321, 'Analysis (TMA)'!$F$231:$F$319, Allowance!$F51)</f>
        <v>1.9896368069815189E-2</v>
      </c>
      <c r="K51" s="156">
        <f xml:space="preserve"> SUMIFS('Analysis (TMA)'!N$233:N$321, 'Analysis (TMA)'!$F$231:$F$319, Allowance!$F51)</f>
        <v>2.5999999999999999E-2</v>
      </c>
      <c r="L51" s="156">
        <f xml:space="preserve"> SUMIFS('Analysis (TMA)'!O$233:O$321, 'Analysis (TMA)'!$F$231:$F$319, Allowance!$F51)</f>
        <v>2.3400000000000001E-2</v>
      </c>
      <c r="M51" s="156">
        <f xml:space="preserve"> SUMIFS('Analysis (TMA)'!P$233:P$321, 'Analysis (TMA)'!$F$231:$F$319, Allowance!$F51)</f>
        <v>2.3400000000000001E-2</v>
      </c>
      <c r="N51" s="156">
        <f xml:space="preserve"> SUMIFS('Analysis (TMA)'!Q$233:Q$321, 'Analysis (TMA)'!$F$231:$F$319, Allowance!$F51)</f>
        <v>2.3400000000000001E-2</v>
      </c>
      <c r="O51" s="156">
        <f xml:space="preserve"> SUMIFS('Analysis (TMA)'!R$233:R$321, 'Analysis (TMA)'!$F$231:$F$319, Allowance!$F51)</f>
        <v>2.3400000000000001E-2</v>
      </c>
      <c r="P51" s="156">
        <f xml:space="preserve"> SUMIFS('Analysis (TMA)'!S$233:S$321, 'Analysis (TMA)'!$F$231:$F$319, Allowance!$F51)</f>
        <v>2.3400000000000001E-2</v>
      </c>
      <c r="R51" s="156">
        <f t="shared" si="7"/>
        <v>2.3400000000000001E-2</v>
      </c>
      <c r="S51" s="156">
        <f t="shared" si="8"/>
        <v>0.11700000000000001</v>
      </c>
    </row>
    <row r="52" spans="1:19" hidden="1" outlineLevel="1" x14ac:dyDescent="0.35">
      <c r="E52" s="152" t="str">
        <f>InpC!$E$34</f>
        <v>Yorkshire Water</v>
      </c>
      <c r="F52" s="152" t="str">
        <f>InpC!$F$34</f>
        <v>YKY</v>
      </c>
      <c r="G52" s="22" t="s">
        <v>34</v>
      </c>
      <c r="J52" s="156">
        <f xml:space="preserve"> SUMIFS('Analysis (TMA)'!M$233:M$321, 'Analysis (TMA)'!$F$231:$F$319, Allowance!$F52)</f>
        <v>0.22518462756408841</v>
      </c>
      <c r="K52" s="156">
        <f xml:space="preserve"> SUMIFS('Analysis (TMA)'!N$233:N$321, 'Analysis (TMA)'!$F$231:$F$319, Allowance!$F52)</f>
        <v>0.20161124306834519</v>
      </c>
      <c r="L52" s="156">
        <f xml:space="preserve"> SUMIFS('Analysis (TMA)'!O$233:O$321, 'Analysis (TMA)'!$F$231:$F$319, Allowance!$F52)</f>
        <v>0.1437048424289008</v>
      </c>
      <c r="M52" s="156">
        <f xml:space="preserve"> SUMIFS('Analysis (TMA)'!P$233:P$321, 'Analysis (TMA)'!$F$231:$F$319, Allowance!$F52)</f>
        <v>0.1437048424289008</v>
      </c>
      <c r="N52" s="156">
        <f xml:space="preserve"> SUMIFS('Analysis (TMA)'!Q$233:Q$321, 'Analysis (TMA)'!$F$231:$F$319, Allowance!$F52)</f>
        <v>0.1437048424289008</v>
      </c>
      <c r="O52" s="156">
        <f xml:space="preserve"> SUMIFS('Analysis (TMA)'!R$233:R$321, 'Analysis (TMA)'!$F$231:$F$319, Allowance!$F52)</f>
        <v>0.1437048424289008</v>
      </c>
      <c r="P52" s="156">
        <f xml:space="preserve"> SUMIFS('Analysis (TMA)'!S$233:S$321, 'Analysis (TMA)'!$F$231:$F$319, Allowance!$F52)</f>
        <v>0.1437048424289008</v>
      </c>
      <c r="R52" s="156">
        <f t="shared" si="7"/>
        <v>0.1437048424289008</v>
      </c>
      <c r="S52" s="156">
        <f t="shared" si="8"/>
        <v>0.71852421214450402</v>
      </c>
    </row>
    <row r="53" spans="1:19" hidden="1" outlineLevel="1" x14ac:dyDescent="0.35">
      <c r="E53" s="152" t="str">
        <f>InpC!$E$35</f>
        <v>Affinity Water</v>
      </c>
      <c r="F53" s="152" t="str">
        <f>InpC!$F$35</f>
        <v>AFW</v>
      </c>
      <c r="G53" s="22" t="s">
        <v>34</v>
      </c>
      <c r="J53" s="156">
        <f xml:space="preserve"> SUMIFS('Analysis (TMA)'!M$233:M$321, 'Analysis (TMA)'!$F$231:$F$319, Allowance!$F53)</f>
        <v>0</v>
      </c>
      <c r="K53" s="156">
        <f xml:space="preserve"> SUMIFS('Analysis (TMA)'!N$233:N$321, 'Analysis (TMA)'!$F$231:$F$319, Allowance!$F53)</f>
        <v>0</v>
      </c>
      <c r="L53" s="156">
        <f xml:space="preserve"> SUMIFS('Analysis (TMA)'!O$233:O$321, 'Analysis (TMA)'!$F$231:$F$319, Allowance!$F53)</f>
        <v>0</v>
      </c>
      <c r="M53" s="156">
        <f xml:space="preserve"> SUMIFS('Analysis (TMA)'!P$233:P$321, 'Analysis (TMA)'!$F$231:$F$319, Allowance!$F53)</f>
        <v>0</v>
      </c>
      <c r="N53" s="156">
        <f xml:space="preserve"> SUMIFS('Analysis (TMA)'!Q$233:Q$321, 'Analysis (TMA)'!$F$231:$F$319, Allowance!$F53)</f>
        <v>0</v>
      </c>
      <c r="O53" s="156">
        <f xml:space="preserve"> SUMIFS('Analysis (TMA)'!R$233:R$321, 'Analysis (TMA)'!$F$231:$F$319, Allowance!$F53)</f>
        <v>0</v>
      </c>
      <c r="P53" s="156">
        <f xml:space="preserve"> SUMIFS('Analysis (TMA)'!S$233:S$321, 'Analysis (TMA)'!$F$231:$F$319, Allowance!$F53)</f>
        <v>0</v>
      </c>
      <c r="R53" s="156">
        <f t="shared" si="7"/>
        <v>0</v>
      </c>
      <c r="S53" s="156">
        <f t="shared" si="8"/>
        <v>0</v>
      </c>
    </row>
    <row r="54" spans="1:19" hidden="1" outlineLevel="1" x14ac:dyDescent="0.35">
      <c r="E54" s="152" t="str">
        <f>InpC!$E$36</f>
        <v>Portsmouth Water</v>
      </c>
      <c r="F54" s="152" t="str">
        <f>InpC!$F$36</f>
        <v>PRT</v>
      </c>
      <c r="G54" s="22" t="s">
        <v>34</v>
      </c>
      <c r="J54" s="156">
        <f xml:space="preserve"> SUMIFS('Analysis (TMA)'!M$233:M$321, 'Analysis (TMA)'!$F$231:$F$319, Allowance!$F54)</f>
        <v>0</v>
      </c>
      <c r="K54" s="156">
        <f xml:space="preserve"> SUMIFS('Analysis (TMA)'!N$233:N$321, 'Analysis (TMA)'!$F$231:$F$319, Allowance!$F54)</f>
        <v>0</v>
      </c>
      <c r="L54" s="156">
        <f xml:space="preserve"> SUMIFS('Analysis (TMA)'!O$233:O$321, 'Analysis (TMA)'!$F$231:$F$319, Allowance!$F54)</f>
        <v>0</v>
      </c>
      <c r="M54" s="156">
        <f xml:space="preserve"> SUMIFS('Analysis (TMA)'!P$233:P$321, 'Analysis (TMA)'!$F$231:$F$319, Allowance!$F54)</f>
        <v>0</v>
      </c>
      <c r="N54" s="156">
        <f xml:space="preserve"> SUMIFS('Analysis (TMA)'!Q$233:Q$321, 'Analysis (TMA)'!$F$231:$F$319, Allowance!$F54)</f>
        <v>0</v>
      </c>
      <c r="O54" s="156">
        <f xml:space="preserve"> SUMIFS('Analysis (TMA)'!R$233:R$321, 'Analysis (TMA)'!$F$231:$F$319, Allowance!$F54)</f>
        <v>0</v>
      </c>
      <c r="P54" s="156">
        <f xml:space="preserve"> SUMIFS('Analysis (TMA)'!S$233:S$321, 'Analysis (TMA)'!$F$231:$F$319, Allowance!$F54)</f>
        <v>0</v>
      </c>
      <c r="R54" s="156">
        <f t="shared" si="7"/>
        <v>0</v>
      </c>
      <c r="S54" s="156">
        <f t="shared" si="8"/>
        <v>0</v>
      </c>
    </row>
    <row r="55" spans="1:19" hidden="1" outlineLevel="1" x14ac:dyDescent="0.35">
      <c r="E55" s="152" t="str">
        <f>InpC!$E$37</f>
        <v>South East Water</v>
      </c>
      <c r="F55" s="152" t="str">
        <f>InpC!$F$37</f>
        <v>SEW</v>
      </c>
      <c r="G55" s="22" t="s">
        <v>34</v>
      </c>
      <c r="J55" s="156">
        <f xml:space="preserve"> SUMIFS('Analysis (TMA)'!M$233:M$321, 'Analysis (TMA)'!$F$231:$F$319, Allowance!$F55)</f>
        <v>0</v>
      </c>
      <c r="K55" s="156">
        <f xml:space="preserve"> SUMIFS('Analysis (TMA)'!N$233:N$321, 'Analysis (TMA)'!$F$231:$F$319, Allowance!$F55)</f>
        <v>0</v>
      </c>
      <c r="L55" s="156">
        <f xml:space="preserve"> SUMIFS('Analysis (TMA)'!O$233:O$321, 'Analysis (TMA)'!$F$231:$F$319, Allowance!$F55)</f>
        <v>0</v>
      </c>
      <c r="M55" s="156">
        <f xml:space="preserve"> SUMIFS('Analysis (TMA)'!P$233:P$321, 'Analysis (TMA)'!$F$231:$F$319, Allowance!$F55)</f>
        <v>0</v>
      </c>
      <c r="N55" s="156">
        <f xml:space="preserve"> SUMIFS('Analysis (TMA)'!Q$233:Q$321, 'Analysis (TMA)'!$F$231:$F$319, Allowance!$F55)</f>
        <v>0</v>
      </c>
      <c r="O55" s="156">
        <f xml:space="preserve"> SUMIFS('Analysis (TMA)'!R$233:R$321, 'Analysis (TMA)'!$F$231:$F$319, Allowance!$F55)</f>
        <v>0</v>
      </c>
      <c r="P55" s="156">
        <f xml:space="preserve"> SUMIFS('Analysis (TMA)'!S$233:S$321, 'Analysis (TMA)'!$F$231:$F$319, Allowance!$F55)</f>
        <v>0</v>
      </c>
      <c r="R55" s="156">
        <f t="shared" si="7"/>
        <v>0</v>
      </c>
      <c r="S55" s="156">
        <f t="shared" si="8"/>
        <v>0</v>
      </c>
    </row>
    <row r="56" spans="1:19" hidden="1" outlineLevel="1" x14ac:dyDescent="0.35">
      <c r="E56" s="152" t="str">
        <f>InpC!$E$38</f>
        <v>South Staffs Water</v>
      </c>
      <c r="F56" s="152" t="str">
        <f>InpC!$F$38</f>
        <v>SSC</v>
      </c>
      <c r="G56" s="22" t="s">
        <v>34</v>
      </c>
      <c r="J56" s="156">
        <f xml:space="preserve"> SUMIFS('Analysis (TMA)'!M$233:M$321, 'Analysis (TMA)'!$F$231:$F$319, Allowance!$F56)</f>
        <v>0</v>
      </c>
      <c r="K56" s="156">
        <f xml:space="preserve"> SUMIFS('Analysis (TMA)'!N$233:N$321, 'Analysis (TMA)'!$F$231:$F$319, Allowance!$F56)</f>
        <v>0</v>
      </c>
      <c r="L56" s="156">
        <f xml:space="preserve"> SUMIFS('Analysis (TMA)'!O$233:O$321, 'Analysis (TMA)'!$F$231:$F$319, Allowance!$F56)</f>
        <v>0</v>
      </c>
      <c r="M56" s="156">
        <f xml:space="preserve"> SUMIFS('Analysis (TMA)'!P$233:P$321, 'Analysis (TMA)'!$F$231:$F$319, Allowance!$F56)</f>
        <v>0</v>
      </c>
      <c r="N56" s="156">
        <f xml:space="preserve"> SUMIFS('Analysis (TMA)'!Q$233:Q$321, 'Analysis (TMA)'!$F$231:$F$319, Allowance!$F56)</f>
        <v>0</v>
      </c>
      <c r="O56" s="156">
        <f xml:space="preserve"> SUMIFS('Analysis (TMA)'!R$233:R$321, 'Analysis (TMA)'!$F$231:$F$319, Allowance!$F56)</f>
        <v>0</v>
      </c>
      <c r="P56" s="156">
        <f xml:space="preserve"> SUMIFS('Analysis (TMA)'!S$233:S$321, 'Analysis (TMA)'!$F$231:$F$319, Allowance!$F56)</f>
        <v>0</v>
      </c>
      <c r="R56" s="156">
        <f t="shared" si="7"/>
        <v>0</v>
      </c>
      <c r="S56" s="156">
        <f t="shared" si="8"/>
        <v>0</v>
      </c>
    </row>
    <row r="57" spans="1:19" hidden="1" outlineLevel="1" x14ac:dyDescent="0.35">
      <c r="E57" s="152" t="str">
        <f>InpC!$E$39</f>
        <v>SES Water</v>
      </c>
      <c r="F57" s="152" t="str">
        <f>InpC!$F$39</f>
        <v>SES</v>
      </c>
      <c r="G57" s="22" t="s">
        <v>34</v>
      </c>
      <c r="J57" s="156">
        <f xml:space="preserve"> SUMIFS('Analysis (TMA)'!M$233:M$321, 'Analysis (TMA)'!$F$231:$F$319, Allowance!$F57)</f>
        <v>0</v>
      </c>
      <c r="K57" s="156">
        <f xml:space="preserve"> SUMIFS('Analysis (TMA)'!N$233:N$321, 'Analysis (TMA)'!$F$231:$F$319, Allowance!$F57)</f>
        <v>0</v>
      </c>
      <c r="L57" s="156">
        <f xml:space="preserve"> SUMIFS('Analysis (TMA)'!O$233:O$321, 'Analysis (TMA)'!$F$231:$F$319, Allowance!$F57)</f>
        <v>0</v>
      </c>
      <c r="M57" s="156">
        <f xml:space="preserve"> SUMIFS('Analysis (TMA)'!P$233:P$321, 'Analysis (TMA)'!$F$231:$F$319, Allowance!$F57)</f>
        <v>0</v>
      </c>
      <c r="N57" s="156">
        <f xml:space="preserve"> SUMIFS('Analysis (TMA)'!Q$233:Q$321, 'Analysis (TMA)'!$F$231:$F$319, Allowance!$F57)</f>
        <v>0</v>
      </c>
      <c r="O57" s="156">
        <f xml:space="preserve"> SUMIFS('Analysis (TMA)'!R$233:R$321, 'Analysis (TMA)'!$F$231:$F$319, Allowance!$F57)</f>
        <v>0</v>
      </c>
      <c r="P57" s="156">
        <f xml:space="preserve"> SUMIFS('Analysis (TMA)'!S$233:S$321, 'Analysis (TMA)'!$F$231:$F$319, Allowance!$F57)</f>
        <v>0</v>
      </c>
      <c r="R57" s="156">
        <f t="shared" si="7"/>
        <v>0</v>
      </c>
      <c r="S57" s="156">
        <f t="shared" si="8"/>
        <v>0</v>
      </c>
    </row>
    <row r="58" spans="1:19" hidden="1" outlineLevel="1" x14ac:dyDescent="0.35">
      <c r="E58" s="152" t="str">
        <f>InpC!$E$40</f>
        <v>South West Water</v>
      </c>
      <c r="F58" s="152" t="str">
        <f>InpC!$F$40</f>
        <v>SWB</v>
      </c>
      <c r="G58" s="22" t="s">
        <v>34</v>
      </c>
      <c r="J58" s="156">
        <f xml:space="preserve"> SUMIFS('Analysis (TMA)'!M$233:M$321, 'Analysis (TMA)'!$F$231:$F$319, Allowance!$F58)</f>
        <v>0</v>
      </c>
      <c r="K58" s="156">
        <f xml:space="preserve"> SUMIFS('Analysis (TMA)'!N$233:N$321, 'Analysis (TMA)'!$F$231:$F$319, Allowance!$F58)</f>
        <v>3.0000000000000001E-3</v>
      </c>
      <c r="L58" s="156">
        <f xml:space="preserve"> SUMIFS('Analysis (TMA)'!O$233:O$321, 'Analysis (TMA)'!$F$231:$F$319, Allowance!$F58)</f>
        <v>0</v>
      </c>
      <c r="M58" s="156">
        <f xml:space="preserve"> SUMIFS('Analysis (TMA)'!P$233:P$321, 'Analysis (TMA)'!$F$231:$F$319, Allowance!$F58)</f>
        <v>0</v>
      </c>
      <c r="N58" s="156">
        <f xml:space="preserve"> SUMIFS('Analysis (TMA)'!Q$233:Q$321, 'Analysis (TMA)'!$F$231:$F$319, Allowance!$F58)</f>
        <v>0</v>
      </c>
      <c r="O58" s="156">
        <f xml:space="preserve"> SUMIFS('Analysis (TMA)'!R$233:R$321, 'Analysis (TMA)'!$F$231:$F$319, Allowance!$F58)</f>
        <v>0</v>
      </c>
      <c r="P58" s="156">
        <f xml:space="preserve"> SUMIFS('Analysis (TMA)'!S$233:S$321, 'Analysis (TMA)'!$F$231:$F$319, Allowance!$F58)</f>
        <v>0</v>
      </c>
      <c r="R58" s="156">
        <f t="shared" si="7"/>
        <v>0</v>
      </c>
      <c r="S58" s="156">
        <f t="shared" si="8"/>
        <v>0</v>
      </c>
    </row>
    <row r="59" spans="1:19" hidden="1" outlineLevel="1" x14ac:dyDescent="0.35">
      <c r="E59" s="152" t="str">
        <f>InpC!$E$41</f>
        <v>Bristol Water</v>
      </c>
      <c r="F59" s="152" t="str">
        <f>InpC!$F$41</f>
        <v>BRL</v>
      </c>
      <c r="G59" s="22" t="s">
        <v>34</v>
      </c>
      <c r="J59" s="156">
        <f xml:space="preserve"> SUMIFS('Analysis (TMA)'!M$233:M$321, 'Analysis (TMA)'!$F$231:$F$319, Allowance!$F59)</f>
        <v>0</v>
      </c>
      <c r="K59" s="156">
        <f xml:space="preserve"> SUMIFS('Analysis (TMA)'!N$233:N$321, 'Analysis (TMA)'!$F$231:$F$319, Allowance!$F59)</f>
        <v>0</v>
      </c>
      <c r="L59" s="156">
        <f xml:space="preserve"> SUMIFS('Analysis (TMA)'!O$233:O$321, 'Analysis (TMA)'!$F$231:$F$319, Allowance!$F59)</f>
        <v>0</v>
      </c>
      <c r="M59" s="156">
        <f xml:space="preserve"> SUMIFS('Analysis (TMA)'!P$233:P$321, 'Analysis (TMA)'!$F$231:$F$319, Allowance!$F59)</f>
        <v>0</v>
      </c>
      <c r="N59" s="156">
        <f xml:space="preserve"> SUMIFS('Analysis (TMA)'!Q$233:Q$321, 'Analysis (TMA)'!$F$231:$F$319, Allowance!$F59)</f>
        <v>0</v>
      </c>
      <c r="O59" s="156">
        <f xml:space="preserve"> SUMIFS('Analysis (TMA)'!R$233:R$321, 'Analysis (TMA)'!$F$231:$F$319, Allowance!$F59)</f>
        <v>0</v>
      </c>
      <c r="P59" s="156">
        <f xml:space="preserve"> SUMIFS('Analysis (TMA)'!S$233:S$321, 'Analysis (TMA)'!$F$231:$F$319, Allowance!$F59)</f>
        <v>0</v>
      </c>
      <c r="R59" s="156">
        <f t="shared" si="7"/>
        <v>0</v>
      </c>
      <c r="S59" s="156">
        <f t="shared" si="8"/>
        <v>0</v>
      </c>
    </row>
    <row r="60" spans="1:19" hidden="1" outlineLevel="1" x14ac:dyDescent="0.35">
      <c r="E60" s="152" t="s">
        <v>147</v>
      </c>
      <c r="G60" s="22" t="s">
        <v>34</v>
      </c>
      <c r="J60" s="157">
        <f t="shared" ref="J60:P60" si="9">SUM(J43:J59)</f>
        <v>2.1911662346898999</v>
      </c>
      <c r="K60" s="157">
        <f t="shared" si="9"/>
        <v>1.7737750655649152</v>
      </c>
      <c r="L60" s="157">
        <f t="shared" si="9"/>
        <v>1.6488613141773145</v>
      </c>
      <c r="M60" s="157">
        <f t="shared" si="9"/>
        <v>1.6481811625175098</v>
      </c>
      <c r="N60" s="157">
        <f t="shared" si="9"/>
        <v>1.6495090503882404</v>
      </c>
      <c r="O60" s="157">
        <f t="shared" si="9"/>
        <v>1.6381450207921016</v>
      </c>
      <c r="P60" s="157">
        <f t="shared" si="9"/>
        <v>1.6394891284596675</v>
      </c>
      <c r="R60" s="157">
        <f t="shared" ref="R60:S60" si="10">SUM(R43:R59)</f>
        <v>1.6448371352669668</v>
      </c>
      <c r="S60" s="157">
        <f t="shared" si="10"/>
        <v>8.2241856763348338</v>
      </c>
    </row>
    <row r="62" spans="1:19" x14ac:dyDescent="0.35">
      <c r="D62" s="151" t="s">
        <v>235</v>
      </c>
      <c r="J62" s="74">
        <f t="shared" ref="J62:P62" si="11">J$2</f>
        <v>45382</v>
      </c>
      <c r="K62" s="74">
        <f t="shared" si="11"/>
        <v>45747</v>
      </c>
      <c r="L62" s="74">
        <f t="shared" si="11"/>
        <v>46112</v>
      </c>
      <c r="M62" s="74">
        <f t="shared" si="11"/>
        <v>46477</v>
      </c>
      <c r="N62" s="74">
        <f t="shared" si="11"/>
        <v>46843</v>
      </c>
      <c r="O62" s="74">
        <f t="shared" si="11"/>
        <v>47208</v>
      </c>
      <c r="P62" s="74">
        <f t="shared" si="11"/>
        <v>47573</v>
      </c>
      <c r="R62" s="74" t="str">
        <f t="shared" ref="R62:S62" si="12">R$2</f>
        <v>PR24 Average</v>
      </c>
      <c r="S62" s="74" t="str">
        <f t="shared" si="12"/>
        <v>PR24 Total</v>
      </c>
    </row>
    <row r="63" spans="1:19" x14ac:dyDescent="0.35">
      <c r="A63" s="22"/>
      <c r="B63" s="22"/>
      <c r="C63" s="22"/>
      <c r="D63" s="22"/>
      <c r="E63" s="22"/>
      <c r="F63" s="22"/>
      <c r="J63" s="74"/>
      <c r="K63" s="74"/>
      <c r="L63" s="74"/>
      <c r="M63" s="74"/>
      <c r="N63" s="74"/>
      <c r="O63" s="74"/>
      <c r="P63" s="74"/>
      <c r="R63" s="74"/>
      <c r="S63" s="74"/>
    </row>
    <row r="64" spans="1:19" collapsed="1" x14ac:dyDescent="0.35">
      <c r="E64" s="151" t="s">
        <v>180</v>
      </c>
    </row>
    <row r="65" spans="5:19" hidden="1" outlineLevel="1" x14ac:dyDescent="0.35"/>
    <row r="66" spans="5:19" hidden="1" outlineLevel="1" x14ac:dyDescent="0.35">
      <c r="E66" s="155" t="s">
        <v>177</v>
      </c>
      <c r="J66" s="153"/>
      <c r="K66" s="153"/>
      <c r="L66" s="153"/>
      <c r="M66" s="153"/>
      <c r="N66" s="153"/>
      <c r="O66" s="153"/>
      <c r="P66" s="153"/>
      <c r="R66" s="153"/>
      <c r="S66" s="153"/>
    </row>
    <row r="67" spans="5:19" hidden="1" outlineLevel="1" x14ac:dyDescent="0.35">
      <c r="E67" s="129">
        <f>InpT!$F$8</f>
        <v>45016</v>
      </c>
      <c r="G67" s="22" t="s">
        <v>178</v>
      </c>
      <c r="J67" s="153"/>
      <c r="K67" s="153"/>
      <c r="L67" s="153"/>
      <c r="M67" s="153"/>
      <c r="N67" s="153"/>
      <c r="O67" s="153"/>
      <c r="P67" s="153"/>
      <c r="R67" s="153"/>
      <c r="S67" s="153"/>
    </row>
    <row r="68" spans="5:19" hidden="1" outlineLevel="1" x14ac:dyDescent="0.35">
      <c r="E68" s="129"/>
      <c r="J68" s="153"/>
      <c r="K68" s="153"/>
      <c r="L68" s="153"/>
      <c r="M68" s="153"/>
      <c r="N68" s="153"/>
      <c r="O68" s="153"/>
      <c r="P68" s="153"/>
      <c r="R68" s="153"/>
      <c r="S68" s="153"/>
    </row>
    <row r="69" spans="5:19" hidden="1" outlineLevel="1" x14ac:dyDescent="0.35">
      <c r="E69" s="152" t="str">
        <f>InpC!$E$25</f>
        <v>Anglian Water</v>
      </c>
      <c r="F69" s="152" t="str">
        <f>InpC!$F$25</f>
        <v>ANH</v>
      </c>
      <c r="G69" s="22" t="s">
        <v>34</v>
      </c>
      <c r="J69" s="156">
        <f t="shared" ref="J69:P78" si="13" xml:space="preserve"> J17 + J43</f>
        <v>0.75060957294147856</v>
      </c>
      <c r="K69" s="156">
        <f t="shared" si="13"/>
        <v>0.96754954556491579</v>
      </c>
      <c r="L69" s="156">
        <f t="shared" si="13"/>
        <v>1.5567689481860958</v>
      </c>
      <c r="M69" s="156">
        <f t="shared" si="13"/>
        <v>1.5567689481860958</v>
      </c>
      <c r="N69" s="156">
        <f t="shared" si="13"/>
        <v>1.5567689481860958</v>
      </c>
      <c r="O69" s="156">
        <f t="shared" si="13"/>
        <v>1.5567689481860958</v>
      </c>
      <c r="P69" s="156">
        <f t="shared" si="13"/>
        <v>1.5567689481860958</v>
      </c>
      <c r="R69" s="156">
        <f t="shared" ref="R69:R85" si="14">IFERROR(AVERAGE(L69:P69),0)</f>
        <v>1.5567689481860958</v>
      </c>
      <c r="S69" s="156">
        <f t="shared" ref="S69:S85" si="15">SUM(L69:P69)</f>
        <v>7.783844740930479</v>
      </c>
    </row>
    <row r="70" spans="5:19" hidden="1" outlineLevel="1" x14ac:dyDescent="0.35">
      <c r="E70" s="152" t="str">
        <f>InpC!$E$26</f>
        <v>Dŵr Cymru</v>
      </c>
      <c r="F70" s="152" t="str">
        <f>InpC!$F$26</f>
        <v>WSH</v>
      </c>
      <c r="G70" s="22" t="s">
        <v>34</v>
      </c>
      <c r="J70" s="156">
        <f t="shared" si="13"/>
        <v>0.20399999999999999</v>
      </c>
      <c r="K70" s="156">
        <f t="shared" si="13"/>
        <v>9.6000000000000002E-2</v>
      </c>
      <c r="L70" s="156">
        <f t="shared" si="13"/>
        <v>6.8690926714476339E-2</v>
      </c>
      <c r="M70" s="156">
        <f t="shared" si="13"/>
        <v>6.4705644489977454E-2</v>
      </c>
      <c r="N70" s="156">
        <f t="shared" si="13"/>
        <v>6.3713003377728034E-2</v>
      </c>
      <c r="O70" s="156">
        <f t="shared" si="13"/>
        <v>6.2713003377728033E-2</v>
      </c>
      <c r="P70" s="156">
        <f t="shared" si="13"/>
        <v>6.1720362265478584E-2</v>
      </c>
      <c r="R70" s="156">
        <f t="shared" si="14"/>
        <v>6.4308588045077691E-2</v>
      </c>
      <c r="S70" s="156">
        <f t="shared" si="15"/>
        <v>0.32154294022538843</v>
      </c>
    </row>
    <row r="71" spans="5:19" hidden="1" outlineLevel="1" x14ac:dyDescent="0.35">
      <c r="E71" s="152" t="str">
        <f>InpC!$E$27</f>
        <v>Hafren Dyfrdwy</v>
      </c>
      <c r="F71" s="152" t="str">
        <f>InpC!$F$27</f>
        <v>HDD</v>
      </c>
      <c r="G71" s="22" t="s">
        <v>34</v>
      </c>
      <c r="J71" s="156">
        <f t="shared" si="13"/>
        <v>0</v>
      </c>
      <c r="K71" s="156">
        <f t="shared" si="13"/>
        <v>0</v>
      </c>
      <c r="L71" s="156">
        <f t="shared" si="13"/>
        <v>0</v>
      </c>
      <c r="M71" s="156">
        <f t="shared" si="13"/>
        <v>0</v>
      </c>
      <c r="N71" s="156">
        <f t="shared" si="13"/>
        <v>0</v>
      </c>
      <c r="O71" s="156">
        <f t="shared" si="13"/>
        <v>0</v>
      </c>
      <c r="P71" s="156">
        <f t="shared" si="13"/>
        <v>0</v>
      </c>
      <c r="R71" s="156">
        <f t="shared" si="14"/>
        <v>0</v>
      </c>
      <c r="S71" s="156">
        <f t="shared" si="15"/>
        <v>0</v>
      </c>
    </row>
    <row r="72" spans="5:19" hidden="1" outlineLevel="1" x14ac:dyDescent="0.35">
      <c r="E72" s="152" t="str">
        <f>InpC!$E$28</f>
        <v>Northumbrian Water</v>
      </c>
      <c r="F72" s="152" t="str">
        <f>InpC!$F$28</f>
        <v>NES</v>
      </c>
      <c r="G72" s="22" t="s">
        <v>34</v>
      </c>
      <c r="J72" s="156">
        <f t="shared" si="13"/>
        <v>0.44719456469114677</v>
      </c>
      <c r="K72" s="156">
        <f t="shared" si="13"/>
        <v>0.46700000000000003</v>
      </c>
      <c r="L72" s="156">
        <f t="shared" si="13"/>
        <v>0.46076652455311873</v>
      </c>
      <c r="M72" s="156">
        <f t="shared" si="13"/>
        <v>0.48337803114005873</v>
      </c>
      <c r="N72" s="156">
        <f t="shared" si="13"/>
        <v>0.50598953772699873</v>
      </c>
      <c r="O72" s="156">
        <f t="shared" si="13"/>
        <v>0.52765889820614964</v>
      </c>
      <c r="P72" s="156">
        <f t="shared" si="13"/>
        <v>0.55027040479308953</v>
      </c>
      <c r="R72" s="156">
        <f t="shared" si="14"/>
        <v>0.50561267928388309</v>
      </c>
      <c r="S72" s="156">
        <f t="shared" si="15"/>
        <v>2.5280633964194155</v>
      </c>
    </row>
    <row r="73" spans="5:19" hidden="1" outlineLevel="1" x14ac:dyDescent="0.35">
      <c r="E73" s="152" t="str">
        <f>InpC!$E$29</f>
        <v>Severn Trent Water</v>
      </c>
      <c r="F73" s="152" t="str">
        <f>InpC!$F$29</f>
        <v>SVE</v>
      </c>
      <c r="G73" s="22" t="s">
        <v>34</v>
      </c>
      <c r="J73" s="156">
        <f t="shared" si="13"/>
        <v>1.9631162529999999</v>
      </c>
      <c r="K73" s="156">
        <f t="shared" si="13"/>
        <v>1.9344504179999999</v>
      </c>
      <c r="L73" s="156">
        <f t="shared" si="13"/>
        <v>2.9610428382656733</v>
      </c>
      <c r="M73" s="156">
        <f t="shared" si="13"/>
        <v>2.9855292947917285</v>
      </c>
      <c r="N73" s="156">
        <f t="shared" si="13"/>
        <v>3.0100237908483192</v>
      </c>
      <c r="O73" s="156">
        <f t="shared" si="13"/>
        <v>3.0354916447791176</v>
      </c>
      <c r="P73" s="156">
        <f t="shared" si="13"/>
        <v>3.0600023606325442</v>
      </c>
      <c r="R73" s="156">
        <f t="shared" si="14"/>
        <v>3.0104179858634765</v>
      </c>
      <c r="S73" s="156">
        <f t="shared" si="15"/>
        <v>15.052089929317383</v>
      </c>
    </row>
    <row r="74" spans="5:19" hidden="1" outlineLevel="1" x14ac:dyDescent="0.35">
      <c r="E74" s="152" t="str">
        <f>InpC!$E$30</f>
        <v>Southern Water</v>
      </c>
      <c r="F74" s="152" t="str">
        <f>InpC!$F$30</f>
        <v>SRN</v>
      </c>
      <c r="G74" s="22" t="s">
        <v>34</v>
      </c>
      <c r="J74" s="156">
        <f t="shared" si="13"/>
        <v>1.6819999999999999</v>
      </c>
      <c r="K74" s="156">
        <f t="shared" si="13"/>
        <v>2.5939999999999999</v>
      </c>
      <c r="L74" s="156">
        <f t="shared" si="13"/>
        <v>2.4459450572042796</v>
      </c>
      <c r="M74" s="156">
        <f t="shared" si="13"/>
        <v>2.4459450572042796</v>
      </c>
      <c r="N74" s="156">
        <f t="shared" si="13"/>
        <v>2.4459450572042796</v>
      </c>
      <c r="O74" s="156">
        <f t="shared" si="13"/>
        <v>2.4459450572042796</v>
      </c>
      <c r="P74" s="156">
        <f t="shared" si="13"/>
        <v>2.4459450572042796</v>
      </c>
      <c r="R74" s="156">
        <f t="shared" si="14"/>
        <v>2.4459450572042796</v>
      </c>
      <c r="S74" s="156">
        <f t="shared" si="15"/>
        <v>12.229725286021399</v>
      </c>
    </row>
    <row r="75" spans="5:19" hidden="1" outlineLevel="1" x14ac:dyDescent="0.35">
      <c r="E75" s="152" t="str">
        <f>InpC!$E$31</f>
        <v>Thames Water</v>
      </c>
      <c r="F75" s="152" t="str">
        <f>InpC!$F$31</f>
        <v>TMS</v>
      </c>
      <c r="G75" s="22" t="s">
        <v>34</v>
      </c>
      <c r="J75" s="156">
        <f t="shared" si="13"/>
        <v>27.184060721062593</v>
      </c>
      <c r="K75" s="156">
        <f t="shared" si="13"/>
        <v>34.036999999999999</v>
      </c>
      <c r="L75" s="156">
        <f t="shared" si="13"/>
        <v>31.789688085631795</v>
      </c>
      <c r="M75" s="156">
        <f t="shared" si="13"/>
        <v>31.789688085631795</v>
      </c>
      <c r="N75" s="156">
        <f t="shared" si="13"/>
        <v>31.789688085631795</v>
      </c>
      <c r="O75" s="156">
        <f t="shared" si="13"/>
        <v>31.777988085631794</v>
      </c>
      <c r="P75" s="156">
        <f t="shared" si="13"/>
        <v>31.777988085631794</v>
      </c>
      <c r="R75" s="156">
        <f t="shared" si="14"/>
        <v>31.785008085631794</v>
      </c>
      <c r="S75" s="156">
        <f t="shared" si="15"/>
        <v>158.92504042815898</v>
      </c>
    </row>
    <row r="76" spans="5:19" hidden="1" outlineLevel="1" x14ac:dyDescent="0.35">
      <c r="E76" s="152" t="str">
        <f>InpC!$E$32</f>
        <v>United Utilities</v>
      </c>
      <c r="F76" s="152" t="str">
        <f>InpC!$F$32</f>
        <v>NWT</v>
      </c>
      <c r="G76" s="22" t="s">
        <v>34</v>
      </c>
      <c r="J76" s="156">
        <f t="shared" si="13"/>
        <v>2.1826765196732794</v>
      </c>
      <c r="K76" s="156">
        <f t="shared" si="13"/>
        <v>2.2324326016411677</v>
      </c>
      <c r="L76" s="156">
        <f t="shared" si="13"/>
        <v>2.2322935179328853</v>
      </c>
      <c r="M76" s="156">
        <f t="shared" si="13"/>
        <v>2.2322935179328853</v>
      </c>
      <c r="N76" s="156">
        <f t="shared" si="13"/>
        <v>2.2322935179328862</v>
      </c>
      <c r="O76" s="156">
        <f t="shared" si="13"/>
        <v>2.2322935179328862</v>
      </c>
      <c r="P76" s="156">
        <f t="shared" si="13"/>
        <v>2.2322935179328862</v>
      </c>
      <c r="R76" s="156">
        <f t="shared" si="14"/>
        <v>2.2322935179328858</v>
      </c>
      <c r="S76" s="156">
        <f t="shared" si="15"/>
        <v>11.161467589664429</v>
      </c>
    </row>
    <row r="77" spans="5:19" hidden="1" outlineLevel="1" x14ac:dyDescent="0.35">
      <c r="E77" s="152" t="str">
        <f>InpC!$E$33</f>
        <v>Wessex Water</v>
      </c>
      <c r="F77" s="152" t="str">
        <f>InpC!$F$33</f>
        <v>WSX</v>
      </c>
      <c r="G77" s="22" t="s">
        <v>34</v>
      </c>
      <c r="J77" s="156">
        <f t="shared" si="13"/>
        <v>0.13643223819301847</v>
      </c>
      <c r="K77" s="156">
        <f t="shared" si="13"/>
        <v>0.13973744367372401</v>
      </c>
      <c r="L77" s="156">
        <f t="shared" si="13"/>
        <v>0.10554242446366942</v>
      </c>
      <c r="M77" s="156">
        <f t="shared" si="13"/>
        <v>0.11055384896174515</v>
      </c>
      <c r="N77" s="156">
        <f t="shared" si="13"/>
        <v>0.10991960156821001</v>
      </c>
      <c r="O77" s="156">
        <f t="shared" si="13"/>
        <v>0.10949468538545851</v>
      </c>
      <c r="P77" s="156">
        <f t="shared" si="13"/>
        <v>0.11363792393336851</v>
      </c>
      <c r="R77" s="156">
        <f t="shared" si="14"/>
        <v>0.10982969686249031</v>
      </c>
      <c r="S77" s="156">
        <f t="shared" si="15"/>
        <v>0.54914848431245156</v>
      </c>
    </row>
    <row r="78" spans="5:19" hidden="1" outlineLevel="1" x14ac:dyDescent="0.35">
      <c r="E78" s="152" t="str">
        <f>InpC!$E$34</f>
        <v>Yorkshire Water</v>
      </c>
      <c r="F78" s="152" t="str">
        <f>InpC!$F$34</f>
        <v>YKY</v>
      </c>
      <c r="G78" s="22" t="s">
        <v>34</v>
      </c>
      <c r="J78" s="156">
        <f t="shared" si="13"/>
        <v>3.2565324710202734</v>
      </c>
      <c r="K78" s="156">
        <f t="shared" si="13"/>
        <v>3.5966580219158613</v>
      </c>
      <c r="L78" s="156">
        <f t="shared" si="13"/>
        <v>3.7667686395080713</v>
      </c>
      <c r="M78" s="156">
        <f t="shared" si="13"/>
        <v>3.7667686395080713</v>
      </c>
      <c r="N78" s="156">
        <f t="shared" si="13"/>
        <v>3.7667686395080713</v>
      </c>
      <c r="O78" s="156">
        <f t="shared" si="13"/>
        <v>3.7667686395080713</v>
      </c>
      <c r="P78" s="156">
        <f t="shared" si="13"/>
        <v>3.7667686395080713</v>
      </c>
      <c r="R78" s="156">
        <f t="shared" si="14"/>
        <v>3.7667686395080713</v>
      </c>
      <c r="S78" s="156">
        <f t="shared" si="15"/>
        <v>18.833843197540357</v>
      </c>
    </row>
    <row r="79" spans="5:19" hidden="1" outlineLevel="1" x14ac:dyDescent="0.35">
      <c r="E79" s="152" t="str">
        <f>InpC!$E$35</f>
        <v>Affinity Water</v>
      </c>
      <c r="F79" s="152" t="str">
        <f>InpC!$F$35</f>
        <v>AFW</v>
      </c>
      <c r="G79" s="22" t="s">
        <v>34</v>
      </c>
      <c r="J79" s="156">
        <f t="shared" ref="J79:P85" si="16" xml:space="preserve"> J27 + J53</f>
        <v>0.48099999999999998</v>
      </c>
      <c r="K79" s="156">
        <f t="shared" si="16"/>
        <v>0.623</v>
      </c>
      <c r="L79" s="156">
        <f t="shared" si="16"/>
        <v>0.64494322203917864</v>
      </c>
      <c r="M79" s="156">
        <f t="shared" si="16"/>
        <v>0.64494322203917864</v>
      </c>
      <c r="N79" s="156">
        <f t="shared" si="16"/>
        <v>0.64593544238077738</v>
      </c>
      <c r="O79" s="156">
        <f t="shared" si="16"/>
        <v>0.64593544238077738</v>
      </c>
      <c r="P79" s="156">
        <f t="shared" si="16"/>
        <v>0.64593544238077738</v>
      </c>
      <c r="R79" s="156">
        <f t="shared" si="14"/>
        <v>0.64553855424413797</v>
      </c>
      <c r="S79" s="156">
        <f t="shared" si="15"/>
        <v>3.2276927712206898</v>
      </c>
    </row>
    <row r="80" spans="5:19" hidden="1" outlineLevel="1" x14ac:dyDescent="0.35">
      <c r="E80" s="152" t="str">
        <f>InpC!$E$36</f>
        <v>Portsmouth Water</v>
      </c>
      <c r="F80" s="152" t="str">
        <f>InpC!$F$36</f>
        <v>PRT</v>
      </c>
      <c r="G80" s="22" t="s">
        <v>34</v>
      </c>
      <c r="J80" s="156">
        <f t="shared" si="16"/>
        <v>0.1212731006160164</v>
      </c>
      <c r="K80" s="156">
        <f t="shared" si="16"/>
        <v>0.41</v>
      </c>
      <c r="L80" s="156">
        <f t="shared" si="16"/>
        <v>0.48699999999999999</v>
      </c>
      <c r="M80" s="156">
        <f t="shared" si="16"/>
        <v>0.49164000000000002</v>
      </c>
      <c r="N80" s="156">
        <f t="shared" si="16"/>
        <v>0.48681999999999997</v>
      </c>
      <c r="O80" s="156">
        <f t="shared" si="16"/>
        <v>0.48681999999999997</v>
      </c>
      <c r="P80" s="156">
        <f t="shared" si="16"/>
        <v>0.48681999999999997</v>
      </c>
      <c r="R80" s="156">
        <f t="shared" si="14"/>
        <v>0.48781999999999998</v>
      </c>
      <c r="S80" s="156">
        <f t="shared" si="15"/>
        <v>2.4390999999999998</v>
      </c>
    </row>
    <row r="81" spans="3:19" hidden="1" outlineLevel="1" x14ac:dyDescent="0.35">
      <c r="E81" s="152" t="str">
        <f>InpC!$E$37</f>
        <v>South East Water</v>
      </c>
      <c r="F81" s="152" t="str">
        <f>InpC!$F$37</f>
        <v>SEW</v>
      </c>
      <c r="G81" s="22" t="s">
        <v>34</v>
      </c>
      <c r="J81" s="156">
        <f t="shared" si="16"/>
        <v>1.0507178729007369</v>
      </c>
      <c r="K81" s="156">
        <f t="shared" si="16"/>
        <v>1.366560737738022</v>
      </c>
      <c r="L81" s="156">
        <f t="shared" si="16"/>
        <v>1.2769333087197414</v>
      </c>
      <c r="M81" s="156">
        <f t="shared" si="16"/>
        <v>1.2769333087197414</v>
      </c>
      <c r="N81" s="156">
        <f t="shared" si="16"/>
        <v>1.2769333087197414</v>
      </c>
      <c r="O81" s="156">
        <f t="shared" si="16"/>
        <v>1.2769333087197414</v>
      </c>
      <c r="P81" s="156">
        <f t="shared" si="16"/>
        <v>1.2769333087197414</v>
      </c>
      <c r="R81" s="156">
        <f t="shared" si="14"/>
        <v>1.2769333087197414</v>
      </c>
      <c r="S81" s="156">
        <f t="shared" si="15"/>
        <v>6.3846665435987067</v>
      </c>
    </row>
    <row r="82" spans="3:19" hidden="1" outlineLevel="1" x14ac:dyDescent="0.35">
      <c r="E82" s="152" t="str">
        <f>InpC!$E$38</f>
        <v>South Staffs Water</v>
      </c>
      <c r="F82" s="152" t="str">
        <f>InpC!$F$38</f>
        <v>SSC</v>
      </c>
      <c r="G82" s="22" t="s">
        <v>34</v>
      </c>
      <c r="J82" s="156">
        <f t="shared" si="16"/>
        <v>0.48899999999999999</v>
      </c>
      <c r="K82" s="156">
        <f t="shared" si="16"/>
        <v>0.48899999999999999</v>
      </c>
      <c r="L82" s="156">
        <f t="shared" si="16"/>
        <v>0.48899999999999999</v>
      </c>
      <c r="M82" s="156">
        <f t="shared" si="16"/>
        <v>0.48899999999999999</v>
      </c>
      <c r="N82" s="156">
        <f t="shared" si="16"/>
        <v>0.48899999999999999</v>
      </c>
      <c r="O82" s="156">
        <f t="shared" si="16"/>
        <v>0.48899999999999999</v>
      </c>
      <c r="P82" s="156">
        <f t="shared" si="16"/>
        <v>0.48899999999999999</v>
      </c>
      <c r="R82" s="156">
        <f t="shared" si="14"/>
        <v>0.48899999999999999</v>
      </c>
      <c r="S82" s="156">
        <f t="shared" si="15"/>
        <v>2.4449999999999998</v>
      </c>
    </row>
    <row r="83" spans="3:19" hidden="1" outlineLevel="1" x14ac:dyDescent="0.35">
      <c r="E83" s="152" t="str">
        <f>InpC!$E$39</f>
        <v>SES Water</v>
      </c>
      <c r="F83" s="152" t="str">
        <f>InpC!$F$39</f>
        <v>SES</v>
      </c>
      <c r="G83" s="22" t="s">
        <v>34</v>
      </c>
      <c r="J83" s="156">
        <f t="shared" si="16"/>
        <v>0.34269271435338688</v>
      </c>
      <c r="K83" s="156">
        <f t="shared" si="16"/>
        <v>0.33700000000000002</v>
      </c>
      <c r="L83" s="156">
        <f t="shared" si="16"/>
        <v>0.30959999999999999</v>
      </c>
      <c r="M83" s="156">
        <f t="shared" si="16"/>
        <v>0.31229999999999997</v>
      </c>
      <c r="N83" s="156">
        <f t="shared" si="16"/>
        <v>0.31319999999999998</v>
      </c>
      <c r="O83" s="156">
        <f t="shared" si="16"/>
        <v>0.31859999999999999</v>
      </c>
      <c r="P83" s="156">
        <f t="shared" si="16"/>
        <v>0.32129999999999997</v>
      </c>
      <c r="R83" s="156">
        <f t="shared" si="14"/>
        <v>0.31499999999999995</v>
      </c>
      <c r="S83" s="156">
        <f t="shared" si="15"/>
        <v>1.5749999999999997</v>
      </c>
    </row>
    <row r="84" spans="3:19" hidden="1" outlineLevel="1" x14ac:dyDescent="0.35">
      <c r="E84" s="152" t="str">
        <f>InpC!$E$40</f>
        <v>South West Water</v>
      </c>
      <c r="F84" s="152" t="str">
        <f>InpC!$F$40</f>
        <v>SWB</v>
      </c>
      <c r="G84" s="22" t="s">
        <v>34</v>
      </c>
      <c r="J84" s="156">
        <f t="shared" si="16"/>
        <v>0.79</v>
      </c>
      <c r="K84" s="156">
        <f t="shared" si="16"/>
        <v>0.21199999999999999</v>
      </c>
      <c r="L84" s="156">
        <f t="shared" si="16"/>
        <v>0.14199529599999999</v>
      </c>
      <c r="M84" s="156">
        <f t="shared" si="16"/>
        <v>0.133004648</v>
      </c>
      <c r="N84" s="156">
        <f t="shared" si="16"/>
        <v>0.123995114</v>
      </c>
      <c r="O84" s="156">
        <f t="shared" si="16"/>
        <v>0.114998539</v>
      </c>
      <c r="P84" s="156">
        <f t="shared" si="16"/>
        <v>0.107004223</v>
      </c>
      <c r="R84" s="156">
        <f t="shared" si="14"/>
        <v>0.12419956400000001</v>
      </c>
      <c r="S84" s="156">
        <f t="shared" si="15"/>
        <v>0.62099782000000003</v>
      </c>
    </row>
    <row r="85" spans="3:19" hidden="1" outlineLevel="1" x14ac:dyDescent="0.35">
      <c r="E85" s="152" t="str">
        <f>InpC!$E$41</f>
        <v>Bristol Water</v>
      </c>
      <c r="F85" s="152" t="str">
        <f>InpC!$F$41</f>
        <v>BRL</v>
      </c>
      <c r="G85" s="22" t="s">
        <v>34</v>
      </c>
      <c r="J85" s="156">
        <f t="shared" si="16"/>
        <v>0.44719455852156048</v>
      </c>
      <c r="K85" s="156">
        <f t="shared" si="16"/>
        <v>0.47199999999999998</v>
      </c>
      <c r="L85" s="156">
        <f t="shared" si="16"/>
        <v>0.18539385899999999</v>
      </c>
      <c r="M85" s="156">
        <f t="shared" si="16"/>
        <v>0.18540647900000001</v>
      </c>
      <c r="N85" s="156">
        <f t="shared" si="16"/>
        <v>0.185392694</v>
      </c>
      <c r="O85" s="156">
        <f t="shared" si="16"/>
        <v>0.185397645</v>
      </c>
      <c r="P85" s="156">
        <f t="shared" si="16"/>
        <v>0.18540731699999999</v>
      </c>
      <c r="R85" s="156">
        <f t="shared" si="14"/>
        <v>0.18539959880000001</v>
      </c>
      <c r="S85" s="156">
        <f t="shared" si="15"/>
        <v>0.92699799400000005</v>
      </c>
    </row>
    <row r="86" spans="3:19" hidden="1" outlineLevel="1" x14ac:dyDescent="0.35">
      <c r="E86" s="152" t="s">
        <v>147</v>
      </c>
      <c r="G86" s="22" t="s">
        <v>34</v>
      </c>
      <c r="J86" s="157">
        <f t="shared" ref="J86:P86" si="17">SUM(J69:J85)</f>
        <v>41.528500586973479</v>
      </c>
      <c r="K86" s="157">
        <f t="shared" si="17"/>
        <v>49.974388768533686</v>
      </c>
      <c r="L86" s="157">
        <f t="shared" si="17"/>
        <v>48.922372648218996</v>
      </c>
      <c r="M86" s="157">
        <f t="shared" si="17"/>
        <v>48.96885872560555</v>
      </c>
      <c r="N86" s="157">
        <f t="shared" si="17"/>
        <v>49.002386741084905</v>
      </c>
      <c r="O86" s="157">
        <f t="shared" si="17"/>
        <v>49.032807415312099</v>
      </c>
      <c r="P86" s="157">
        <f t="shared" si="17"/>
        <v>49.077795591188121</v>
      </c>
      <c r="R86" s="157">
        <f t="shared" ref="R86:S86" si="18">SUM(R69:R85)</f>
        <v>49.000844224281934</v>
      </c>
      <c r="S86" s="157">
        <f t="shared" si="18"/>
        <v>245.00422112140964</v>
      </c>
    </row>
    <row r="88" spans="3:19" x14ac:dyDescent="0.35">
      <c r="C88" s="149" t="s">
        <v>152</v>
      </c>
    </row>
    <row r="89" spans="3:19" x14ac:dyDescent="0.35">
      <c r="D89" s="151" t="s">
        <v>233</v>
      </c>
      <c r="J89" s="74">
        <f t="shared" ref="J89:S89" si="19">J$2</f>
        <v>45382</v>
      </c>
      <c r="K89" s="74">
        <f t="shared" si="19"/>
        <v>45747</v>
      </c>
      <c r="L89" s="74">
        <f t="shared" si="19"/>
        <v>46112</v>
      </c>
      <c r="M89" s="74">
        <f t="shared" si="19"/>
        <v>46477</v>
      </c>
      <c r="N89" s="74">
        <f t="shared" si="19"/>
        <v>46843</v>
      </c>
      <c r="O89" s="74">
        <f t="shared" si="19"/>
        <v>47208</v>
      </c>
      <c r="P89" s="74">
        <f t="shared" si="19"/>
        <v>47573</v>
      </c>
      <c r="R89" s="74" t="str">
        <f t="shared" si="19"/>
        <v>PR24 Average</v>
      </c>
      <c r="S89" s="74" t="str">
        <f t="shared" si="19"/>
        <v>PR24 Total</v>
      </c>
    </row>
    <row r="90" spans="3:19" x14ac:dyDescent="0.35">
      <c r="C90" s="152"/>
      <c r="D90" s="152"/>
      <c r="J90" s="74"/>
      <c r="K90" s="74"/>
      <c r="L90" s="74"/>
      <c r="M90" s="74"/>
      <c r="N90" s="74"/>
      <c r="O90" s="74"/>
      <c r="P90" s="74"/>
      <c r="R90" s="74"/>
      <c r="S90" s="74"/>
    </row>
    <row r="91" spans="3:19" collapsed="1" x14ac:dyDescent="0.35">
      <c r="E91" s="151" t="s">
        <v>180</v>
      </c>
    </row>
    <row r="92" spans="3:19" hidden="1" outlineLevel="1" x14ac:dyDescent="0.35"/>
    <row r="93" spans="3:19" hidden="1" outlineLevel="1" x14ac:dyDescent="0.35">
      <c r="E93" s="155" t="s">
        <v>177</v>
      </c>
      <c r="J93" s="153"/>
      <c r="K93" s="153"/>
      <c r="L93" s="153"/>
      <c r="M93" s="153"/>
      <c r="N93" s="153"/>
      <c r="O93" s="153"/>
      <c r="P93" s="153"/>
      <c r="R93" s="153"/>
      <c r="S93" s="153"/>
    </row>
    <row r="94" spans="3:19" hidden="1" outlineLevel="1" x14ac:dyDescent="0.35">
      <c r="E94" s="129">
        <f>InpT!$F$8</f>
        <v>45016</v>
      </c>
      <c r="G94" s="22" t="s">
        <v>178</v>
      </c>
      <c r="J94" s="153"/>
      <c r="K94" s="153"/>
      <c r="L94" s="153"/>
      <c r="M94" s="153"/>
      <c r="N94" s="153"/>
      <c r="O94" s="153"/>
      <c r="P94" s="153"/>
      <c r="R94" s="153"/>
      <c r="S94" s="153"/>
    </row>
    <row r="95" spans="3:19" hidden="1" outlineLevel="1" x14ac:dyDescent="0.35">
      <c r="E95" s="129"/>
      <c r="J95" s="153"/>
      <c r="K95" s="153"/>
      <c r="L95" s="153"/>
      <c r="M95" s="153"/>
      <c r="N95" s="153"/>
      <c r="O95" s="153"/>
      <c r="P95" s="153"/>
      <c r="R95" s="153"/>
      <c r="S95" s="153"/>
    </row>
    <row r="96" spans="3:19" hidden="1" outlineLevel="1" x14ac:dyDescent="0.35">
      <c r="E96" s="152" t="str">
        <f>InpC!$E$25</f>
        <v>Anglian Water</v>
      </c>
      <c r="F96" s="152" t="str">
        <f>InpC!$F$25</f>
        <v>ANH</v>
      </c>
      <c r="G96" s="22" t="s">
        <v>34</v>
      </c>
      <c r="J96" s="156">
        <f xml:space="preserve"> SUMIFS('Analysis (LRS)'!M$232:M$317, 'Analysis (LRS)'!$F$231:$F$316, Allowance!$F96)</f>
        <v>0</v>
      </c>
      <c r="K96" s="156">
        <f xml:space="preserve"> SUMIFS('Analysis (LRS)'!N$232:N$317, 'Analysis (LRS)'!$F$231:$F$316, Allowance!$F96)</f>
        <v>0</v>
      </c>
      <c r="L96" s="156">
        <f xml:space="preserve"> SUMIFS('Analysis (LRS)'!O$232:O$317, 'Analysis (LRS)'!$F$231:$F$316, Allowance!$F96)</f>
        <v>0</v>
      </c>
      <c r="M96" s="156">
        <f xml:space="preserve"> SUMIFS('Analysis (LRS)'!P$232:P$317, 'Analysis (LRS)'!$F$231:$F$316, Allowance!$F96)</f>
        <v>0</v>
      </c>
      <c r="N96" s="156">
        <f xml:space="preserve"> SUMIFS('Analysis (LRS)'!Q$232:Q$317, 'Analysis (LRS)'!$F$231:$F$316, Allowance!$F96)</f>
        <v>0</v>
      </c>
      <c r="O96" s="156">
        <f xml:space="preserve"> SUMIFS('Analysis (LRS)'!R$232:R$317, 'Analysis (LRS)'!$F$231:$F$316, Allowance!$F96)</f>
        <v>0</v>
      </c>
      <c r="P96" s="156">
        <f xml:space="preserve"> SUMIFS('Analysis (LRS)'!S$232:S$317, 'Analysis (LRS)'!$F$231:$F$316, Allowance!$F96)</f>
        <v>0</v>
      </c>
      <c r="R96" s="156">
        <f t="shared" ref="R96:R112" si="20">IFERROR(AVERAGE(L96:P96),0)</f>
        <v>0</v>
      </c>
      <c r="S96" s="156">
        <f t="shared" ref="S96:S112" si="21">SUM(L96:P96)</f>
        <v>0</v>
      </c>
    </row>
    <row r="97" spans="5:19" hidden="1" outlineLevel="1" x14ac:dyDescent="0.35">
      <c r="E97" s="152" t="str">
        <f>InpC!$E$26</f>
        <v>Dŵr Cymru</v>
      </c>
      <c r="F97" s="152" t="str">
        <f>InpC!$F$26</f>
        <v>WSH</v>
      </c>
      <c r="G97" s="22" t="s">
        <v>34</v>
      </c>
      <c r="J97" s="156">
        <f xml:space="preserve"> SUMIFS('Analysis (LRS)'!M$232:M$317, 'Analysis (LRS)'!$F$231:$F$316, Allowance!$F97)</f>
        <v>0</v>
      </c>
      <c r="K97" s="156">
        <f xml:space="preserve"> SUMIFS('Analysis (LRS)'!N$232:N$317, 'Analysis (LRS)'!$F$231:$F$316, Allowance!$F97)</f>
        <v>0</v>
      </c>
      <c r="L97" s="156">
        <f xml:space="preserve"> SUMIFS('Analysis (LRS)'!O$232:O$317, 'Analysis (LRS)'!$F$231:$F$316, Allowance!$F97)</f>
        <v>0</v>
      </c>
      <c r="M97" s="156">
        <f xml:space="preserve"> SUMIFS('Analysis (LRS)'!P$232:P$317, 'Analysis (LRS)'!$F$231:$F$316, Allowance!$F97)</f>
        <v>0</v>
      </c>
      <c r="N97" s="156">
        <f xml:space="preserve"> SUMIFS('Analysis (LRS)'!Q$232:Q$317, 'Analysis (LRS)'!$F$231:$F$316, Allowance!$F97)</f>
        <v>0</v>
      </c>
      <c r="O97" s="156">
        <f xml:space="preserve"> SUMIFS('Analysis (LRS)'!R$232:R$317, 'Analysis (LRS)'!$F$231:$F$316, Allowance!$F97)</f>
        <v>0</v>
      </c>
      <c r="P97" s="156">
        <f xml:space="preserve"> SUMIFS('Analysis (LRS)'!S$232:S$317, 'Analysis (LRS)'!$F$231:$F$316, Allowance!$F97)</f>
        <v>0</v>
      </c>
      <c r="R97" s="156">
        <f t="shared" si="20"/>
        <v>0</v>
      </c>
      <c r="S97" s="156">
        <f t="shared" si="21"/>
        <v>0</v>
      </c>
    </row>
    <row r="98" spans="5:19" hidden="1" outlineLevel="1" x14ac:dyDescent="0.35">
      <c r="E98" s="152" t="str">
        <f>InpC!$E$27</f>
        <v>Hafren Dyfrdwy</v>
      </c>
      <c r="F98" s="152" t="str">
        <f>InpC!$F$27</f>
        <v>HDD</v>
      </c>
      <c r="G98" s="22" t="s">
        <v>34</v>
      </c>
      <c r="J98" s="156">
        <f xml:space="preserve"> SUMIFS('Analysis (LRS)'!M$232:M$317, 'Analysis (LRS)'!$F$231:$F$316, Allowance!$F98)</f>
        <v>0</v>
      </c>
      <c r="K98" s="156">
        <f xml:space="preserve"> SUMIFS('Analysis (LRS)'!N$232:N$317, 'Analysis (LRS)'!$F$231:$F$316, Allowance!$F98)</f>
        <v>0</v>
      </c>
      <c r="L98" s="156">
        <f xml:space="preserve"> SUMIFS('Analysis (LRS)'!O$232:O$317, 'Analysis (LRS)'!$F$231:$F$316, Allowance!$F98)</f>
        <v>0</v>
      </c>
      <c r="M98" s="156">
        <f xml:space="preserve"> SUMIFS('Analysis (LRS)'!P$232:P$317, 'Analysis (LRS)'!$F$231:$F$316, Allowance!$F98)</f>
        <v>0</v>
      </c>
      <c r="N98" s="156">
        <f xml:space="preserve"> SUMIFS('Analysis (LRS)'!Q$232:Q$317, 'Analysis (LRS)'!$F$231:$F$316, Allowance!$F98)</f>
        <v>0</v>
      </c>
      <c r="O98" s="156">
        <f xml:space="preserve"> SUMIFS('Analysis (LRS)'!R$232:R$317, 'Analysis (LRS)'!$F$231:$F$316, Allowance!$F98)</f>
        <v>0</v>
      </c>
      <c r="P98" s="156">
        <f xml:space="preserve"> SUMIFS('Analysis (LRS)'!S$232:S$317, 'Analysis (LRS)'!$F$231:$F$316, Allowance!$F98)</f>
        <v>0</v>
      </c>
      <c r="R98" s="156">
        <f t="shared" si="20"/>
        <v>0</v>
      </c>
      <c r="S98" s="156">
        <f t="shared" si="21"/>
        <v>0</v>
      </c>
    </row>
    <row r="99" spans="5:19" hidden="1" outlineLevel="1" x14ac:dyDescent="0.35">
      <c r="E99" s="152" t="str">
        <f>InpC!$E$28</f>
        <v>Northumbrian Water</v>
      </c>
      <c r="F99" s="152" t="str">
        <f>InpC!$F$28</f>
        <v>NES</v>
      </c>
      <c r="G99" s="22" t="s">
        <v>34</v>
      </c>
      <c r="J99" s="156">
        <f xml:space="preserve"> SUMIFS('Analysis (LRS)'!M$232:M$317, 'Analysis (LRS)'!$F$231:$F$316, Allowance!$F99)</f>
        <v>0</v>
      </c>
      <c r="K99" s="156">
        <f xml:space="preserve"> SUMIFS('Analysis (LRS)'!N$232:N$317, 'Analysis (LRS)'!$F$231:$F$316, Allowance!$F99)</f>
        <v>0</v>
      </c>
      <c r="L99" s="156">
        <f xml:space="preserve"> SUMIFS('Analysis (LRS)'!O$232:O$317, 'Analysis (LRS)'!$F$231:$F$316, Allowance!$F99)</f>
        <v>0</v>
      </c>
      <c r="M99" s="156">
        <f xml:space="preserve"> SUMIFS('Analysis (LRS)'!P$232:P$317, 'Analysis (LRS)'!$F$231:$F$316, Allowance!$F99)</f>
        <v>0</v>
      </c>
      <c r="N99" s="156">
        <f xml:space="preserve"> SUMIFS('Analysis (LRS)'!Q$232:Q$317, 'Analysis (LRS)'!$F$231:$F$316, Allowance!$F99)</f>
        <v>0</v>
      </c>
      <c r="O99" s="156">
        <f xml:space="preserve"> SUMIFS('Analysis (LRS)'!R$232:R$317, 'Analysis (LRS)'!$F$231:$F$316, Allowance!$F99)</f>
        <v>0</v>
      </c>
      <c r="P99" s="156">
        <f xml:space="preserve"> SUMIFS('Analysis (LRS)'!S$232:S$317, 'Analysis (LRS)'!$F$231:$F$316, Allowance!$F99)</f>
        <v>0</v>
      </c>
      <c r="R99" s="156">
        <f t="shared" si="20"/>
        <v>0</v>
      </c>
      <c r="S99" s="156">
        <f t="shared" si="21"/>
        <v>0</v>
      </c>
    </row>
    <row r="100" spans="5:19" hidden="1" outlineLevel="1" x14ac:dyDescent="0.35">
      <c r="E100" s="152" t="str">
        <f>InpC!$E$29</f>
        <v>Severn Trent Water</v>
      </c>
      <c r="F100" s="152" t="str">
        <f>InpC!$F$29</f>
        <v>SVE</v>
      </c>
      <c r="G100" s="22" t="s">
        <v>34</v>
      </c>
      <c r="J100" s="156">
        <f xml:space="preserve"> SUMIFS('Analysis (LRS)'!M$232:M$317, 'Analysis (LRS)'!$F$231:$F$316, Allowance!$F100)</f>
        <v>0</v>
      </c>
      <c r="K100" s="156">
        <f xml:space="preserve"> SUMIFS('Analysis (LRS)'!N$232:N$317, 'Analysis (LRS)'!$F$231:$F$316, Allowance!$F100)</f>
        <v>0</v>
      </c>
      <c r="L100" s="156">
        <f xml:space="preserve"> SUMIFS('Analysis (LRS)'!O$232:O$317, 'Analysis (LRS)'!$F$231:$F$316, Allowance!$F100)</f>
        <v>0</v>
      </c>
      <c r="M100" s="156">
        <f xml:space="preserve"> SUMIFS('Analysis (LRS)'!P$232:P$317, 'Analysis (LRS)'!$F$231:$F$316, Allowance!$F100)</f>
        <v>0</v>
      </c>
      <c r="N100" s="156">
        <f xml:space="preserve"> SUMIFS('Analysis (LRS)'!Q$232:Q$317, 'Analysis (LRS)'!$F$231:$F$316, Allowance!$F100)</f>
        <v>0</v>
      </c>
      <c r="O100" s="156">
        <f xml:space="preserve"> SUMIFS('Analysis (LRS)'!R$232:R$317, 'Analysis (LRS)'!$F$231:$F$316, Allowance!$F100)</f>
        <v>0</v>
      </c>
      <c r="P100" s="156">
        <f xml:space="preserve"> SUMIFS('Analysis (LRS)'!S$232:S$317, 'Analysis (LRS)'!$F$231:$F$316, Allowance!$F100)</f>
        <v>0</v>
      </c>
      <c r="R100" s="156">
        <f t="shared" si="20"/>
        <v>0</v>
      </c>
      <c r="S100" s="156">
        <f t="shared" si="21"/>
        <v>0</v>
      </c>
    </row>
    <row r="101" spans="5:19" hidden="1" outlineLevel="1" x14ac:dyDescent="0.35">
      <c r="E101" s="152" t="str">
        <f>InpC!$E$30</f>
        <v>Southern Water</v>
      </c>
      <c r="F101" s="152" t="str">
        <f>InpC!$F$30</f>
        <v>SRN</v>
      </c>
      <c r="G101" s="22" t="s">
        <v>34</v>
      </c>
      <c r="J101" s="156">
        <f xml:space="preserve"> SUMIFS('Analysis (LRS)'!M$232:M$317, 'Analysis (LRS)'!$F$231:$F$316, Allowance!$F101)</f>
        <v>0.74</v>
      </c>
      <c r="K101" s="156">
        <f xml:space="preserve"> SUMIFS('Analysis (LRS)'!N$232:N$317, 'Analysis (LRS)'!$F$231:$F$316, Allowance!$F101)</f>
        <v>0.11</v>
      </c>
      <c r="L101" s="156">
        <f xml:space="preserve"> SUMIFS('Analysis (LRS)'!O$232:O$317, 'Analysis (LRS)'!$F$231:$F$316, Allowance!$F101)</f>
        <v>0.65545917577764345</v>
      </c>
      <c r="M101" s="156">
        <f xml:space="preserve"> SUMIFS('Analysis (LRS)'!P$232:P$317, 'Analysis (LRS)'!$F$231:$F$316, Allowance!$F101)</f>
        <v>0.65545917577764345</v>
      </c>
      <c r="N101" s="156">
        <f xml:space="preserve"> SUMIFS('Analysis (LRS)'!Q$232:Q$317, 'Analysis (LRS)'!$F$231:$F$316, Allowance!$F101)</f>
        <v>0.65545917577764345</v>
      </c>
      <c r="O101" s="156">
        <f xml:space="preserve"> SUMIFS('Analysis (LRS)'!R$232:R$317, 'Analysis (LRS)'!$F$231:$F$316, Allowance!$F101)</f>
        <v>0.65545917577764345</v>
      </c>
      <c r="P101" s="156">
        <f xml:space="preserve"> SUMIFS('Analysis (LRS)'!S$232:S$317, 'Analysis (LRS)'!$F$231:$F$316, Allowance!$F101)</f>
        <v>0.65545917577764345</v>
      </c>
      <c r="R101" s="156">
        <f t="shared" si="20"/>
        <v>0.65545917577764345</v>
      </c>
      <c r="S101" s="156">
        <f t="shared" si="21"/>
        <v>3.2772958788882174</v>
      </c>
    </row>
    <row r="102" spans="5:19" hidden="1" outlineLevel="1" x14ac:dyDescent="0.35">
      <c r="E102" s="152" t="str">
        <f>InpC!$E$31</f>
        <v>Thames Water</v>
      </c>
      <c r="F102" s="152" t="str">
        <f>InpC!$F$31</f>
        <v>TMS</v>
      </c>
      <c r="G102" s="22" t="s">
        <v>34</v>
      </c>
      <c r="J102" s="156">
        <f xml:space="preserve"> SUMIFS('Analysis (LRS)'!M$232:M$317, 'Analysis (LRS)'!$F$231:$F$316, Allowance!$F102)</f>
        <v>1.611954459203035</v>
      </c>
      <c r="K102" s="156">
        <f xml:space="preserve"> SUMIFS('Analysis (LRS)'!N$232:N$317, 'Analysis (LRS)'!$F$231:$F$316, Allowance!$F102)</f>
        <v>1.081</v>
      </c>
      <c r="L102" s="156">
        <f xml:space="preserve"> SUMIFS('Analysis (LRS)'!O$232:O$317, 'Analysis (LRS)'!$F$231:$F$316, Allowance!$F102)</f>
        <v>1.0098339549096367</v>
      </c>
      <c r="M102" s="156">
        <f xml:space="preserve"> SUMIFS('Analysis (LRS)'!P$232:P$317, 'Analysis (LRS)'!$F$231:$F$316, Allowance!$F102)</f>
        <v>1.0098339549096367</v>
      </c>
      <c r="N102" s="156">
        <f xml:space="preserve"> SUMIFS('Analysis (LRS)'!Q$232:Q$317, 'Analysis (LRS)'!$F$231:$F$316, Allowance!$F102)</f>
        <v>1.0098339549096367</v>
      </c>
      <c r="O102" s="156">
        <f xml:space="preserve"> SUMIFS('Analysis (LRS)'!R$232:R$317, 'Analysis (LRS)'!$F$231:$F$316, Allowance!$F102)</f>
        <v>1.0098339549096367</v>
      </c>
      <c r="P102" s="156">
        <f xml:space="preserve"> SUMIFS('Analysis (LRS)'!S$232:S$317, 'Analysis (LRS)'!$F$231:$F$316, Allowance!$F102)</f>
        <v>1.0098339549096367</v>
      </c>
      <c r="R102" s="156">
        <f t="shared" si="20"/>
        <v>1.0098339549096367</v>
      </c>
      <c r="S102" s="156">
        <f t="shared" si="21"/>
        <v>5.0491697745481829</v>
      </c>
    </row>
    <row r="103" spans="5:19" hidden="1" outlineLevel="1" x14ac:dyDescent="0.35">
      <c r="E103" s="152" t="str">
        <f>InpC!$E$32</f>
        <v>United Utilities</v>
      </c>
      <c r="F103" s="152" t="str">
        <f>InpC!$F$32</f>
        <v>NWT</v>
      </c>
      <c r="G103" s="22" t="s">
        <v>34</v>
      </c>
      <c r="J103" s="156">
        <f xml:space="preserve"> SUMIFS('Analysis (LRS)'!M$232:M$317, 'Analysis (LRS)'!$F$231:$F$316, Allowance!$F103)</f>
        <v>0</v>
      </c>
      <c r="K103" s="156">
        <f xml:space="preserve"> SUMIFS('Analysis (LRS)'!N$232:N$317, 'Analysis (LRS)'!$F$231:$F$316, Allowance!$F103)</f>
        <v>0</v>
      </c>
      <c r="L103" s="156">
        <f xml:space="preserve"> SUMIFS('Analysis (LRS)'!O$232:O$317, 'Analysis (LRS)'!$F$231:$F$316, Allowance!$F103)</f>
        <v>0.40621507560380599</v>
      </c>
      <c r="M103" s="156">
        <f xml:space="preserve"> SUMIFS('Analysis (LRS)'!P$232:P$317, 'Analysis (LRS)'!$F$231:$F$316, Allowance!$F103)</f>
        <v>0.41068102801783751</v>
      </c>
      <c r="N103" s="156">
        <f xml:space="preserve"> SUMIFS('Analysis (LRS)'!Q$232:Q$317, 'Analysis (LRS)'!$F$231:$F$316, Allowance!$F103)</f>
        <v>0.40984943852449462</v>
      </c>
      <c r="O103" s="156">
        <f xml:space="preserve"> SUMIFS('Analysis (LRS)'!R$232:R$317, 'Analysis (LRS)'!$F$231:$F$316, Allowance!$F103)</f>
        <v>0.41381468054647419</v>
      </c>
      <c r="P103" s="156">
        <f xml:space="preserve"> SUMIFS('Analysis (LRS)'!S$232:S$317, 'Analysis (LRS)'!$F$231:$F$316, Allowance!$F103)</f>
        <v>0.41393201494067727</v>
      </c>
      <c r="R103" s="156">
        <f t="shared" si="20"/>
        <v>0.41089844752665794</v>
      </c>
      <c r="S103" s="156">
        <f t="shared" si="21"/>
        <v>2.0544922376332897</v>
      </c>
    </row>
    <row r="104" spans="5:19" hidden="1" outlineLevel="1" x14ac:dyDescent="0.35">
      <c r="E104" s="152" t="str">
        <f>InpC!$E$33</f>
        <v>Wessex Water</v>
      </c>
      <c r="F104" s="152" t="str">
        <f>InpC!$F$33</f>
        <v>WSX</v>
      </c>
      <c r="G104" s="22" t="s">
        <v>34</v>
      </c>
      <c r="J104" s="156">
        <f xml:space="preserve"> SUMIFS('Analysis (LRS)'!M$232:M$317, 'Analysis (LRS)'!$F$231:$F$316, Allowance!$F104)</f>
        <v>0</v>
      </c>
      <c r="K104" s="156">
        <f xml:space="preserve"> SUMIFS('Analysis (LRS)'!N$232:N$317, 'Analysis (LRS)'!$F$231:$F$316, Allowance!$F104)</f>
        <v>0</v>
      </c>
      <c r="L104" s="156">
        <f xml:space="preserve"> SUMIFS('Analysis (LRS)'!O$232:O$317, 'Analysis (LRS)'!$F$231:$F$316, Allowance!$F104)</f>
        <v>0</v>
      </c>
      <c r="M104" s="156">
        <f xml:space="preserve"> SUMIFS('Analysis (LRS)'!P$232:P$317, 'Analysis (LRS)'!$F$231:$F$316, Allowance!$F104)</f>
        <v>0</v>
      </c>
      <c r="N104" s="156">
        <f xml:space="preserve"> SUMIFS('Analysis (LRS)'!Q$232:Q$317, 'Analysis (LRS)'!$F$231:$F$316, Allowance!$F104)</f>
        <v>0</v>
      </c>
      <c r="O104" s="156">
        <f xml:space="preserve"> SUMIFS('Analysis (LRS)'!R$232:R$317, 'Analysis (LRS)'!$F$231:$F$316, Allowance!$F104)</f>
        <v>0</v>
      </c>
      <c r="P104" s="156">
        <f xml:space="preserve"> SUMIFS('Analysis (LRS)'!S$232:S$317, 'Analysis (LRS)'!$F$231:$F$316, Allowance!$F104)</f>
        <v>0</v>
      </c>
      <c r="R104" s="156">
        <f t="shared" si="20"/>
        <v>0</v>
      </c>
      <c r="S104" s="156">
        <f t="shared" si="21"/>
        <v>0</v>
      </c>
    </row>
    <row r="105" spans="5:19" hidden="1" outlineLevel="1" x14ac:dyDescent="0.35">
      <c r="E105" s="152" t="str">
        <f>InpC!$E$34</f>
        <v>Yorkshire Water</v>
      </c>
      <c r="F105" s="152" t="str">
        <f>InpC!$F$34</f>
        <v>YKY</v>
      </c>
      <c r="G105" s="22" t="s">
        <v>34</v>
      </c>
      <c r="J105" s="156">
        <f xml:space="preserve"> SUMIFS('Analysis (LRS)'!M$232:M$317, 'Analysis (LRS)'!$F$231:$F$316, Allowance!$F105)</f>
        <v>0</v>
      </c>
      <c r="K105" s="156">
        <f xml:space="preserve"> SUMIFS('Analysis (LRS)'!N$232:N$317, 'Analysis (LRS)'!$F$231:$F$316, Allowance!$F105)</f>
        <v>0</v>
      </c>
      <c r="L105" s="156">
        <f xml:space="preserve"> SUMIFS('Analysis (LRS)'!O$232:O$317, 'Analysis (LRS)'!$F$231:$F$316, Allowance!$F105)</f>
        <v>0.8649</v>
      </c>
      <c r="M105" s="156">
        <f xml:space="preserve"> SUMIFS('Analysis (LRS)'!P$232:P$317, 'Analysis (LRS)'!$F$231:$F$316, Allowance!$F105)</f>
        <v>0.8649</v>
      </c>
      <c r="N105" s="156">
        <f xml:space="preserve"> SUMIFS('Analysis (LRS)'!Q$232:Q$317, 'Analysis (LRS)'!$F$231:$F$316, Allowance!$F105)</f>
        <v>0.8649</v>
      </c>
      <c r="O105" s="156">
        <f xml:space="preserve"> SUMIFS('Analysis (LRS)'!R$232:R$317, 'Analysis (LRS)'!$F$231:$F$316, Allowance!$F105)</f>
        <v>0.8649</v>
      </c>
      <c r="P105" s="156">
        <f xml:space="preserve"> SUMIFS('Analysis (LRS)'!S$232:S$317, 'Analysis (LRS)'!$F$231:$F$316, Allowance!$F105)</f>
        <v>0.8649</v>
      </c>
      <c r="R105" s="156">
        <f t="shared" si="20"/>
        <v>0.86490000000000011</v>
      </c>
      <c r="S105" s="156">
        <f t="shared" si="21"/>
        <v>4.3245000000000005</v>
      </c>
    </row>
    <row r="106" spans="5:19" hidden="1" outlineLevel="1" x14ac:dyDescent="0.35">
      <c r="E106" s="152" t="str">
        <f>InpC!$E$35</f>
        <v>Affinity Water</v>
      </c>
      <c r="F106" s="152" t="str">
        <f>InpC!$F$35</f>
        <v>AFW</v>
      </c>
      <c r="G106" s="22" t="s">
        <v>34</v>
      </c>
      <c r="J106" s="156">
        <f xml:space="preserve"> SUMIFS('Analysis (LRS)'!M$232:M$317, 'Analysis (LRS)'!$F$231:$F$316, Allowance!$F106)</f>
        <v>7.0000000000000001E-3</v>
      </c>
      <c r="K106" s="156">
        <f xml:space="preserve"> SUMIFS('Analysis (LRS)'!N$232:N$317, 'Analysis (LRS)'!$F$231:$F$316, Allowance!$F106)</f>
        <v>1.4999999999999999E-2</v>
      </c>
      <c r="L106" s="156">
        <f xml:space="preserve"> SUMIFS('Analysis (LRS)'!O$232:O$317, 'Analysis (LRS)'!$F$231:$F$316, Allowance!$F106)</f>
        <v>1.4883305123981045E-2</v>
      </c>
      <c r="M106" s="156">
        <f xml:space="preserve"> SUMIFS('Analysis (LRS)'!P$232:P$317, 'Analysis (LRS)'!$F$231:$F$316, Allowance!$F106)</f>
        <v>1.4883305123981045E-2</v>
      </c>
      <c r="N106" s="156">
        <f xml:space="preserve"> SUMIFS('Analysis (LRS)'!Q$232:Q$317, 'Analysis (LRS)'!$F$231:$F$316, Allowance!$F106)</f>
        <v>1.4883305123981045E-2</v>
      </c>
      <c r="O106" s="156">
        <f xml:space="preserve"> SUMIFS('Analysis (LRS)'!R$232:R$317, 'Analysis (LRS)'!$F$231:$F$316, Allowance!$F106)</f>
        <v>1.4883305123981045E-2</v>
      </c>
      <c r="P106" s="156">
        <f xml:space="preserve"> SUMIFS('Analysis (LRS)'!S$232:S$317, 'Analysis (LRS)'!$F$231:$F$316, Allowance!$F106)</f>
        <v>1.4883305123981045E-2</v>
      </c>
      <c r="R106" s="156">
        <f t="shared" si="20"/>
        <v>1.4883305123981044E-2</v>
      </c>
      <c r="S106" s="156">
        <f t="shared" si="21"/>
        <v>7.4416525619905222E-2</v>
      </c>
    </row>
    <row r="107" spans="5:19" hidden="1" outlineLevel="1" x14ac:dyDescent="0.35">
      <c r="E107" s="152" t="str">
        <f>InpC!$E$36</f>
        <v>Portsmouth Water</v>
      </c>
      <c r="F107" s="152" t="str">
        <f>InpC!$F$36</f>
        <v>PRT</v>
      </c>
      <c r="G107" s="22" t="s">
        <v>34</v>
      </c>
      <c r="J107" s="156">
        <f xml:space="preserve"> SUMIFS('Analysis (LRS)'!M$232:M$317, 'Analysis (LRS)'!$F$231:$F$316, Allowance!$F107)</f>
        <v>0.15159137577002049</v>
      </c>
      <c r="K107" s="156">
        <f xml:space="preserve"> SUMIFS('Analysis (LRS)'!N$232:N$317, 'Analysis (LRS)'!$F$231:$F$316, Allowance!$F107)</f>
        <v>0.15</v>
      </c>
      <c r="L107" s="156">
        <f xml:space="preserve"> SUMIFS('Analysis (LRS)'!O$232:O$317, 'Analysis (LRS)'!$F$231:$F$316, Allowance!$F107)</f>
        <v>0.20200000000000001</v>
      </c>
      <c r="M107" s="156">
        <f xml:space="preserve"> SUMIFS('Analysis (LRS)'!P$232:P$317, 'Analysis (LRS)'!$F$231:$F$316, Allowance!$F107)</f>
        <v>0.20399999999999999</v>
      </c>
      <c r="N107" s="156">
        <f xml:space="preserve"> SUMIFS('Analysis (LRS)'!Q$232:Q$317, 'Analysis (LRS)'!$F$231:$F$316, Allowance!$F107)</f>
        <v>0.20200000000000001</v>
      </c>
      <c r="O107" s="156">
        <f xml:space="preserve"> SUMIFS('Analysis (LRS)'!R$232:R$317, 'Analysis (LRS)'!$F$231:$F$316, Allowance!$F107)</f>
        <v>0.20200000000000001</v>
      </c>
      <c r="P107" s="156">
        <f xml:space="preserve"> SUMIFS('Analysis (LRS)'!S$232:S$317, 'Analysis (LRS)'!$F$231:$F$316, Allowance!$F107)</f>
        <v>0.20200000000000001</v>
      </c>
      <c r="R107" s="156">
        <f t="shared" si="20"/>
        <v>0.2024</v>
      </c>
      <c r="S107" s="156">
        <f t="shared" si="21"/>
        <v>1.012</v>
      </c>
    </row>
    <row r="108" spans="5:19" hidden="1" outlineLevel="1" x14ac:dyDescent="0.35">
      <c r="E108" s="152" t="str">
        <f>InpC!$E$37</f>
        <v>South East Water</v>
      </c>
      <c r="F108" s="152" t="str">
        <f>InpC!$F$37</f>
        <v>SEW</v>
      </c>
      <c r="G108" s="22" t="s">
        <v>34</v>
      </c>
      <c r="J108" s="156">
        <f xml:space="preserve"> SUMIFS('Analysis (LRS)'!M$232:M$317, 'Analysis (LRS)'!$F$231:$F$316, Allowance!$F108)</f>
        <v>0.3695040310471483</v>
      </c>
      <c r="K108" s="156">
        <f xml:space="preserve"> SUMIFS('Analysis (LRS)'!N$232:N$317, 'Analysis (LRS)'!$F$231:$F$316, Allowance!$F108)</f>
        <v>0.48036680478063809</v>
      </c>
      <c r="L108" s="156">
        <f xml:space="preserve"> SUMIFS('Analysis (LRS)'!O$232:O$317, 'Analysis (LRS)'!$F$231:$F$316, Allowance!$F108)</f>
        <v>0.44837453415177458</v>
      </c>
      <c r="M108" s="156">
        <f xml:space="preserve"> SUMIFS('Analysis (LRS)'!P$232:P$317, 'Analysis (LRS)'!$F$231:$F$316, Allowance!$F108)</f>
        <v>0.44837453415177458</v>
      </c>
      <c r="N108" s="156">
        <f xml:space="preserve"> SUMIFS('Analysis (LRS)'!Q$232:Q$317, 'Analysis (LRS)'!$F$231:$F$316, Allowance!$F108)</f>
        <v>0.44837453415177458</v>
      </c>
      <c r="O108" s="156">
        <f xml:space="preserve"> SUMIFS('Analysis (LRS)'!R$232:R$317, 'Analysis (LRS)'!$F$231:$F$316, Allowance!$F108)</f>
        <v>0.44837453415177458</v>
      </c>
      <c r="P108" s="156">
        <f xml:space="preserve"> SUMIFS('Analysis (LRS)'!S$232:S$317, 'Analysis (LRS)'!$F$231:$F$316, Allowance!$F108)</f>
        <v>0.44837453415177458</v>
      </c>
      <c r="R108" s="156">
        <f t="shared" si="20"/>
        <v>0.44837453415177453</v>
      </c>
      <c r="S108" s="156">
        <f t="shared" si="21"/>
        <v>2.2418726707588728</v>
      </c>
    </row>
    <row r="109" spans="5:19" hidden="1" outlineLevel="1" x14ac:dyDescent="0.35">
      <c r="E109" s="152" t="str">
        <f>InpC!$E$38</f>
        <v>South Staffs Water</v>
      </c>
      <c r="F109" s="152" t="str">
        <f>InpC!$F$38</f>
        <v>SSC</v>
      </c>
      <c r="G109" s="22" t="s">
        <v>34</v>
      </c>
      <c r="J109" s="156">
        <f xml:space="preserve"> SUMIFS('Analysis (LRS)'!M$232:M$317, 'Analysis (LRS)'!$F$231:$F$316, Allowance!$F109)</f>
        <v>0.253</v>
      </c>
      <c r="K109" s="156">
        <f xml:space="preserve"> SUMIFS('Analysis (LRS)'!N$232:N$317, 'Analysis (LRS)'!$F$231:$F$316, Allowance!$F109)</f>
        <v>0.253</v>
      </c>
      <c r="L109" s="156">
        <f xml:space="preserve"> SUMIFS('Analysis (LRS)'!O$232:O$317, 'Analysis (LRS)'!$F$231:$F$316, Allowance!$F109)</f>
        <v>0.253</v>
      </c>
      <c r="M109" s="156">
        <f xml:space="preserve"> SUMIFS('Analysis (LRS)'!P$232:P$317, 'Analysis (LRS)'!$F$231:$F$316, Allowance!$F109)</f>
        <v>0.253</v>
      </c>
      <c r="N109" s="156">
        <f xml:space="preserve"> SUMIFS('Analysis (LRS)'!Q$232:Q$317, 'Analysis (LRS)'!$F$231:$F$316, Allowance!$F109)</f>
        <v>0.253</v>
      </c>
      <c r="O109" s="156">
        <f xml:space="preserve"> SUMIFS('Analysis (LRS)'!R$232:R$317, 'Analysis (LRS)'!$F$231:$F$316, Allowance!$F109)</f>
        <v>0.253</v>
      </c>
      <c r="P109" s="156">
        <f xml:space="preserve"> SUMIFS('Analysis (LRS)'!S$232:S$317, 'Analysis (LRS)'!$F$231:$F$316, Allowance!$F109)</f>
        <v>0.253</v>
      </c>
      <c r="R109" s="156">
        <f t="shared" si="20"/>
        <v>0.253</v>
      </c>
      <c r="S109" s="156">
        <f t="shared" si="21"/>
        <v>1.2650000000000001</v>
      </c>
    </row>
    <row r="110" spans="5:19" hidden="1" outlineLevel="1" x14ac:dyDescent="0.35">
      <c r="E110" s="152" t="str">
        <f>InpC!$E$39</f>
        <v>SES Water</v>
      </c>
      <c r="F110" s="152" t="str">
        <f>InpC!$F$39</f>
        <v>SES</v>
      </c>
      <c r="G110" s="22" t="s">
        <v>34</v>
      </c>
      <c r="J110" s="156">
        <f xml:space="preserve"> SUMIFS('Analysis (LRS)'!M$232:M$317, 'Analysis (LRS)'!$F$231:$F$316, Allowance!$F110)</f>
        <v>0</v>
      </c>
      <c r="K110" s="156">
        <f xml:space="preserve"> SUMIFS('Analysis (LRS)'!N$232:N$317, 'Analysis (LRS)'!$F$231:$F$316, Allowance!$F110)</f>
        <v>0</v>
      </c>
      <c r="L110" s="156">
        <f xml:space="preserve"> SUMIFS('Analysis (LRS)'!O$232:O$317, 'Analysis (LRS)'!$F$231:$F$316, Allowance!$F110)</f>
        <v>0</v>
      </c>
      <c r="M110" s="156">
        <f xml:space="preserve"> SUMIFS('Analysis (LRS)'!P$232:P$317, 'Analysis (LRS)'!$F$231:$F$316, Allowance!$F110)</f>
        <v>0</v>
      </c>
      <c r="N110" s="156">
        <f xml:space="preserve"> SUMIFS('Analysis (LRS)'!Q$232:Q$317, 'Analysis (LRS)'!$F$231:$F$316, Allowance!$F110)</f>
        <v>0</v>
      </c>
      <c r="O110" s="156">
        <f xml:space="preserve"> SUMIFS('Analysis (LRS)'!R$232:R$317, 'Analysis (LRS)'!$F$231:$F$316, Allowance!$F110)</f>
        <v>0</v>
      </c>
      <c r="P110" s="156">
        <f xml:space="preserve"> SUMIFS('Analysis (LRS)'!S$232:S$317, 'Analysis (LRS)'!$F$231:$F$316, Allowance!$F110)</f>
        <v>0</v>
      </c>
      <c r="R110" s="156">
        <f t="shared" si="20"/>
        <v>0</v>
      </c>
      <c r="S110" s="156">
        <f t="shared" si="21"/>
        <v>0</v>
      </c>
    </row>
    <row r="111" spans="5:19" hidden="1" outlineLevel="1" x14ac:dyDescent="0.35">
      <c r="E111" s="152" t="str">
        <f>InpC!$E$40</f>
        <v>South West Water</v>
      </c>
      <c r="F111" s="152" t="str">
        <f>InpC!$F$40</f>
        <v>SWB</v>
      </c>
      <c r="G111" s="22" t="s">
        <v>34</v>
      </c>
      <c r="J111" s="156">
        <f xml:space="preserve"> SUMIFS('Analysis (LRS)'!M$232:M$317, 'Analysis (LRS)'!$F$231:$F$316, Allowance!$F111)</f>
        <v>0</v>
      </c>
      <c r="K111" s="156">
        <f xml:space="preserve"> SUMIFS('Analysis (LRS)'!N$232:N$317, 'Analysis (LRS)'!$F$231:$F$316, Allowance!$F111)</f>
        <v>0</v>
      </c>
      <c r="L111" s="156">
        <f xml:space="preserve"> SUMIFS('Analysis (LRS)'!O$232:O$317, 'Analysis (LRS)'!$F$231:$F$316, Allowance!$F111)</f>
        <v>0</v>
      </c>
      <c r="M111" s="156">
        <f xml:space="preserve"> SUMIFS('Analysis (LRS)'!P$232:P$317, 'Analysis (LRS)'!$F$231:$F$316, Allowance!$F111)</f>
        <v>0</v>
      </c>
      <c r="N111" s="156">
        <f xml:space="preserve"> SUMIFS('Analysis (LRS)'!Q$232:Q$317, 'Analysis (LRS)'!$F$231:$F$316, Allowance!$F111)</f>
        <v>0</v>
      </c>
      <c r="O111" s="156">
        <f xml:space="preserve"> SUMIFS('Analysis (LRS)'!R$232:R$317, 'Analysis (LRS)'!$F$231:$F$316, Allowance!$F111)</f>
        <v>0</v>
      </c>
      <c r="P111" s="156">
        <f xml:space="preserve"> SUMIFS('Analysis (LRS)'!S$232:S$317, 'Analysis (LRS)'!$F$231:$F$316, Allowance!$F111)</f>
        <v>0</v>
      </c>
      <c r="R111" s="156">
        <f t="shared" si="20"/>
        <v>0</v>
      </c>
      <c r="S111" s="156">
        <f t="shared" si="21"/>
        <v>0</v>
      </c>
    </row>
    <row r="112" spans="5:19" hidden="1" outlineLevel="1" x14ac:dyDescent="0.35">
      <c r="E112" s="152" t="str">
        <f>InpC!$E$41</f>
        <v>Bristol Water</v>
      </c>
      <c r="F112" s="152" t="str">
        <f>InpC!$F$41</f>
        <v>BRL</v>
      </c>
      <c r="G112" s="22" t="s">
        <v>34</v>
      </c>
      <c r="J112" s="156">
        <f xml:space="preserve"> SUMIFS('Analysis (LRS)'!M$232:M$317, 'Analysis (LRS)'!$F$231:$F$316, Allowance!$F112)</f>
        <v>0</v>
      </c>
      <c r="K112" s="156">
        <f xml:space="preserve"> SUMIFS('Analysis (LRS)'!N$232:N$317, 'Analysis (LRS)'!$F$231:$F$316, Allowance!$F112)</f>
        <v>0</v>
      </c>
      <c r="L112" s="156">
        <f xml:space="preserve"> SUMIFS('Analysis (LRS)'!O$232:O$317, 'Analysis (LRS)'!$F$231:$F$316, Allowance!$F112)</f>
        <v>0</v>
      </c>
      <c r="M112" s="156">
        <f xml:space="preserve"> SUMIFS('Analysis (LRS)'!P$232:P$317, 'Analysis (LRS)'!$F$231:$F$316, Allowance!$F112)</f>
        <v>0</v>
      </c>
      <c r="N112" s="156">
        <f xml:space="preserve"> SUMIFS('Analysis (LRS)'!Q$232:Q$317, 'Analysis (LRS)'!$F$231:$F$316, Allowance!$F112)</f>
        <v>0</v>
      </c>
      <c r="O112" s="156">
        <f xml:space="preserve"> SUMIFS('Analysis (LRS)'!R$232:R$317, 'Analysis (LRS)'!$F$231:$F$316, Allowance!$F112)</f>
        <v>0</v>
      </c>
      <c r="P112" s="156">
        <f xml:space="preserve"> SUMIFS('Analysis (LRS)'!S$232:S$317, 'Analysis (LRS)'!$F$231:$F$316, Allowance!$F112)</f>
        <v>0</v>
      </c>
      <c r="R112" s="156">
        <f t="shared" si="20"/>
        <v>0</v>
      </c>
      <c r="S112" s="156">
        <f t="shared" si="21"/>
        <v>0</v>
      </c>
    </row>
    <row r="113" spans="3:19" hidden="1" outlineLevel="1" x14ac:dyDescent="0.35">
      <c r="E113" s="152" t="s">
        <v>147</v>
      </c>
      <c r="G113" s="22" t="s">
        <v>34</v>
      </c>
      <c r="J113" s="157">
        <f t="shared" ref="J113:P113" si="22">SUM(J96:J112)</f>
        <v>3.1330498660202042</v>
      </c>
      <c r="K113" s="157">
        <f t="shared" si="22"/>
        <v>2.0893668047806382</v>
      </c>
      <c r="L113" s="157">
        <f t="shared" si="22"/>
        <v>3.8546660455668418</v>
      </c>
      <c r="M113" s="157">
        <f t="shared" si="22"/>
        <v>3.8611319979808738</v>
      </c>
      <c r="N113" s="157">
        <f t="shared" si="22"/>
        <v>3.8583004084875308</v>
      </c>
      <c r="O113" s="157">
        <f t="shared" si="22"/>
        <v>3.8622656505095101</v>
      </c>
      <c r="P113" s="157">
        <f t="shared" si="22"/>
        <v>3.862382984903713</v>
      </c>
      <c r="R113" s="157">
        <f t="shared" ref="R113:S113" si="23">SUM(R96:R112)</f>
        <v>3.8597494174896938</v>
      </c>
      <c r="S113" s="157">
        <f t="shared" si="23"/>
        <v>19.298747087448472</v>
      </c>
    </row>
    <row r="115" spans="3:19" x14ac:dyDescent="0.35">
      <c r="D115" s="151" t="s">
        <v>234</v>
      </c>
      <c r="J115" s="74">
        <f t="shared" ref="J115:P115" si="24">J$2</f>
        <v>45382</v>
      </c>
      <c r="K115" s="74">
        <f t="shared" si="24"/>
        <v>45747</v>
      </c>
      <c r="L115" s="74">
        <f t="shared" si="24"/>
        <v>46112</v>
      </c>
      <c r="M115" s="74">
        <f t="shared" si="24"/>
        <v>46477</v>
      </c>
      <c r="N115" s="74">
        <f t="shared" si="24"/>
        <v>46843</v>
      </c>
      <c r="O115" s="74">
        <f t="shared" si="24"/>
        <v>47208</v>
      </c>
      <c r="P115" s="74">
        <f t="shared" si="24"/>
        <v>47573</v>
      </c>
      <c r="R115" s="74" t="str">
        <f t="shared" ref="R115:S115" si="25">R$2</f>
        <v>PR24 Average</v>
      </c>
      <c r="S115" s="74" t="str">
        <f t="shared" si="25"/>
        <v>PR24 Total</v>
      </c>
    </row>
    <row r="116" spans="3:19" x14ac:dyDescent="0.35">
      <c r="C116" s="152"/>
      <c r="D116" s="152"/>
      <c r="J116" s="74"/>
      <c r="K116" s="74"/>
      <c r="L116" s="74"/>
      <c r="M116" s="74"/>
      <c r="N116" s="74"/>
      <c r="O116" s="74"/>
      <c r="P116" s="74"/>
      <c r="R116" s="74"/>
      <c r="S116" s="74"/>
    </row>
    <row r="117" spans="3:19" collapsed="1" x14ac:dyDescent="0.35">
      <c r="E117" s="151" t="s">
        <v>180</v>
      </c>
    </row>
    <row r="118" spans="3:19" hidden="1" outlineLevel="1" x14ac:dyDescent="0.35"/>
    <row r="119" spans="3:19" hidden="1" outlineLevel="1" x14ac:dyDescent="0.35">
      <c r="E119" s="155" t="s">
        <v>177</v>
      </c>
      <c r="J119" s="153"/>
      <c r="K119" s="153"/>
      <c r="L119" s="153"/>
      <c r="M119" s="153"/>
      <c r="N119" s="153"/>
      <c r="O119" s="153"/>
      <c r="P119" s="153"/>
      <c r="R119" s="153"/>
      <c r="S119" s="153"/>
    </row>
    <row r="120" spans="3:19" hidden="1" outlineLevel="1" x14ac:dyDescent="0.35">
      <c r="E120" s="129">
        <f>InpT!$F$8</f>
        <v>45016</v>
      </c>
      <c r="G120" s="22" t="s">
        <v>178</v>
      </c>
      <c r="J120" s="153"/>
      <c r="K120" s="153"/>
      <c r="L120" s="153"/>
      <c r="M120" s="153"/>
      <c r="N120" s="153"/>
      <c r="O120" s="153"/>
      <c r="P120" s="153"/>
      <c r="R120" s="153"/>
      <c r="S120" s="153"/>
    </row>
    <row r="121" spans="3:19" hidden="1" outlineLevel="1" x14ac:dyDescent="0.35">
      <c r="E121" s="129"/>
      <c r="J121" s="153"/>
      <c r="K121" s="153"/>
      <c r="L121" s="153"/>
      <c r="M121" s="153"/>
      <c r="N121" s="153"/>
      <c r="O121" s="153"/>
      <c r="P121" s="153"/>
      <c r="R121" s="153"/>
      <c r="S121" s="153"/>
    </row>
    <row r="122" spans="3:19" hidden="1" outlineLevel="1" x14ac:dyDescent="0.35">
      <c r="E122" s="152" t="str">
        <f>InpC!$E$25</f>
        <v>Anglian Water</v>
      </c>
      <c r="F122" s="152" t="str">
        <f>InpC!$F$25</f>
        <v>ANH</v>
      </c>
      <c r="G122" s="22" t="s">
        <v>34</v>
      </c>
      <c r="J122" s="156">
        <f xml:space="preserve"> SUMIFS('Analysis (LRS)'!M$233:M$318, 'Analysis (LRS)'!$F$231:$F$316, Allowance!$F122)</f>
        <v>0</v>
      </c>
      <c r="K122" s="156">
        <f xml:space="preserve"> SUMIFS('Analysis (LRS)'!N$233:N$318, 'Analysis (LRS)'!$F$231:$F$316, Allowance!$F122)</f>
        <v>0</v>
      </c>
      <c r="L122" s="156">
        <f xml:space="preserve"> SUMIFS('Analysis (LRS)'!O$233:O$318, 'Analysis (LRS)'!$F$231:$F$316, Allowance!$F122)</f>
        <v>0</v>
      </c>
      <c r="M122" s="156">
        <f xml:space="preserve"> SUMIFS('Analysis (LRS)'!P$233:P$318, 'Analysis (LRS)'!$F$231:$F$316, Allowance!$F122)</f>
        <v>0</v>
      </c>
      <c r="N122" s="156">
        <f xml:space="preserve"> SUMIFS('Analysis (LRS)'!Q$233:Q$318, 'Analysis (LRS)'!$F$231:$F$316, Allowance!$F122)</f>
        <v>0</v>
      </c>
      <c r="O122" s="156">
        <f xml:space="preserve"> SUMIFS('Analysis (LRS)'!R$233:R$318, 'Analysis (LRS)'!$F$231:$F$316, Allowance!$F122)</f>
        <v>0</v>
      </c>
      <c r="P122" s="156">
        <f xml:space="preserve"> SUMIFS('Analysis (LRS)'!S$233:S$318, 'Analysis (LRS)'!$F$231:$F$316, Allowance!$F122)</f>
        <v>0</v>
      </c>
      <c r="R122" s="156">
        <f t="shared" ref="R122:R138" si="26">IFERROR(AVERAGE(L122:P122),0)</f>
        <v>0</v>
      </c>
      <c r="S122" s="156">
        <f t="shared" ref="S122:S138" si="27">SUM(L122:P122)</f>
        <v>0</v>
      </c>
    </row>
    <row r="123" spans="3:19" hidden="1" outlineLevel="1" x14ac:dyDescent="0.35">
      <c r="E123" s="152" t="str">
        <f>InpC!$E$26</f>
        <v>Dŵr Cymru</v>
      </c>
      <c r="F123" s="152" t="str">
        <f>InpC!$F$26</f>
        <v>WSH</v>
      </c>
      <c r="G123" s="22" t="s">
        <v>34</v>
      </c>
      <c r="J123" s="156">
        <f xml:space="preserve"> SUMIFS('Analysis (LRS)'!M$233:M$318, 'Analysis (LRS)'!$F$231:$F$316, Allowance!$F123)</f>
        <v>0</v>
      </c>
      <c r="K123" s="156">
        <f xml:space="preserve"> SUMIFS('Analysis (LRS)'!N$233:N$318, 'Analysis (LRS)'!$F$231:$F$316, Allowance!$F123)</f>
        <v>0</v>
      </c>
      <c r="L123" s="156">
        <f xml:space="preserve"> SUMIFS('Analysis (LRS)'!O$233:O$318, 'Analysis (LRS)'!$F$231:$F$316, Allowance!$F123)</f>
        <v>0</v>
      </c>
      <c r="M123" s="156">
        <f xml:space="preserve"> SUMIFS('Analysis (LRS)'!P$233:P$318, 'Analysis (LRS)'!$F$231:$F$316, Allowance!$F123)</f>
        <v>0</v>
      </c>
      <c r="N123" s="156">
        <f xml:space="preserve"> SUMIFS('Analysis (LRS)'!Q$233:Q$318, 'Analysis (LRS)'!$F$231:$F$316, Allowance!$F123)</f>
        <v>0</v>
      </c>
      <c r="O123" s="156">
        <f xml:space="preserve"> SUMIFS('Analysis (LRS)'!R$233:R$318, 'Analysis (LRS)'!$F$231:$F$316, Allowance!$F123)</f>
        <v>0</v>
      </c>
      <c r="P123" s="156">
        <f xml:space="preserve"> SUMIFS('Analysis (LRS)'!S$233:S$318, 'Analysis (LRS)'!$F$231:$F$316, Allowance!$F123)</f>
        <v>0</v>
      </c>
      <c r="R123" s="156">
        <f t="shared" si="26"/>
        <v>0</v>
      </c>
      <c r="S123" s="156">
        <f t="shared" si="27"/>
        <v>0</v>
      </c>
    </row>
    <row r="124" spans="3:19" hidden="1" outlineLevel="1" x14ac:dyDescent="0.35">
      <c r="E124" s="152" t="str">
        <f>InpC!$E$27</f>
        <v>Hafren Dyfrdwy</v>
      </c>
      <c r="F124" s="152" t="str">
        <f>InpC!$F$27</f>
        <v>HDD</v>
      </c>
      <c r="G124" s="22" t="s">
        <v>34</v>
      </c>
      <c r="J124" s="156">
        <f xml:space="preserve"> SUMIFS('Analysis (LRS)'!M$233:M$318, 'Analysis (LRS)'!$F$231:$F$316, Allowance!$F124)</f>
        <v>0</v>
      </c>
      <c r="K124" s="156">
        <f xml:space="preserve"> SUMIFS('Analysis (LRS)'!N$233:N$318, 'Analysis (LRS)'!$F$231:$F$316, Allowance!$F124)</f>
        <v>0</v>
      </c>
      <c r="L124" s="156">
        <f xml:space="preserve"> SUMIFS('Analysis (LRS)'!O$233:O$318, 'Analysis (LRS)'!$F$231:$F$316, Allowance!$F124)</f>
        <v>0</v>
      </c>
      <c r="M124" s="156">
        <f xml:space="preserve"> SUMIFS('Analysis (LRS)'!P$233:P$318, 'Analysis (LRS)'!$F$231:$F$316, Allowance!$F124)</f>
        <v>0</v>
      </c>
      <c r="N124" s="156">
        <f xml:space="preserve"> SUMIFS('Analysis (LRS)'!Q$233:Q$318, 'Analysis (LRS)'!$F$231:$F$316, Allowance!$F124)</f>
        <v>0</v>
      </c>
      <c r="O124" s="156">
        <f xml:space="preserve"> SUMIFS('Analysis (LRS)'!R$233:R$318, 'Analysis (LRS)'!$F$231:$F$316, Allowance!$F124)</f>
        <v>0</v>
      </c>
      <c r="P124" s="156">
        <f xml:space="preserve"> SUMIFS('Analysis (LRS)'!S$233:S$318, 'Analysis (LRS)'!$F$231:$F$316, Allowance!$F124)</f>
        <v>0</v>
      </c>
      <c r="R124" s="156">
        <f t="shared" si="26"/>
        <v>0</v>
      </c>
      <c r="S124" s="156">
        <f t="shared" si="27"/>
        <v>0</v>
      </c>
    </row>
    <row r="125" spans="3:19" hidden="1" outlineLevel="1" x14ac:dyDescent="0.35">
      <c r="E125" s="152" t="str">
        <f>InpC!$E$28</f>
        <v>Northumbrian Water</v>
      </c>
      <c r="F125" s="152" t="str">
        <f>InpC!$F$28</f>
        <v>NES</v>
      </c>
      <c r="G125" s="22" t="s">
        <v>34</v>
      </c>
      <c r="J125" s="156">
        <f xml:space="preserve"> SUMIFS('Analysis (LRS)'!M$233:M$318, 'Analysis (LRS)'!$F$231:$F$316, Allowance!$F125)</f>
        <v>0</v>
      </c>
      <c r="K125" s="156">
        <f xml:space="preserve"> SUMIFS('Analysis (LRS)'!N$233:N$318, 'Analysis (LRS)'!$F$231:$F$316, Allowance!$F125)</f>
        <v>0</v>
      </c>
      <c r="L125" s="156">
        <f xml:space="preserve"> SUMIFS('Analysis (LRS)'!O$233:O$318, 'Analysis (LRS)'!$F$231:$F$316, Allowance!$F125)</f>
        <v>0</v>
      </c>
      <c r="M125" s="156">
        <f xml:space="preserve"> SUMIFS('Analysis (LRS)'!P$233:P$318, 'Analysis (LRS)'!$F$231:$F$316, Allowance!$F125)</f>
        <v>0</v>
      </c>
      <c r="N125" s="156">
        <f xml:space="preserve"> SUMIFS('Analysis (LRS)'!Q$233:Q$318, 'Analysis (LRS)'!$F$231:$F$316, Allowance!$F125)</f>
        <v>0</v>
      </c>
      <c r="O125" s="156">
        <f xml:space="preserve"> SUMIFS('Analysis (LRS)'!R$233:R$318, 'Analysis (LRS)'!$F$231:$F$316, Allowance!$F125)</f>
        <v>0</v>
      </c>
      <c r="P125" s="156">
        <f xml:space="preserve"> SUMIFS('Analysis (LRS)'!S$233:S$318, 'Analysis (LRS)'!$F$231:$F$316, Allowance!$F125)</f>
        <v>0</v>
      </c>
      <c r="R125" s="156">
        <f t="shared" si="26"/>
        <v>0</v>
      </c>
      <c r="S125" s="156">
        <f t="shared" si="27"/>
        <v>0</v>
      </c>
    </row>
    <row r="126" spans="3:19" hidden="1" outlineLevel="1" x14ac:dyDescent="0.35">
      <c r="E126" s="152" t="str">
        <f>InpC!$E$29</f>
        <v>Severn Trent Water</v>
      </c>
      <c r="F126" s="152" t="str">
        <f>InpC!$F$29</f>
        <v>SVE</v>
      </c>
      <c r="G126" s="22" t="s">
        <v>34</v>
      </c>
      <c r="J126" s="156">
        <f xml:space="preserve"> SUMIFS('Analysis (LRS)'!M$233:M$318, 'Analysis (LRS)'!$F$231:$F$316, Allowance!$F126)</f>
        <v>0</v>
      </c>
      <c r="K126" s="156">
        <f xml:space="preserve"> SUMIFS('Analysis (LRS)'!N$233:N$318, 'Analysis (LRS)'!$F$231:$F$316, Allowance!$F126)</f>
        <v>0</v>
      </c>
      <c r="L126" s="156">
        <f xml:space="preserve"> SUMIFS('Analysis (LRS)'!O$233:O$318, 'Analysis (LRS)'!$F$231:$F$316, Allowance!$F126)</f>
        <v>0</v>
      </c>
      <c r="M126" s="156">
        <f xml:space="preserve"> SUMIFS('Analysis (LRS)'!P$233:P$318, 'Analysis (LRS)'!$F$231:$F$316, Allowance!$F126)</f>
        <v>0</v>
      </c>
      <c r="N126" s="156">
        <f xml:space="preserve"> SUMIFS('Analysis (LRS)'!Q$233:Q$318, 'Analysis (LRS)'!$F$231:$F$316, Allowance!$F126)</f>
        <v>0</v>
      </c>
      <c r="O126" s="156">
        <f xml:space="preserve"> SUMIFS('Analysis (LRS)'!R$233:R$318, 'Analysis (LRS)'!$F$231:$F$316, Allowance!$F126)</f>
        <v>0</v>
      </c>
      <c r="P126" s="156">
        <f xml:space="preserve"> SUMIFS('Analysis (LRS)'!S$233:S$318, 'Analysis (LRS)'!$F$231:$F$316, Allowance!$F126)</f>
        <v>0</v>
      </c>
      <c r="R126" s="156">
        <f t="shared" si="26"/>
        <v>0</v>
      </c>
      <c r="S126" s="156">
        <f t="shared" si="27"/>
        <v>0</v>
      </c>
    </row>
    <row r="127" spans="3:19" hidden="1" outlineLevel="1" x14ac:dyDescent="0.35">
      <c r="E127" s="152" t="str">
        <f>InpC!$E$30</f>
        <v>Southern Water</v>
      </c>
      <c r="F127" s="152" t="str">
        <f>InpC!$F$30</f>
        <v>SRN</v>
      </c>
      <c r="G127" s="22" t="s">
        <v>34</v>
      </c>
      <c r="J127" s="156">
        <f xml:space="preserve"> SUMIFS('Analysis (LRS)'!M$233:M$318, 'Analysis (LRS)'!$F$231:$F$316, Allowance!$F127)</f>
        <v>0.376</v>
      </c>
      <c r="K127" s="156">
        <f xml:space="preserve"> SUMIFS('Analysis (LRS)'!N$233:N$318, 'Analysis (LRS)'!$F$231:$F$316, Allowance!$F127)</f>
        <v>9.0999999999999998E-2</v>
      </c>
      <c r="L127" s="156">
        <f xml:space="preserve"> SUMIFS('Analysis (LRS)'!O$233:O$318, 'Analysis (LRS)'!$F$231:$F$316, Allowance!$F127)</f>
        <v>0.35</v>
      </c>
      <c r="M127" s="156">
        <f xml:space="preserve"> SUMIFS('Analysis (LRS)'!P$233:P$318, 'Analysis (LRS)'!$F$231:$F$316, Allowance!$F127)</f>
        <v>0.35</v>
      </c>
      <c r="N127" s="156">
        <f xml:space="preserve"> SUMIFS('Analysis (LRS)'!Q$233:Q$318, 'Analysis (LRS)'!$F$231:$F$316, Allowance!$F127)</f>
        <v>0.35</v>
      </c>
      <c r="O127" s="156">
        <f xml:space="preserve"> SUMIFS('Analysis (LRS)'!R$233:R$318, 'Analysis (LRS)'!$F$231:$F$316, Allowance!$F127)</f>
        <v>0.35</v>
      </c>
      <c r="P127" s="156">
        <f xml:space="preserve"> SUMIFS('Analysis (LRS)'!S$233:S$318, 'Analysis (LRS)'!$F$231:$F$316, Allowance!$F127)</f>
        <v>0.35</v>
      </c>
      <c r="R127" s="156">
        <f t="shared" si="26"/>
        <v>0.35</v>
      </c>
      <c r="S127" s="156">
        <f t="shared" si="27"/>
        <v>1.75</v>
      </c>
    </row>
    <row r="128" spans="3:19" hidden="1" outlineLevel="1" x14ac:dyDescent="0.35">
      <c r="E128" s="152" t="str">
        <f>InpC!$E$31</f>
        <v>Thames Water</v>
      </c>
      <c r="F128" s="152" t="str">
        <f>InpC!$F$31</f>
        <v>TMS</v>
      </c>
      <c r="G128" s="22" t="s">
        <v>34</v>
      </c>
      <c r="J128" s="156">
        <f xml:space="preserve"> SUMIFS('Analysis (LRS)'!M$233:M$318, 'Analysis (LRS)'!$F$231:$F$316, Allowance!$F128)</f>
        <v>0.44402277039848159</v>
      </c>
      <c r="K128" s="156">
        <f xml:space="preserve"> SUMIFS('Analysis (LRS)'!N$233:N$318, 'Analysis (LRS)'!$F$231:$F$316, Allowance!$F128)</f>
        <v>0.29599999999999999</v>
      </c>
      <c r="L128" s="156">
        <f xml:space="preserve"> SUMIFS('Analysis (LRS)'!O$233:O$318, 'Analysis (LRS)'!$F$231:$F$316, Allowance!$F128)</f>
        <v>0.27360000000000001</v>
      </c>
      <c r="M128" s="156">
        <f xml:space="preserve"> SUMIFS('Analysis (LRS)'!P$233:P$318, 'Analysis (LRS)'!$F$231:$F$316, Allowance!$F128)</f>
        <v>0.27360000000000001</v>
      </c>
      <c r="N128" s="156">
        <f xml:space="preserve"> SUMIFS('Analysis (LRS)'!Q$233:Q$318, 'Analysis (LRS)'!$F$231:$F$316, Allowance!$F128)</f>
        <v>0.27360000000000001</v>
      </c>
      <c r="O128" s="156">
        <f xml:space="preserve"> SUMIFS('Analysis (LRS)'!R$233:R$318, 'Analysis (LRS)'!$F$231:$F$316, Allowance!$F128)</f>
        <v>0.26729999999999998</v>
      </c>
      <c r="P128" s="156">
        <f xml:space="preserve"> SUMIFS('Analysis (LRS)'!S$233:S$318, 'Analysis (LRS)'!$F$231:$F$316, Allowance!$F128)</f>
        <v>0.26729999999999998</v>
      </c>
      <c r="R128" s="156">
        <f t="shared" si="26"/>
        <v>0.27107999999999999</v>
      </c>
      <c r="S128" s="156">
        <f t="shared" si="27"/>
        <v>1.3553999999999999</v>
      </c>
    </row>
    <row r="129" spans="3:19" hidden="1" outlineLevel="1" x14ac:dyDescent="0.35">
      <c r="E129" s="152" t="str">
        <f>InpC!$E$32</f>
        <v>United Utilities</v>
      </c>
      <c r="F129" s="152" t="str">
        <f>InpC!$F$32</f>
        <v>NWT</v>
      </c>
      <c r="G129" s="22" t="s">
        <v>34</v>
      </c>
      <c r="J129" s="156">
        <f xml:space="preserve"> SUMIFS('Analysis (LRS)'!M$233:M$318, 'Analysis (LRS)'!$F$231:$F$316, Allowance!$F129)</f>
        <v>0</v>
      </c>
      <c r="K129" s="156">
        <f xml:space="preserve"> SUMIFS('Analysis (LRS)'!N$233:N$318, 'Analysis (LRS)'!$F$231:$F$316, Allowance!$F129)</f>
        <v>0</v>
      </c>
      <c r="L129" s="156">
        <f xml:space="preserve"> SUMIFS('Analysis (LRS)'!O$233:O$318, 'Analysis (LRS)'!$F$231:$F$316, Allowance!$F129)</f>
        <v>4.1708182918053713E-2</v>
      </c>
      <c r="M129" s="156">
        <f xml:space="preserve"> SUMIFS('Analysis (LRS)'!P$233:P$318, 'Analysis (LRS)'!$F$231:$F$316, Allowance!$F129)</f>
        <v>4.2160256588246632E-2</v>
      </c>
      <c r="N129" s="156">
        <f xml:space="preserve"> SUMIFS('Analysis (LRS)'!Q$233:Q$318, 'Analysis (LRS)'!$F$231:$F$316, Allowance!$F129)</f>
        <v>4.2058886769113388E-2</v>
      </c>
      <c r="O129" s="156">
        <f xml:space="preserve"> SUMIFS('Analysis (LRS)'!R$233:R$318, 'Analysis (LRS)'!$F$231:$F$316, Allowance!$F129)</f>
        <v>4.2484226429666379E-2</v>
      </c>
      <c r="P129" s="156">
        <f xml:space="preserve"> SUMIFS('Analysis (LRS)'!S$233:S$318, 'Analysis (LRS)'!$F$231:$F$316, Allowance!$F129)</f>
        <v>4.2491635905242187E-2</v>
      </c>
      <c r="R129" s="156">
        <f t="shared" si="26"/>
        <v>4.2180637722064464E-2</v>
      </c>
      <c r="S129" s="156">
        <f t="shared" si="27"/>
        <v>0.21090318861032231</v>
      </c>
    </row>
    <row r="130" spans="3:19" hidden="1" outlineLevel="1" x14ac:dyDescent="0.35">
      <c r="E130" s="152" t="str">
        <f>InpC!$E$33</f>
        <v>Wessex Water</v>
      </c>
      <c r="F130" s="152" t="str">
        <f>InpC!$F$33</f>
        <v>WSX</v>
      </c>
      <c r="G130" s="22" t="s">
        <v>34</v>
      </c>
      <c r="J130" s="156">
        <f xml:space="preserve"> SUMIFS('Analysis (LRS)'!M$233:M$318, 'Analysis (LRS)'!$F$231:$F$316, Allowance!$F130)</f>
        <v>0</v>
      </c>
      <c r="K130" s="156">
        <f xml:space="preserve"> SUMIFS('Analysis (LRS)'!N$233:N$318, 'Analysis (LRS)'!$F$231:$F$316, Allowance!$F130)</f>
        <v>0</v>
      </c>
      <c r="L130" s="156">
        <f xml:space="preserve"> SUMIFS('Analysis (LRS)'!O$233:O$318, 'Analysis (LRS)'!$F$231:$F$316, Allowance!$F130)</f>
        <v>0</v>
      </c>
      <c r="M130" s="156">
        <f xml:space="preserve"> SUMIFS('Analysis (LRS)'!P$233:P$318, 'Analysis (LRS)'!$F$231:$F$316, Allowance!$F130)</f>
        <v>0</v>
      </c>
      <c r="N130" s="156">
        <f xml:space="preserve"> SUMIFS('Analysis (LRS)'!Q$233:Q$318, 'Analysis (LRS)'!$F$231:$F$316, Allowance!$F130)</f>
        <v>0</v>
      </c>
      <c r="O130" s="156">
        <f xml:space="preserve"> SUMIFS('Analysis (LRS)'!R$233:R$318, 'Analysis (LRS)'!$F$231:$F$316, Allowance!$F130)</f>
        <v>0</v>
      </c>
      <c r="P130" s="156">
        <f xml:space="preserve"> SUMIFS('Analysis (LRS)'!S$233:S$318, 'Analysis (LRS)'!$F$231:$F$316, Allowance!$F130)</f>
        <v>0</v>
      </c>
      <c r="R130" s="156">
        <f t="shared" si="26"/>
        <v>0</v>
      </c>
      <c r="S130" s="156">
        <f t="shared" si="27"/>
        <v>0</v>
      </c>
    </row>
    <row r="131" spans="3:19" hidden="1" outlineLevel="1" x14ac:dyDescent="0.35">
      <c r="E131" s="152" t="str">
        <f>InpC!$E$34</f>
        <v>Yorkshire Water</v>
      </c>
      <c r="F131" s="152" t="str">
        <f>InpC!$F$34</f>
        <v>YKY</v>
      </c>
      <c r="G131" s="22" t="s">
        <v>34</v>
      </c>
      <c r="J131" s="156">
        <f xml:space="preserve"> SUMIFS('Analysis (LRS)'!M$233:M$318, 'Analysis (LRS)'!$F$231:$F$316, Allowance!$F131)</f>
        <v>0</v>
      </c>
      <c r="K131" s="156">
        <f xml:space="preserve"> SUMIFS('Analysis (LRS)'!N$233:N$318, 'Analysis (LRS)'!$F$231:$F$316, Allowance!$F131)</f>
        <v>0</v>
      </c>
      <c r="L131" s="156">
        <f xml:space="preserve"> SUMIFS('Analysis (LRS)'!O$233:O$318, 'Analysis (LRS)'!$F$231:$F$316, Allowance!$F131)</f>
        <v>0.107</v>
      </c>
      <c r="M131" s="156">
        <f xml:space="preserve"> SUMIFS('Analysis (LRS)'!P$233:P$318, 'Analysis (LRS)'!$F$231:$F$316, Allowance!$F131)</f>
        <v>0.107</v>
      </c>
      <c r="N131" s="156">
        <f xml:space="preserve"> SUMIFS('Analysis (LRS)'!Q$233:Q$318, 'Analysis (LRS)'!$F$231:$F$316, Allowance!$F131)</f>
        <v>0.107</v>
      </c>
      <c r="O131" s="156">
        <f xml:space="preserve"> SUMIFS('Analysis (LRS)'!R$233:R$318, 'Analysis (LRS)'!$F$231:$F$316, Allowance!$F131)</f>
        <v>0.107</v>
      </c>
      <c r="P131" s="156">
        <f xml:space="preserve"> SUMIFS('Analysis (LRS)'!S$233:S$318, 'Analysis (LRS)'!$F$231:$F$316, Allowance!$F131)</f>
        <v>0.107</v>
      </c>
      <c r="R131" s="156">
        <f t="shared" si="26"/>
        <v>0.10700000000000001</v>
      </c>
      <c r="S131" s="156">
        <f t="shared" si="27"/>
        <v>0.53500000000000003</v>
      </c>
    </row>
    <row r="132" spans="3:19" hidden="1" outlineLevel="1" x14ac:dyDescent="0.35">
      <c r="E132" s="152" t="str">
        <f>InpC!$E$35</f>
        <v>Affinity Water</v>
      </c>
      <c r="F132" s="152" t="str">
        <f>InpC!$F$35</f>
        <v>AFW</v>
      </c>
      <c r="G132" s="22" t="s">
        <v>34</v>
      </c>
      <c r="J132" s="156">
        <f xml:space="preserve"> SUMIFS('Analysis (LRS)'!M$233:M$318, 'Analysis (LRS)'!$F$231:$F$316, Allowance!$F132)</f>
        <v>0</v>
      </c>
      <c r="K132" s="156">
        <f xml:space="preserve"> SUMIFS('Analysis (LRS)'!N$233:N$318, 'Analysis (LRS)'!$F$231:$F$316, Allowance!$F132)</f>
        <v>0</v>
      </c>
      <c r="L132" s="156">
        <f xml:space="preserve"> SUMIFS('Analysis (LRS)'!O$233:O$318, 'Analysis (LRS)'!$F$231:$F$316, Allowance!$F132)</f>
        <v>0</v>
      </c>
      <c r="M132" s="156">
        <f xml:space="preserve"> SUMIFS('Analysis (LRS)'!P$233:P$318, 'Analysis (LRS)'!$F$231:$F$316, Allowance!$F132)</f>
        <v>0</v>
      </c>
      <c r="N132" s="156">
        <f xml:space="preserve"> SUMIFS('Analysis (LRS)'!Q$233:Q$318, 'Analysis (LRS)'!$F$231:$F$316, Allowance!$F132)</f>
        <v>0</v>
      </c>
      <c r="O132" s="156">
        <f xml:space="preserve"> SUMIFS('Analysis (LRS)'!R$233:R$318, 'Analysis (LRS)'!$F$231:$F$316, Allowance!$F132)</f>
        <v>0</v>
      </c>
      <c r="P132" s="156">
        <f xml:space="preserve"> SUMIFS('Analysis (LRS)'!S$233:S$318, 'Analysis (LRS)'!$F$231:$F$316, Allowance!$F132)</f>
        <v>0</v>
      </c>
      <c r="R132" s="156">
        <f t="shared" si="26"/>
        <v>0</v>
      </c>
      <c r="S132" s="156">
        <f t="shared" si="27"/>
        <v>0</v>
      </c>
    </row>
    <row r="133" spans="3:19" hidden="1" outlineLevel="1" x14ac:dyDescent="0.35">
      <c r="E133" s="152" t="str">
        <f>InpC!$E$36</f>
        <v>Portsmouth Water</v>
      </c>
      <c r="F133" s="152" t="str">
        <f>InpC!$F$36</f>
        <v>PRT</v>
      </c>
      <c r="G133" s="22" t="s">
        <v>34</v>
      </c>
      <c r="J133" s="156">
        <f xml:space="preserve"> SUMIFS('Analysis (LRS)'!M$233:M$318, 'Analysis (LRS)'!$F$231:$F$316, Allowance!$F133)</f>
        <v>0</v>
      </c>
      <c r="K133" s="156">
        <f xml:space="preserve"> SUMIFS('Analysis (LRS)'!N$233:N$318, 'Analysis (LRS)'!$F$231:$F$316, Allowance!$F133)</f>
        <v>0</v>
      </c>
      <c r="L133" s="156">
        <f xml:space="preserve"> SUMIFS('Analysis (LRS)'!O$233:O$318, 'Analysis (LRS)'!$F$231:$F$316, Allowance!$F133)</f>
        <v>0</v>
      </c>
      <c r="M133" s="156">
        <f xml:space="preserve"> SUMIFS('Analysis (LRS)'!P$233:P$318, 'Analysis (LRS)'!$F$231:$F$316, Allowance!$F133)</f>
        <v>0</v>
      </c>
      <c r="N133" s="156">
        <f xml:space="preserve"> SUMIFS('Analysis (LRS)'!Q$233:Q$318, 'Analysis (LRS)'!$F$231:$F$316, Allowance!$F133)</f>
        <v>0</v>
      </c>
      <c r="O133" s="156">
        <f xml:space="preserve"> SUMIFS('Analysis (LRS)'!R$233:R$318, 'Analysis (LRS)'!$F$231:$F$316, Allowance!$F133)</f>
        <v>0</v>
      </c>
      <c r="P133" s="156">
        <f xml:space="preserve"> SUMIFS('Analysis (LRS)'!S$233:S$318, 'Analysis (LRS)'!$F$231:$F$316, Allowance!$F133)</f>
        <v>0</v>
      </c>
      <c r="R133" s="156">
        <f t="shared" si="26"/>
        <v>0</v>
      </c>
      <c r="S133" s="156">
        <f t="shared" si="27"/>
        <v>0</v>
      </c>
    </row>
    <row r="134" spans="3:19" hidden="1" outlineLevel="1" x14ac:dyDescent="0.35">
      <c r="E134" s="152" t="str">
        <f>InpC!$E$37</f>
        <v>South East Water</v>
      </c>
      <c r="F134" s="152" t="str">
        <f>InpC!$F$37</f>
        <v>SEW</v>
      </c>
      <c r="G134" s="22" t="s">
        <v>34</v>
      </c>
      <c r="J134" s="156">
        <f xml:space="preserve"> SUMIFS('Analysis (LRS)'!M$233:M$318, 'Analysis (LRS)'!$F$231:$F$316, Allowance!$F134)</f>
        <v>0</v>
      </c>
      <c r="K134" s="156">
        <f xml:space="preserve"> SUMIFS('Analysis (LRS)'!N$233:N$318, 'Analysis (LRS)'!$F$231:$F$316, Allowance!$F134)</f>
        <v>0</v>
      </c>
      <c r="L134" s="156">
        <f xml:space="preserve"> SUMIFS('Analysis (LRS)'!O$233:O$318, 'Analysis (LRS)'!$F$231:$F$316, Allowance!$F134)</f>
        <v>0</v>
      </c>
      <c r="M134" s="156">
        <f xml:space="preserve"> SUMIFS('Analysis (LRS)'!P$233:P$318, 'Analysis (LRS)'!$F$231:$F$316, Allowance!$F134)</f>
        <v>0</v>
      </c>
      <c r="N134" s="156">
        <f xml:space="preserve"> SUMIFS('Analysis (LRS)'!Q$233:Q$318, 'Analysis (LRS)'!$F$231:$F$316, Allowance!$F134)</f>
        <v>0</v>
      </c>
      <c r="O134" s="156">
        <f xml:space="preserve"> SUMIFS('Analysis (LRS)'!R$233:R$318, 'Analysis (LRS)'!$F$231:$F$316, Allowance!$F134)</f>
        <v>0</v>
      </c>
      <c r="P134" s="156">
        <f xml:space="preserve"> SUMIFS('Analysis (LRS)'!S$233:S$318, 'Analysis (LRS)'!$F$231:$F$316, Allowance!$F134)</f>
        <v>0</v>
      </c>
      <c r="R134" s="156">
        <f t="shared" si="26"/>
        <v>0</v>
      </c>
      <c r="S134" s="156">
        <f t="shared" si="27"/>
        <v>0</v>
      </c>
    </row>
    <row r="135" spans="3:19" hidden="1" outlineLevel="1" x14ac:dyDescent="0.35">
      <c r="E135" s="152" t="str">
        <f>InpC!$E$38</f>
        <v>South Staffs Water</v>
      </c>
      <c r="F135" s="152" t="str">
        <f>InpC!$F$38</f>
        <v>SSC</v>
      </c>
      <c r="G135" s="22" t="s">
        <v>34</v>
      </c>
      <c r="J135" s="156">
        <f xml:space="preserve"> SUMIFS('Analysis (LRS)'!M$233:M$318, 'Analysis (LRS)'!$F$231:$F$316, Allowance!$F135)</f>
        <v>0</v>
      </c>
      <c r="K135" s="156">
        <f xml:space="preserve"> SUMIFS('Analysis (LRS)'!N$233:N$318, 'Analysis (LRS)'!$F$231:$F$316, Allowance!$F135)</f>
        <v>0</v>
      </c>
      <c r="L135" s="156">
        <f xml:space="preserve"> SUMIFS('Analysis (LRS)'!O$233:O$318, 'Analysis (LRS)'!$F$231:$F$316, Allowance!$F135)</f>
        <v>0</v>
      </c>
      <c r="M135" s="156">
        <f xml:space="preserve"> SUMIFS('Analysis (LRS)'!P$233:P$318, 'Analysis (LRS)'!$F$231:$F$316, Allowance!$F135)</f>
        <v>0</v>
      </c>
      <c r="N135" s="156">
        <f xml:space="preserve"> SUMIFS('Analysis (LRS)'!Q$233:Q$318, 'Analysis (LRS)'!$F$231:$F$316, Allowance!$F135)</f>
        <v>0</v>
      </c>
      <c r="O135" s="156">
        <f xml:space="preserve"> SUMIFS('Analysis (LRS)'!R$233:R$318, 'Analysis (LRS)'!$F$231:$F$316, Allowance!$F135)</f>
        <v>0</v>
      </c>
      <c r="P135" s="156">
        <f xml:space="preserve"> SUMIFS('Analysis (LRS)'!S$233:S$318, 'Analysis (LRS)'!$F$231:$F$316, Allowance!$F135)</f>
        <v>0</v>
      </c>
      <c r="R135" s="156">
        <f t="shared" si="26"/>
        <v>0</v>
      </c>
      <c r="S135" s="156">
        <f t="shared" si="27"/>
        <v>0</v>
      </c>
    </row>
    <row r="136" spans="3:19" hidden="1" outlineLevel="1" x14ac:dyDescent="0.35">
      <c r="E136" s="152" t="str">
        <f>InpC!$E$39</f>
        <v>SES Water</v>
      </c>
      <c r="F136" s="152" t="str">
        <f>InpC!$F$39</f>
        <v>SES</v>
      </c>
      <c r="G136" s="22" t="s">
        <v>34</v>
      </c>
      <c r="J136" s="156">
        <f xml:space="preserve"> SUMIFS('Analysis (LRS)'!M$233:M$318, 'Analysis (LRS)'!$F$231:$F$316, Allowance!$F136)</f>
        <v>0</v>
      </c>
      <c r="K136" s="156">
        <f xml:space="preserve"> SUMIFS('Analysis (LRS)'!N$233:N$318, 'Analysis (LRS)'!$F$231:$F$316, Allowance!$F136)</f>
        <v>0</v>
      </c>
      <c r="L136" s="156">
        <f xml:space="preserve"> SUMIFS('Analysis (LRS)'!O$233:O$318, 'Analysis (LRS)'!$F$231:$F$316, Allowance!$F136)</f>
        <v>0</v>
      </c>
      <c r="M136" s="156">
        <f xml:space="preserve"> SUMIFS('Analysis (LRS)'!P$233:P$318, 'Analysis (LRS)'!$F$231:$F$316, Allowance!$F136)</f>
        <v>0</v>
      </c>
      <c r="N136" s="156">
        <f xml:space="preserve"> SUMIFS('Analysis (LRS)'!Q$233:Q$318, 'Analysis (LRS)'!$F$231:$F$316, Allowance!$F136)</f>
        <v>0</v>
      </c>
      <c r="O136" s="156">
        <f xml:space="preserve"> SUMIFS('Analysis (LRS)'!R$233:R$318, 'Analysis (LRS)'!$F$231:$F$316, Allowance!$F136)</f>
        <v>0</v>
      </c>
      <c r="P136" s="156">
        <f xml:space="preserve"> SUMIFS('Analysis (LRS)'!S$233:S$318, 'Analysis (LRS)'!$F$231:$F$316, Allowance!$F136)</f>
        <v>0</v>
      </c>
      <c r="R136" s="156">
        <f t="shared" si="26"/>
        <v>0</v>
      </c>
      <c r="S136" s="156">
        <f t="shared" si="27"/>
        <v>0</v>
      </c>
    </row>
    <row r="137" spans="3:19" hidden="1" outlineLevel="1" x14ac:dyDescent="0.35">
      <c r="E137" s="152" t="str">
        <f>InpC!$E$40</f>
        <v>South West Water</v>
      </c>
      <c r="F137" s="152" t="str">
        <f>InpC!$F$40</f>
        <v>SWB</v>
      </c>
      <c r="G137" s="22" t="s">
        <v>34</v>
      </c>
      <c r="J137" s="156">
        <f xml:space="preserve"> SUMIFS('Analysis (LRS)'!M$233:M$318, 'Analysis (LRS)'!$F$231:$F$316, Allowance!$F137)</f>
        <v>0</v>
      </c>
      <c r="K137" s="156">
        <f xml:space="preserve"> SUMIFS('Analysis (LRS)'!N$233:N$318, 'Analysis (LRS)'!$F$231:$F$316, Allowance!$F137)</f>
        <v>0</v>
      </c>
      <c r="L137" s="156">
        <f xml:space="preserve"> SUMIFS('Analysis (LRS)'!O$233:O$318, 'Analysis (LRS)'!$F$231:$F$316, Allowance!$F137)</f>
        <v>0</v>
      </c>
      <c r="M137" s="156">
        <f xml:space="preserve"> SUMIFS('Analysis (LRS)'!P$233:P$318, 'Analysis (LRS)'!$F$231:$F$316, Allowance!$F137)</f>
        <v>0</v>
      </c>
      <c r="N137" s="156">
        <f xml:space="preserve"> SUMIFS('Analysis (LRS)'!Q$233:Q$318, 'Analysis (LRS)'!$F$231:$F$316, Allowance!$F137)</f>
        <v>0</v>
      </c>
      <c r="O137" s="156">
        <f xml:space="preserve"> SUMIFS('Analysis (LRS)'!R$233:R$318, 'Analysis (LRS)'!$F$231:$F$316, Allowance!$F137)</f>
        <v>0</v>
      </c>
      <c r="P137" s="156">
        <f xml:space="preserve"> SUMIFS('Analysis (LRS)'!S$233:S$318, 'Analysis (LRS)'!$F$231:$F$316, Allowance!$F137)</f>
        <v>0</v>
      </c>
      <c r="R137" s="156">
        <f t="shared" si="26"/>
        <v>0</v>
      </c>
      <c r="S137" s="156">
        <f t="shared" si="27"/>
        <v>0</v>
      </c>
    </row>
    <row r="138" spans="3:19" hidden="1" outlineLevel="1" x14ac:dyDescent="0.35">
      <c r="E138" s="152" t="str">
        <f>InpC!$E$41</f>
        <v>Bristol Water</v>
      </c>
      <c r="F138" s="152" t="str">
        <f>InpC!$F$41</f>
        <v>BRL</v>
      </c>
      <c r="G138" s="22" t="s">
        <v>34</v>
      </c>
      <c r="J138" s="156">
        <f xml:space="preserve"> SUMIFS('Analysis (LRS)'!M$233:M$318, 'Analysis (LRS)'!$F$231:$F$316, Allowance!$F138)</f>
        <v>0</v>
      </c>
      <c r="K138" s="156">
        <f xml:space="preserve"> SUMIFS('Analysis (LRS)'!N$233:N$318, 'Analysis (LRS)'!$F$231:$F$316, Allowance!$F138)</f>
        <v>0</v>
      </c>
      <c r="L138" s="156">
        <f xml:space="preserve"> SUMIFS('Analysis (LRS)'!O$233:O$318, 'Analysis (LRS)'!$F$231:$F$316, Allowance!$F138)</f>
        <v>0</v>
      </c>
      <c r="M138" s="156">
        <f xml:space="preserve"> SUMIFS('Analysis (LRS)'!P$233:P$318, 'Analysis (LRS)'!$F$231:$F$316, Allowance!$F138)</f>
        <v>0</v>
      </c>
      <c r="N138" s="156">
        <f xml:space="preserve"> SUMIFS('Analysis (LRS)'!Q$233:Q$318, 'Analysis (LRS)'!$F$231:$F$316, Allowance!$F138)</f>
        <v>0</v>
      </c>
      <c r="O138" s="156">
        <f xml:space="preserve"> SUMIFS('Analysis (LRS)'!R$233:R$318, 'Analysis (LRS)'!$F$231:$F$316, Allowance!$F138)</f>
        <v>0</v>
      </c>
      <c r="P138" s="156">
        <f xml:space="preserve"> SUMIFS('Analysis (LRS)'!S$233:S$318, 'Analysis (LRS)'!$F$231:$F$316, Allowance!$F138)</f>
        <v>0</v>
      </c>
      <c r="R138" s="156">
        <f t="shared" si="26"/>
        <v>0</v>
      </c>
      <c r="S138" s="156">
        <f t="shared" si="27"/>
        <v>0</v>
      </c>
    </row>
    <row r="139" spans="3:19" hidden="1" outlineLevel="1" x14ac:dyDescent="0.35">
      <c r="E139" s="152" t="s">
        <v>147</v>
      </c>
      <c r="G139" s="22" t="s">
        <v>34</v>
      </c>
      <c r="J139" s="157">
        <f t="shared" ref="J139:P139" si="28">SUM(J122:J138)</f>
        <v>0.82002277039848159</v>
      </c>
      <c r="K139" s="157">
        <f t="shared" si="28"/>
        <v>0.38700000000000001</v>
      </c>
      <c r="L139" s="157">
        <f t="shared" si="28"/>
        <v>0.77230818291805359</v>
      </c>
      <c r="M139" s="157">
        <f t="shared" si="28"/>
        <v>0.77276025658824654</v>
      </c>
      <c r="N139" s="157">
        <f t="shared" si="28"/>
        <v>0.77265888676911332</v>
      </c>
      <c r="O139" s="157">
        <f t="shared" si="28"/>
        <v>0.76678422642966637</v>
      </c>
      <c r="P139" s="157">
        <f t="shared" si="28"/>
        <v>0.76679163590524213</v>
      </c>
      <c r="R139" s="157">
        <f t="shared" ref="R139:S139" si="29">SUM(R122:R138)</f>
        <v>0.77026063772206443</v>
      </c>
      <c r="S139" s="157">
        <f t="shared" si="29"/>
        <v>3.8513031886103226</v>
      </c>
    </row>
    <row r="141" spans="3:19" x14ac:dyDescent="0.35">
      <c r="D141" s="151" t="s">
        <v>235</v>
      </c>
      <c r="J141" s="74">
        <f t="shared" ref="J141:P141" si="30">J$2</f>
        <v>45382</v>
      </c>
      <c r="K141" s="74">
        <f t="shared" si="30"/>
        <v>45747</v>
      </c>
      <c r="L141" s="74">
        <f t="shared" si="30"/>
        <v>46112</v>
      </c>
      <c r="M141" s="74">
        <f t="shared" si="30"/>
        <v>46477</v>
      </c>
      <c r="N141" s="74">
        <f t="shared" si="30"/>
        <v>46843</v>
      </c>
      <c r="O141" s="74">
        <f t="shared" si="30"/>
        <v>47208</v>
      </c>
      <c r="P141" s="74">
        <f t="shared" si="30"/>
        <v>47573</v>
      </c>
      <c r="R141" s="74" t="str">
        <f t="shared" ref="R141:S141" si="31">R$2</f>
        <v>PR24 Average</v>
      </c>
      <c r="S141" s="74" t="str">
        <f t="shared" si="31"/>
        <v>PR24 Total</v>
      </c>
    </row>
    <row r="142" spans="3:19" x14ac:dyDescent="0.35">
      <c r="C142" s="22"/>
      <c r="D142" s="22"/>
      <c r="E142" s="22"/>
      <c r="F142" s="22"/>
      <c r="J142" s="74"/>
      <c r="K142" s="74"/>
      <c r="L142" s="74"/>
      <c r="M142" s="74"/>
      <c r="N142" s="74"/>
      <c r="O142" s="74"/>
      <c r="P142" s="74"/>
      <c r="R142" s="74"/>
      <c r="S142" s="74"/>
    </row>
    <row r="143" spans="3:19" collapsed="1" x14ac:dyDescent="0.35">
      <c r="E143" s="151" t="s">
        <v>180</v>
      </c>
    </row>
    <row r="144" spans="3:19" hidden="1" outlineLevel="1" x14ac:dyDescent="0.35"/>
    <row r="145" spans="5:19" hidden="1" outlineLevel="1" x14ac:dyDescent="0.35">
      <c r="E145" s="155" t="s">
        <v>177</v>
      </c>
      <c r="J145" s="153"/>
      <c r="K145" s="153"/>
      <c r="L145" s="153"/>
      <c r="M145" s="153"/>
      <c r="N145" s="153"/>
      <c r="O145" s="153"/>
      <c r="P145" s="153"/>
      <c r="R145" s="153"/>
      <c r="S145" s="153"/>
    </row>
    <row r="146" spans="5:19" hidden="1" outlineLevel="1" x14ac:dyDescent="0.35">
      <c r="E146" s="129">
        <f>InpT!$F$8</f>
        <v>45016</v>
      </c>
      <c r="G146" s="22" t="s">
        <v>178</v>
      </c>
      <c r="J146" s="153"/>
      <c r="K146" s="153"/>
      <c r="L146" s="153"/>
      <c r="M146" s="153"/>
      <c r="N146" s="153"/>
      <c r="O146" s="153"/>
      <c r="P146" s="153"/>
      <c r="R146" s="153"/>
      <c r="S146" s="153"/>
    </row>
    <row r="147" spans="5:19" hidden="1" outlineLevel="1" x14ac:dyDescent="0.35">
      <c r="E147" s="129"/>
      <c r="J147" s="153"/>
      <c r="K147" s="153"/>
      <c r="L147" s="153"/>
      <c r="M147" s="153"/>
      <c r="N147" s="153"/>
      <c r="O147" s="153"/>
      <c r="P147" s="153"/>
      <c r="R147" s="153"/>
      <c r="S147" s="153"/>
    </row>
    <row r="148" spans="5:19" hidden="1" outlineLevel="1" x14ac:dyDescent="0.35">
      <c r="E148" s="152" t="str">
        <f>InpC!$E$25</f>
        <v>Anglian Water</v>
      </c>
      <c r="F148" s="152" t="str">
        <f>InpC!$F$25</f>
        <v>ANH</v>
      </c>
      <c r="G148" s="22" t="s">
        <v>34</v>
      </c>
      <c r="J148" s="156">
        <f t="shared" ref="J148:P157" si="32" xml:space="preserve"> J96 + J122</f>
        <v>0</v>
      </c>
      <c r="K148" s="156">
        <f t="shared" si="32"/>
        <v>0</v>
      </c>
      <c r="L148" s="156">
        <f t="shared" si="32"/>
        <v>0</v>
      </c>
      <c r="M148" s="156">
        <f t="shared" si="32"/>
        <v>0</v>
      </c>
      <c r="N148" s="156">
        <f t="shared" si="32"/>
        <v>0</v>
      </c>
      <c r="O148" s="156">
        <f t="shared" si="32"/>
        <v>0</v>
      </c>
      <c r="P148" s="156">
        <f t="shared" si="32"/>
        <v>0</v>
      </c>
      <c r="R148" s="156">
        <f t="shared" ref="R148:R164" si="33">IFERROR(AVERAGE(L148:P148),0)</f>
        <v>0</v>
      </c>
      <c r="S148" s="156">
        <f t="shared" ref="S148:S164" si="34">SUM(L148:P148)</f>
        <v>0</v>
      </c>
    </row>
    <row r="149" spans="5:19" hidden="1" outlineLevel="1" x14ac:dyDescent="0.35">
      <c r="E149" s="152" t="str">
        <f>InpC!$E$26</f>
        <v>Dŵr Cymru</v>
      </c>
      <c r="F149" s="152" t="str">
        <f>InpC!$F$26</f>
        <v>WSH</v>
      </c>
      <c r="G149" s="22" t="s">
        <v>34</v>
      </c>
      <c r="J149" s="156">
        <f t="shared" si="32"/>
        <v>0</v>
      </c>
      <c r="K149" s="156">
        <f t="shared" si="32"/>
        <v>0</v>
      </c>
      <c r="L149" s="156">
        <f t="shared" si="32"/>
        <v>0</v>
      </c>
      <c r="M149" s="156">
        <f t="shared" si="32"/>
        <v>0</v>
      </c>
      <c r="N149" s="156">
        <f t="shared" si="32"/>
        <v>0</v>
      </c>
      <c r="O149" s="156">
        <f t="shared" si="32"/>
        <v>0</v>
      </c>
      <c r="P149" s="156">
        <f t="shared" si="32"/>
        <v>0</v>
      </c>
      <c r="R149" s="156">
        <f t="shared" si="33"/>
        <v>0</v>
      </c>
      <c r="S149" s="156">
        <f t="shared" si="34"/>
        <v>0</v>
      </c>
    </row>
    <row r="150" spans="5:19" hidden="1" outlineLevel="1" x14ac:dyDescent="0.35">
      <c r="E150" s="152" t="str">
        <f>InpC!$E$27</f>
        <v>Hafren Dyfrdwy</v>
      </c>
      <c r="F150" s="152" t="str">
        <f>InpC!$F$27</f>
        <v>HDD</v>
      </c>
      <c r="G150" s="22" t="s">
        <v>34</v>
      </c>
      <c r="J150" s="156">
        <f t="shared" si="32"/>
        <v>0</v>
      </c>
      <c r="K150" s="156">
        <f t="shared" si="32"/>
        <v>0</v>
      </c>
      <c r="L150" s="156">
        <f t="shared" si="32"/>
        <v>0</v>
      </c>
      <c r="M150" s="156">
        <f t="shared" si="32"/>
        <v>0</v>
      </c>
      <c r="N150" s="156">
        <f t="shared" si="32"/>
        <v>0</v>
      </c>
      <c r="O150" s="156">
        <f t="shared" si="32"/>
        <v>0</v>
      </c>
      <c r="P150" s="156">
        <f t="shared" si="32"/>
        <v>0</v>
      </c>
      <c r="R150" s="156">
        <f t="shared" si="33"/>
        <v>0</v>
      </c>
      <c r="S150" s="156">
        <f t="shared" si="34"/>
        <v>0</v>
      </c>
    </row>
    <row r="151" spans="5:19" hidden="1" outlineLevel="1" x14ac:dyDescent="0.35">
      <c r="E151" s="152" t="str">
        <f>InpC!$E$28</f>
        <v>Northumbrian Water</v>
      </c>
      <c r="F151" s="152" t="str">
        <f>InpC!$F$28</f>
        <v>NES</v>
      </c>
      <c r="G151" s="22" t="s">
        <v>34</v>
      </c>
      <c r="J151" s="156">
        <f t="shared" si="32"/>
        <v>0</v>
      </c>
      <c r="K151" s="156">
        <f t="shared" si="32"/>
        <v>0</v>
      </c>
      <c r="L151" s="156">
        <f t="shared" si="32"/>
        <v>0</v>
      </c>
      <c r="M151" s="156">
        <f t="shared" si="32"/>
        <v>0</v>
      </c>
      <c r="N151" s="156">
        <f t="shared" si="32"/>
        <v>0</v>
      </c>
      <c r="O151" s="156">
        <f t="shared" si="32"/>
        <v>0</v>
      </c>
      <c r="P151" s="156">
        <f t="shared" si="32"/>
        <v>0</v>
      </c>
      <c r="R151" s="156">
        <f t="shared" si="33"/>
        <v>0</v>
      </c>
      <c r="S151" s="156">
        <f t="shared" si="34"/>
        <v>0</v>
      </c>
    </row>
    <row r="152" spans="5:19" hidden="1" outlineLevel="1" x14ac:dyDescent="0.35">
      <c r="E152" s="152" t="str">
        <f>InpC!$E$29</f>
        <v>Severn Trent Water</v>
      </c>
      <c r="F152" s="152" t="str">
        <f>InpC!$F$29</f>
        <v>SVE</v>
      </c>
      <c r="G152" s="22" t="s">
        <v>34</v>
      </c>
      <c r="J152" s="156">
        <f t="shared" si="32"/>
        <v>0</v>
      </c>
      <c r="K152" s="156">
        <f t="shared" si="32"/>
        <v>0</v>
      </c>
      <c r="L152" s="156">
        <f t="shared" si="32"/>
        <v>0</v>
      </c>
      <c r="M152" s="156">
        <f t="shared" si="32"/>
        <v>0</v>
      </c>
      <c r="N152" s="156">
        <f t="shared" si="32"/>
        <v>0</v>
      </c>
      <c r="O152" s="156">
        <f t="shared" si="32"/>
        <v>0</v>
      </c>
      <c r="P152" s="156">
        <f t="shared" si="32"/>
        <v>0</v>
      </c>
      <c r="R152" s="156">
        <f t="shared" si="33"/>
        <v>0</v>
      </c>
      <c r="S152" s="156">
        <f t="shared" si="34"/>
        <v>0</v>
      </c>
    </row>
    <row r="153" spans="5:19" hidden="1" outlineLevel="1" x14ac:dyDescent="0.35">
      <c r="E153" s="152" t="str">
        <f>InpC!$E$30</f>
        <v>Southern Water</v>
      </c>
      <c r="F153" s="152" t="str">
        <f>InpC!$F$30</f>
        <v>SRN</v>
      </c>
      <c r="G153" s="22" t="s">
        <v>34</v>
      </c>
      <c r="J153" s="156">
        <f t="shared" si="32"/>
        <v>1.1160000000000001</v>
      </c>
      <c r="K153" s="156">
        <f t="shared" si="32"/>
        <v>0.20100000000000001</v>
      </c>
      <c r="L153" s="156">
        <f t="shared" si="32"/>
        <v>1.0054591757776434</v>
      </c>
      <c r="M153" s="156">
        <f t="shared" si="32"/>
        <v>1.0054591757776434</v>
      </c>
      <c r="N153" s="156">
        <f t="shared" si="32"/>
        <v>1.0054591757776434</v>
      </c>
      <c r="O153" s="156">
        <f t="shared" si="32"/>
        <v>1.0054591757776434</v>
      </c>
      <c r="P153" s="156">
        <f t="shared" si="32"/>
        <v>1.0054591757776434</v>
      </c>
      <c r="R153" s="156">
        <f t="shared" si="33"/>
        <v>1.0054591757776434</v>
      </c>
      <c r="S153" s="156">
        <f t="shared" si="34"/>
        <v>5.0272958788882169</v>
      </c>
    </row>
    <row r="154" spans="5:19" hidden="1" outlineLevel="1" x14ac:dyDescent="0.35">
      <c r="E154" s="152" t="str">
        <f>InpC!$E$31</f>
        <v>Thames Water</v>
      </c>
      <c r="F154" s="152" t="str">
        <f>InpC!$F$31</f>
        <v>TMS</v>
      </c>
      <c r="G154" s="22" t="s">
        <v>34</v>
      </c>
      <c r="J154" s="156">
        <f t="shared" si="32"/>
        <v>2.0559772296015169</v>
      </c>
      <c r="K154" s="156">
        <f t="shared" si="32"/>
        <v>1.377</v>
      </c>
      <c r="L154" s="156">
        <f t="shared" si="32"/>
        <v>1.2834339549096367</v>
      </c>
      <c r="M154" s="156">
        <f t="shared" si="32"/>
        <v>1.2834339549096367</v>
      </c>
      <c r="N154" s="156">
        <f t="shared" si="32"/>
        <v>1.2834339549096367</v>
      </c>
      <c r="O154" s="156">
        <f t="shared" si="32"/>
        <v>1.2771339549096368</v>
      </c>
      <c r="P154" s="156">
        <f t="shared" si="32"/>
        <v>1.2771339549096368</v>
      </c>
      <c r="R154" s="156">
        <f t="shared" si="33"/>
        <v>1.2809139549096369</v>
      </c>
      <c r="S154" s="156">
        <f t="shared" si="34"/>
        <v>6.4045697745481842</v>
      </c>
    </row>
    <row r="155" spans="5:19" hidden="1" outlineLevel="1" x14ac:dyDescent="0.35">
      <c r="E155" s="152" t="str">
        <f>InpC!$E$32</f>
        <v>United Utilities</v>
      </c>
      <c r="F155" s="152" t="str">
        <f>InpC!$F$32</f>
        <v>NWT</v>
      </c>
      <c r="G155" s="22" t="s">
        <v>34</v>
      </c>
      <c r="J155" s="156">
        <f t="shared" si="32"/>
        <v>0</v>
      </c>
      <c r="K155" s="156">
        <f t="shared" si="32"/>
        <v>0</v>
      </c>
      <c r="L155" s="156">
        <f t="shared" si="32"/>
        <v>0.44792325852185971</v>
      </c>
      <c r="M155" s="156">
        <f t="shared" si="32"/>
        <v>0.45284128460608414</v>
      </c>
      <c r="N155" s="156">
        <f t="shared" si="32"/>
        <v>0.45190832529360803</v>
      </c>
      <c r="O155" s="156">
        <f t="shared" si="32"/>
        <v>0.45629890697614056</v>
      </c>
      <c r="P155" s="156">
        <f t="shared" si="32"/>
        <v>0.45642365084591946</v>
      </c>
      <c r="R155" s="156">
        <f t="shared" si="33"/>
        <v>0.45307908524872237</v>
      </c>
      <c r="S155" s="156">
        <f t="shared" si="34"/>
        <v>2.2653954262436118</v>
      </c>
    </row>
    <row r="156" spans="5:19" hidden="1" outlineLevel="1" x14ac:dyDescent="0.35">
      <c r="E156" s="152" t="str">
        <f>InpC!$E$33</f>
        <v>Wessex Water</v>
      </c>
      <c r="F156" s="152" t="str">
        <f>InpC!$F$33</f>
        <v>WSX</v>
      </c>
      <c r="G156" s="22" t="s">
        <v>34</v>
      </c>
      <c r="J156" s="156">
        <f t="shared" si="32"/>
        <v>0</v>
      </c>
      <c r="K156" s="156">
        <f t="shared" si="32"/>
        <v>0</v>
      </c>
      <c r="L156" s="156">
        <f t="shared" si="32"/>
        <v>0</v>
      </c>
      <c r="M156" s="156">
        <f t="shared" si="32"/>
        <v>0</v>
      </c>
      <c r="N156" s="156">
        <f t="shared" si="32"/>
        <v>0</v>
      </c>
      <c r="O156" s="156">
        <f t="shared" si="32"/>
        <v>0</v>
      </c>
      <c r="P156" s="156">
        <f t="shared" si="32"/>
        <v>0</v>
      </c>
      <c r="R156" s="156">
        <f t="shared" si="33"/>
        <v>0</v>
      </c>
      <c r="S156" s="156">
        <f t="shared" si="34"/>
        <v>0</v>
      </c>
    </row>
    <row r="157" spans="5:19" hidden="1" outlineLevel="1" x14ac:dyDescent="0.35">
      <c r="E157" s="152" t="str">
        <f>InpC!$E$34</f>
        <v>Yorkshire Water</v>
      </c>
      <c r="F157" s="152" t="str">
        <f>InpC!$F$34</f>
        <v>YKY</v>
      </c>
      <c r="G157" s="22" t="s">
        <v>34</v>
      </c>
      <c r="J157" s="156">
        <f t="shared" si="32"/>
        <v>0</v>
      </c>
      <c r="K157" s="156">
        <f t="shared" si="32"/>
        <v>0</v>
      </c>
      <c r="L157" s="156">
        <f t="shared" si="32"/>
        <v>0.97189999999999999</v>
      </c>
      <c r="M157" s="156">
        <f t="shared" si="32"/>
        <v>0.97189999999999999</v>
      </c>
      <c r="N157" s="156">
        <f t="shared" si="32"/>
        <v>0.97189999999999999</v>
      </c>
      <c r="O157" s="156">
        <f t="shared" si="32"/>
        <v>0.97189999999999999</v>
      </c>
      <c r="P157" s="156">
        <f t="shared" si="32"/>
        <v>0.97189999999999999</v>
      </c>
      <c r="R157" s="156">
        <f t="shared" si="33"/>
        <v>0.97189999999999999</v>
      </c>
      <c r="S157" s="156">
        <f t="shared" si="34"/>
        <v>4.8594999999999997</v>
      </c>
    </row>
    <row r="158" spans="5:19" hidden="1" outlineLevel="1" x14ac:dyDescent="0.35">
      <c r="E158" s="152" t="str">
        <f>InpC!$E$35</f>
        <v>Affinity Water</v>
      </c>
      <c r="F158" s="152" t="str">
        <f>InpC!$F$35</f>
        <v>AFW</v>
      </c>
      <c r="G158" s="22" t="s">
        <v>34</v>
      </c>
      <c r="J158" s="156">
        <f t="shared" ref="J158:P164" si="35" xml:space="preserve"> J106 + J132</f>
        <v>7.0000000000000001E-3</v>
      </c>
      <c r="K158" s="156">
        <f t="shared" si="35"/>
        <v>1.4999999999999999E-2</v>
      </c>
      <c r="L158" s="156">
        <f t="shared" si="35"/>
        <v>1.4883305123981045E-2</v>
      </c>
      <c r="M158" s="156">
        <f t="shared" si="35"/>
        <v>1.4883305123981045E-2</v>
      </c>
      <c r="N158" s="156">
        <f t="shared" si="35"/>
        <v>1.4883305123981045E-2</v>
      </c>
      <c r="O158" s="156">
        <f t="shared" si="35"/>
        <v>1.4883305123981045E-2</v>
      </c>
      <c r="P158" s="156">
        <f t="shared" si="35"/>
        <v>1.4883305123981045E-2</v>
      </c>
      <c r="R158" s="156">
        <f t="shared" si="33"/>
        <v>1.4883305123981044E-2</v>
      </c>
      <c r="S158" s="156">
        <f t="shared" si="34"/>
        <v>7.4416525619905222E-2</v>
      </c>
    </row>
    <row r="159" spans="5:19" hidden="1" outlineLevel="1" x14ac:dyDescent="0.35">
      <c r="E159" s="152" t="str">
        <f>InpC!$E$36</f>
        <v>Portsmouth Water</v>
      </c>
      <c r="F159" s="152" t="str">
        <f>InpC!$F$36</f>
        <v>PRT</v>
      </c>
      <c r="G159" s="22" t="s">
        <v>34</v>
      </c>
      <c r="J159" s="156">
        <f t="shared" si="35"/>
        <v>0.15159137577002049</v>
      </c>
      <c r="K159" s="156">
        <f t="shared" si="35"/>
        <v>0.15</v>
      </c>
      <c r="L159" s="156">
        <f t="shared" si="35"/>
        <v>0.20200000000000001</v>
      </c>
      <c r="M159" s="156">
        <f t="shared" si="35"/>
        <v>0.20399999999999999</v>
      </c>
      <c r="N159" s="156">
        <f t="shared" si="35"/>
        <v>0.20200000000000001</v>
      </c>
      <c r="O159" s="156">
        <f t="shared" si="35"/>
        <v>0.20200000000000001</v>
      </c>
      <c r="P159" s="156">
        <f t="shared" si="35"/>
        <v>0.20200000000000001</v>
      </c>
      <c r="R159" s="156">
        <f t="shared" si="33"/>
        <v>0.2024</v>
      </c>
      <c r="S159" s="156">
        <f t="shared" si="34"/>
        <v>1.012</v>
      </c>
    </row>
    <row r="160" spans="5:19" hidden="1" outlineLevel="1" x14ac:dyDescent="0.35">
      <c r="E160" s="152" t="str">
        <f>InpC!$E$37</f>
        <v>South East Water</v>
      </c>
      <c r="F160" s="152" t="str">
        <f>InpC!$F$37</f>
        <v>SEW</v>
      </c>
      <c r="G160" s="22" t="s">
        <v>34</v>
      </c>
      <c r="J160" s="156">
        <f t="shared" si="35"/>
        <v>0.3695040310471483</v>
      </c>
      <c r="K160" s="156">
        <f t="shared" si="35"/>
        <v>0.48036680478063809</v>
      </c>
      <c r="L160" s="156">
        <f t="shared" si="35"/>
        <v>0.44837453415177458</v>
      </c>
      <c r="M160" s="156">
        <f t="shared" si="35"/>
        <v>0.44837453415177458</v>
      </c>
      <c r="N160" s="156">
        <f t="shared" si="35"/>
        <v>0.44837453415177458</v>
      </c>
      <c r="O160" s="156">
        <f t="shared" si="35"/>
        <v>0.44837453415177458</v>
      </c>
      <c r="P160" s="156">
        <f t="shared" si="35"/>
        <v>0.44837453415177458</v>
      </c>
      <c r="R160" s="156">
        <f t="shared" si="33"/>
        <v>0.44837453415177453</v>
      </c>
      <c r="S160" s="156">
        <f t="shared" si="34"/>
        <v>2.2418726707588728</v>
      </c>
    </row>
    <row r="161" spans="5:19" hidden="1" outlineLevel="1" x14ac:dyDescent="0.35">
      <c r="E161" s="152" t="str">
        <f>InpC!$E$38</f>
        <v>South Staffs Water</v>
      </c>
      <c r="F161" s="152" t="str">
        <f>InpC!$F$38</f>
        <v>SSC</v>
      </c>
      <c r="G161" s="22" t="s">
        <v>34</v>
      </c>
      <c r="J161" s="156">
        <f t="shared" si="35"/>
        <v>0.253</v>
      </c>
      <c r="K161" s="156">
        <f t="shared" si="35"/>
        <v>0.253</v>
      </c>
      <c r="L161" s="156">
        <f t="shared" si="35"/>
        <v>0.253</v>
      </c>
      <c r="M161" s="156">
        <f t="shared" si="35"/>
        <v>0.253</v>
      </c>
      <c r="N161" s="156">
        <f t="shared" si="35"/>
        <v>0.253</v>
      </c>
      <c r="O161" s="156">
        <f t="shared" si="35"/>
        <v>0.253</v>
      </c>
      <c r="P161" s="156">
        <f t="shared" si="35"/>
        <v>0.253</v>
      </c>
      <c r="R161" s="156">
        <f t="shared" si="33"/>
        <v>0.253</v>
      </c>
      <c r="S161" s="156">
        <f t="shared" si="34"/>
        <v>1.2650000000000001</v>
      </c>
    </row>
    <row r="162" spans="5:19" hidden="1" outlineLevel="1" x14ac:dyDescent="0.35">
      <c r="E162" s="152" t="str">
        <f>InpC!$E$39</f>
        <v>SES Water</v>
      </c>
      <c r="F162" s="152" t="str">
        <f>InpC!$F$39</f>
        <v>SES</v>
      </c>
      <c r="G162" s="22" t="s">
        <v>34</v>
      </c>
      <c r="J162" s="156">
        <f t="shared" si="35"/>
        <v>0</v>
      </c>
      <c r="K162" s="156">
        <f t="shared" si="35"/>
        <v>0</v>
      </c>
      <c r="L162" s="156">
        <f t="shared" si="35"/>
        <v>0</v>
      </c>
      <c r="M162" s="156">
        <f t="shared" si="35"/>
        <v>0</v>
      </c>
      <c r="N162" s="156">
        <f t="shared" si="35"/>
        <v>0</v>
      </c>
      <c r="O162" s="156">
        <f t="shared" si="35"/>
        <v>0</v>
      </c>
      <c r="P162" s="156">
        <f t="shared" si="35"/>
        <v>0</v>
      </c>
      <c r="R162" s="156">
        <f t="shared" si="33"/>
        <v>0</v>
      </c>
      <c r="S162" s="156">
        <f t="shared" si="34"/>
        <v>0</v>
      </c>
    </row>
    <row r="163" spans="5:19" hidden="1" outlineLevel="1" x14ac:dyDescent="0.35">
      <c r="E163" s="152" t="str">
        <f>InpC!$E$40</f>
        <v>South West Water</v>
      </c>
      <c r="F163" s="152" t="str">
        <f>InpC!$F$40</f>
        <v>SWB</v>
      </c>
      <c r="G163" s="22" t="s">
        <v>34</v>
      </c>
      <c r="J163" s="156">
        <f t="shared" si="35"/>
        <v>0</v>
      </c>
      <c r="K163" s="156">
        <f t="shared" si="35"/>
        <v>0</v>
      </c>
      <c r="L163" s="156">
        <f t="shared" si="35"/>
        <v>0</v>
      </c>
      <c r="M163" s="156">
        <f t="shared" si="35"/>
        <v>0</v>
      </c>
      <c r="N163" s="156">
        <f t="shared" si="35"/>
        <v>0</v>
      </c>
      <c r="O163" s="156">
        <f t="shared" si="35"/>
        <v>0</v>
      </c>
      <c r="P163" s="156">
        <f t="shared" si="35"/>
        <v>0</v>
      </c>
      <c r="R163" s="156">
        <f t="shared" si="33"/>
        <v>0</v>
      </c>
      <c r="S163" s="156">
        <f t="shared" si="34"/>
        <v>0</v>
      </c>
    </row>
    <row r="164" spans="5:19" hidden="1" outlineLevel="1" x14ac:dyDescent="0.35">
      <c r="E164" s="152" t="str">
        <f>InpC!$E$41</f>
        <v>Bristol Water</v>
      </c>
      <c r="F164" s="152" t="str">
        <f>InpC!$F$41</f>
        <v>BRL</v>
      </c>
      <c r="G164" s="22" t="s">
        <v>34</v>
      </c>
      <c r="J164" s="156">
        <f t="shared" si="35"/>
        <v>0</v>
      </c>
      <c r="K164" s="156">
        <f t="shared" si="35"/>
        <v>0</v>
      </c>
      <c r="L164" s="156">
        <f t="shared" si="35"/>
        <v>0</v>
      </c>
      <c r="M164" s="156">
        <f t="shared" si="35"/>
        <v>0</v>
      </c>
      <c r="N164" s="156">
        <f t="shared" si="35"/>
        <v>0</v>
      </c>
      <c r="O164" s="156">
        <f t="shared" si="35"/>
        <v>0</v>
      </c>
      <c r="P164" s="156">
        <f t="shared" si="35"/>
        <v>0</v>
      </c>
      <c r="R164" s="156">
        <f t="shared" si="33"/>
        <v>0</v>
      </c>
      <c r="S164" s="156">
        <f t="shared" si="34"/>
        <v>0</v>
      </c>
    </row>
    <row r="165" spans="5:19" hidden="1" outlineLevel="1" x14ac:dyDescent="0.35">
      <c r="E165" s="152" t="s">
        <v>147</v>
      </c>
      <c r="G165" s="22" t="s">
        <v>34</v>
      </c>
      <c r="J165" s="157">
        <f t="shared" ref="J165:P165" si="36">SUM(J148:J164)</f>
        <v>3.9530726364186863</v>
      </c>
      <c r="K165" s="157">
        <f t="shared" si="36"/>
        <v>2.4763668047806382</v>
      </c>
      <c r="L165" s="157">
        <f t="shared" si="36"/>
        <v>4.6269742284848956</v>
      </c>
      <c r="M165" s="157">
        <f t="shared" si="36"/>
        <v>4.6338922545691208</v>
      </c>
      <c r="N165" s="157">
        <f t="shared" si="36"/>
        <v>4.6309592952566438</v>
      </c>
      <c r="O165" s="157">
        <f t="shared" si="36"/>
        <v>4.6290498769391757</v>
      </c>
      <c r="P165" s="157">
        <f t="shared" si="36"/>
        <v>4.6291746208089544</v>
      </c>
      <c r="R165" s="157">
        <f t="shared" ref="R165:S165" si="37">SUM(R148:R164)</f>
        <v>4.6300100552117582</v>
      </c>
      <c r="S165" s="157">
        <f t="shared" si="37"/>
        <v>23.150050276058792</v>
      </c>
    </row>
  </sheetData>
  <conditionalFormatting sqref="H2">
    <cfRule type="cellIs" dxfId="15" priority="12" stopIfTrue="1" operator="notEqual">
      <formula>0</formula>
    </cfRule>
    <cfRule type="cellIs" dxfId="14" priority="13" stopIfTrue="1" operator="equal">
      <formula>""</formula>
    </cfRule>
    <cfRule type="cellIs" dxfId="13" priority="14" stopIfTrue="1" operator="notEqual">
      <formula>0</formula>
    </cfRule>
    <cfRule type="cellIs" dxfId="12" priority="15" stopIfTrue="1" operator="equal">
      <formula>""</formula>
    </cfRule>
  </conditionalFormatting>
  <conditionalFormatting sqref="J3:P3">
    <cfRule type="cellIs" dxfId="11" priority="7" operator="equal">
      <formula>"PPA ext."</formula>
    </cfRule>
    <cfRule type="cellIs" dxfId="10" priority="8" operator="equal">
      <formula>"Delay"</formula>
    </cfRule>
    <cfRule type="cellIs" dxfId="9" priority="9" operator="equal">
      <formula>"Fin Close"</formula>
    </cfRule>
    <cfRule type="cellIs" dxfId="8" priority="10" stopIfTrue="1" operator="equal">
      <formula>"Construction"</formula>
    </cfRule>
    <cfRule type="cellIs" dxfId="7" priority="11" stopIfTrue="1" operator="equal">
      <formula>"Operations"</formula>
    </cfRule>
  </conditionalFormatting>
  <conditionalFormatting sqref="J69:P85">
    <cfRule type="expression" dxfId="6" priority="21">
      <formula>(J69&lt;&gt;J17)</formula>
    </cfRule>
  </conditionalFormatting>
  <conditionalFormatting sqref="J148:P164">
    <cfRule type="expression" dxfId="5" priority="3">
      <formula>(J148&lt;&gt;J96)</formula>
    </cfRule>
  </conditionalFormatting>
  <conditionalFormatting sqref="R3:S3">
    <cfRule type="cellIs" dxfId="4" priority="16" operator="equal">
      <formula>"PPA ext."</formula>
    </cfRule>
    <cfRule type="cellIs" dxfId="3" priority="17" operator="equal">
      <formula>"Delay"</formula>
    </cfRule>
    <cfRule type="cellIs" dxfId="2" priority="18" operator="equal">
      <formula>"Fin Close"</formula>
    </cfRule>
    <cfRule type="cellIs" dxfId="1" priority="19" stopIfTrue="1" operator="equal">
      <formula>"Construction"</formula>
    </cfRule>
    <cfRule type="cellIs" dxfId="0" priority="20" stopIfTrue="1" operator="equal">
      <formula>"Operations"</formula>
    </cfRule>
  </conditionalFormatting>
  <printOptions verticalCentered="1" gridLine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2D5249-8BDA-45A1-A498-E6BFE1B0C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0BA4DB-B01B-4A93-8B35-D70B42ABD017}">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71c95305-930c-4d63-9794-2d644343057c"/>
    <ds:schemaRef ds:uri="fadac89a-56fa-4a3d-a427-8ae1dcb95347"/>
    <ds:schemaRef ds:uri="http://www.w3.org/XML/1998/namespace"/>
  </ds:schemaRefs>
</ds:datastoreItem>
</file>

<file path=customXml/itemProps3.xml><?xml version="1.0" encoding="utf-8"?>
<ds:datastoreItem xmlns:ds="http://schemas.openxmlformats.org/officeDocument/2006/customXml" ds:itemID="{432C48F4-FC7A-4C32-A132-6A5B073D53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vt:lpstr>
      <vt:lpstr>Conceptual model</vt:lpstr>
      <vt:lpstr>F_Inputs_BP</vt:lpstr>
      <vt:lpstr>F_Inputs_APR</vt:lpstr>
      <vt:lpstr>F_Inputs (EC)</vt:lpstr>
      <vt:lpstr>Consolidated Input</vt:lpstr>
      <vt:lpstr>Time</vt:lpstr>
      <vt:lpstr>InpC</vt:lpstr>
      <vt:lpstr>InpT</vt:lpstr>
      <vt:lpstr>Traffic Management Act</vt:lpstr>
      <vt:lpstr>TMA Projects</vt:lpstr>
      <vt:lpstr>Unit costs</vt:lpstr>
      <vt:lpstr>Lane Rental Schemes</vt:lpstr>
      <vt:lpstr>Analysis (TMA)</vt:lpstr>
      <vt:lpstr>Analysis (LRS)</vt:lpstr>
      <vt:lpstr>Allowance</vt:lpstr>
      <vt:lpstr>APRChoices</vt:lpstr>
      <vt:lpstr>BaseCaseIndicator</vt:lpstr>
      <vt:lpstr>CHK_TOL</vt:lpstr>
      <vt:lpstr>SMU</vt:lpstr>
      <vt:lpstr>TRK_TOL</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2024-12-05T10:30:09Z</dcterms:created>
  <dcterms:modified xsi:type="dcterms:W3CDTF">2024-12-13T11:21:22Z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eting">
    <vt:lpwstr/>
  </property>
  <property fmtid="{D5CDD505-2E9C-101B-9397-08002B2CF9AE}" pid="3" name="MediaServiceImageTags">
    <vt:lpwstr/>
  </property>
  <property fmtid="{D5CDD505-2E9C-101B-9397-08002B2CF9AE}" pid="4" name="Stakeholder 2">
    <vt:lpwstr/>
  </property>
  <property fmtid="{D5CDD505-2E9C-101B-9397-08002B2CF9AE}" pid="5" name="ContentTypeId">
    <vt:lpwstr>0x0101004010F36128E44943B1120CACFDAE9F7B</vt:lpwstr>
  </property>
  <property fmtid="{D5CDD505-2E9C-101B-9397-08002B2CF9AE}" pid="6" name="Hierarchy">
    <vt:lpwstr/>
  </property>
  <property fmtid="{D5CDD505-2E9C-101B-9397-08002B2CF9AE}" pid="7" name="Collection">
    <vt:lpwstr/>
  </property>
  <property fmtid="{D5CDD505-2E9C-101B-9397-08002B2CF9AE}" pid="8" name="Project Code">
    <vt:lpwstr/>
  </property>
  <property fmtid="{D5CDD505-2E9C-101B-9397-08002B2CF9AE}" pid="9" name="Stakeholder 3">
    <vt:lpwstr/>
  </property>
  <property fmtid="{D5CDD505-2E9C-101B-9397-08002B2CF9AE}" pid="10" name="Stakeholder">
    <vt:lpwstr/>
  </property>
  <property fmtid="{D5CDD505-2E9C-101B-9397-08002B2CF9AE}" pid="11" name="Security Classification">
    <vt:lpwstr>21;#OFFICIAL|c2540f30-f875-494b-a43f-ebfb5017a6ad</vt:lpwstr>
  </property>
  <property fmtid="{D5CDD505-2E9C-101B-9397-08002B2CF9AE}" pid="12" name="Stakeholder 4">
    <vt:lpwstr/>
  </property>
  <property fmtid="{D5CDD505-2E9C-101B-9397-08002B2CF9AE}" pid="13" name="SharedWithUsers">
    <vt:lpwstr>5458;#Patrick Schmidt;#4221;#Iain Morrow;#42;#Rebecca Paterson</vt:lpwstr>
  </property>
  <property fmtid="{D5CDD505-2E9C-101B-9397-08002B2CF9AE}" pid="14" name="Stakeholder 5">
    <vt:lpwstr/>
  </property>
</Properties>
</file>